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showInkAnnotation="0" updateLinks="never" codeName="ThisWorkbook" defaultThemeVersion="124226"/>
  <mc:AlternateContent xmlns:mc="http://schemas.openxmlformats.org/markup-compatibility/2006">
    <mc:Choice Requires="x15">
      <x15ac:absPath xmlns:x15ac="http://schemas.microsoft.com/office/spreadsheetml/2010/11/ac" url="S:\Real Estate &amp; Facilities\__OREF PROGRAMS\Planning\2 Capital and Budget\Capital Plans USG\FY 27-30 Update\Template\"/>
    </mc:Choice>
  </mc:AlternateContent>
  <xr:revisionPtr revIDLastSave="0" documentId="8_{0D88D236-701E-423A-B147-B0D7DC049CF2}" xr6:coauthVersionLast="47" xr6:coauthVersionMax="47" xr10:uidLastSave="{00000000-0000-0000-0000-000000000000}"/>
  <bookViews>
    <workbookView xWindow="43245" yWindow="570" windowWidth="17220" windowHeight="18885" activeTab="1" xr2:uid="{5E7A4E44-5AB3-4A62-BFC8-93E366C9BE4F}"/>
  </bookViews>
  <sheets>
    <sheet name="Reference + Summary Copy" sheetId="13" r:id="rId1"/>
    <sheet name="TAB 1 Proj. ID &amp; Prim Narrative" sheetId="21" r:id="rId2"/>
    <sheet name="TAB 2 Project Specs" sheetId="1" r:id="rId3"/>
    <sheet name="TAB 3 Project Cost" sheetId="2" r:id="rId4"/>
    <sheet name="TAB 4 Project Funding" sheetId="29" r:id="rId5"/>
    <sheet name="Open Calcs Tab" sheetId="34" r:id="rId6"/>
    <sheet name="TAB 5 Consolidated Proj Cost" sheetId="44" state="hidden" r:id="rId7"/>
    <sheet name="Fall 2025 FIDC" sheetId="36" r:id="rId8"/>
    <sheet name="TAB PBR Proj Budget Ref" sheetId="45" r:id="rId9"/>
    <sheet name="FY25-28 Changes Summary" sheetId="38" state="hidden" r:id="rId10"/>
    <sheet name="FY23-26 Changes Summary" sheetId="39" state="hidden" r:id="rId11"/>
    <sheet name="Extract" sheetId="47" r:id="rId12"/>
    <sheet name="Extract+" sheetId="41" state="hidden" r:id="rId13"/>
    <sheet name="TAB PBT Proj Budget Reference" sheetId="42" state="hidden" r:id="rId14"/>
    <sheet name="TAB 5 Project Narrative" sheetId="31" state="hidden" r:id="rId15"/>
    <sheet name="Bldg_Name" sheetId="35" state="hidden" r:id="rId16"/>
    <sheet name="TAB PBT s x s w sample budget" sheetId="43" state="hidden" r:id="rId17"/>
  </sheets>
  <definedNames>
    <definedName name="_xlnm._FilterDatabase" localSheetId="15" hidden="1">Bldg_Name!$A$2:$Z$1644</definedName>
    <definedName name="_xlnm._FilterDatabase" localSheetId="7" hidden="1">'Fall 2025 FIDC'!$A$1:$P$3596</definedName>
    <definedName name="_xlnm._FilterDatabase" localSheetId="5" hidden="1">'Open Calcs Tab'!$P$1:$P$67</definedName>
    <definedName name="ABAC" localSheetId="15">Bldg_Name!$A$3:$A$1644</definedName>
    <definedName name="ABAC" localSheetId="14">'TAB 5 Project Narrative'!#REF!</definedName>
    <definedName name="ABAC">'TAB 1 Proj. ID &amp; Prim Narrative'!$AB$85:$AB$87</definedName>
    <definedName name="ABAC_campus">#REF!</definedName>
    <definedName name="ABACBLDG">Bldg_Name!$A$2:$A$119</definedName>
    <definedName name="ALSU" localSheetId="15">Bldg_Name!$B$3:$B$1644</definedName>
    <definedName name="ALSU" localSheetId="14">'TAB 5 Project Narrative'!#REF!</definedName>
    <definedName name="ALSU">'TAB 1 Proj. ID &amp; Prim Narrative'!$AC$85:$AC$88</definedName>
    <definedName name="ALSU_campus">#REF!</definedName>
    <definedName name="ALSUBLDG">Bldg_Name!$B$2:$B$56</definedName>
    <definedName name="AMSC" localSheetId="15">Bldg_Name!$C$3:$C$1644</definedName>
    <definedName name="AMSC" localSheetId="14">'TAB 5 Project Narrative'!#REF!</definedName>
    <definedName name="AMSC">'TAB 1 Proj. ID &amp; Prim Narrative'!$AD$85:$AD$86</definedName>
    <definedName name="AMSC_campus">#REF!</definedName>
    <definedName name="AMSCBLDG">Bldg_Name!$C$2:$C$18</definedName>
    <definedName name="ASU" localSheetId="14">'TAB 5 Project Narrative'!#REF!</definedName>
    <definedName name="ASU">'TAB 1 Proj. ID &amp; Prim Narrative'!#REF!</definedName>
    <definedName name="ASU_campus">#REF!</definedName>
    <definedName name="AU" localSheetId="15">Bldg_Name!$D$3:$D$1644</definedName>
    <definedName name="AU" localSheetId="14">'TAB 5 Project Narrative'!#REF!</definedName>
    <definedName name="AU">'TAB 1 Proj. ID &amp; Prim Narrative'!$AE$85:$AE$90</definedName>
    <definedName name="AU_campus">#REF!</definedName>
    <definedName name="AUBLDG">Bldg_Name!$D$2:$D$154</definedName>
    <definedName name="BSC" localSheetId="14">'TAB 5 Project Narrative'!#REF!</definedName>
    <definedName name="BSC">'TAB 1 Proj. ID &amp; Prim Narrative'!#REF!</definedName>
    <definedName name="BSC_campus">#REF!</definedName>
    <definedName name="Category">'TAB 1 Proj. ID &amp; Prim Narrative'!$AC$119:$AC$122</definedName>
    <definedName name="CATEGORY2">'TAB 1 Proj. ID &amp; Prim Narrative'!$AD$117:$AF$117</definedName>
    <definedName name="CCG" localSheetId="14">'TAB 5 Project Narrative'!#REF!</definedName>
    <definedName name="CCG">'TAB 1 Proj. ID &amp; Prim Narrative'!$AH$86:$AH$88</definedName>
    <definedName name="CCG_campus">#REF!</definedName>
    <definedName name="CCGA" localSheetId="1">'TAB 1 Proj. ID &amp; Prim Narrative'!$AG$85:$AG$87</definedName>
    <definedName name="CCGA">Bldg_Name!$F$3:$F$1644</definedName>
    <definedName name="CCGABLDG">Bldg_Name!$F$2:$F$19</definedName>
    <definedName name="CIP_CLASSIFICATION">#REF!</definedName>
    <definedName name="CLSU" localSheetId="15">Bldg_Name!$E$3:$E$1644</definedName>
    <definedName name="CLSU" localSheetId="14">'TAB 5 Project Narrative'!#REF!</definedName>
    <definedName name="CLSU">'TAB 1 Proj. ID &amp; Prim Narrative'!$AF$85:$AF$87</definedName>
    <definedName name="CLSU_campus">#REF!</definedName>
    <definedName name="CLSUBLDG">Bldg_Name!$E$2:$E$46</definedName>
    <definedName name="CSU" localSheetId="15">Bldg_Name!$G$3:$G$1644</definedName>
    <definedName name="CSU" localSheetId="14">'TAB 5 Project Narrative'!#REF!</definedName>
    <definedName name="CSU">'TAB 1 Proj. ID &amp; Prim Narrative'!$AH$85:$AH$87</definedName>
    <definedName name="CSU_campus">#REF!</definedName>
    <definedName name="CSUBLDG">Bldg_Name!$G$2:$G$121</definedName>
    <definedName name="dd_proj_type">#REF!</definedName>
    <definedName name="dd_projtype">#REF!</definedName>
    <definedName name="DSC" localSheetId="15">Bldg_Name!$H$3:$H$1644</definedName>
    <definedName name="DSC" localSheetId="14">'TAB 5 Project Narrative'!#REF!</definedName>
    <definedName name="DSC">'TAB 1 Proj. ID &amp; Prim Narrative'!$AI$85:$AI$86</definedName>
    <definedName name="DSC_campus">#REF!</definedName>
    <definedName name="DSCBLDG">Bldg_Name!$H$2:$H$19</definedName>
    <definedName name="EGA" localSheetId="1">'TAB 1 Proj. ID &amp; Prim Narrative'!$AJ$85:$AJ$87</definedName>
    <definedName name="EGA">Bldg_Name!$I$3:$I$1644</definedName>
    <definedName name="EGABLDG">Bldg_Name!$I$2:$I$18</definedName>
    <definedName name="EGSC" localSheetId="14">'TAB 5 Project Narrative'!#REF!</definedName>
    <definedName name="EGSC">'TAB 1 Proj. ID &amp; Prim Narrative'!$AK$86:$AK$88</definedName>
    <definedName name="EGSC_campus">#REF!</definedName>
    <definedName name="FVSU" localSheetId="14">'TAB 5 Project Narrative'!#REF!</definedName>
    <definedName name="FVSU">'TAB 1 Proj. ID &amp; Prim Narrative'!$AK$85:$AK$87</definedName>
    <definedName name="FVSU_campus">#REF!</definedName>
    <definedName name="FVSUBLDG">Bldg_Name!$J$2:$J$110</definedName>
    <definedName name="FY_Const_Fund">#REF!</definedName>
    <definedName name="GCSU" localSheetId="15">Bldg_Name!$K$3:$K$1644</definedName>
    <definedName name="GCSU" localSheetId="14">'TAB 5 Project Narrative'!#REF!</definedName>
    <definedName name="GCSU">'TAB 1 Proj. ID &amp; Prim Narrative'!$AL$85:$AL$86</definedName>
    <definedName name="GCSU_campus">#REF!</definedName>
    <definedName name="GCSUBLDG">Bldg_Name!$K$2:$K$109</definedName>
    <definedName name="GGC" localSheetId="15">Bldg_Name!$L$3:$L$1644</definedName>
    <definedName name="GGC" localSheetId="14">'TAB 5 Project Narrative'!#REF!</definedName>
    <definedName name="GGC">'TAB 1 Proj. ID &amp; Prim Narrative'!$AM$85:$AM$86</definedName>
    <definedName name="GGC_campus">#REF!</definedName>
    <definedName name="GGCBLDG">Bldg_Name!$L$2:$L$20</definedName>
    <definedName name="GHC" localSheetId="15">Bldg_Name!$M$3:$M$1644</definedName>
    <definedName name="GHC" localSheetId="14">'TAB 5 Project Narrative'!#REF!</definedName>
    <definedName name="GHC">'TAB 1 Proj. ID &amp; Prim Narrative'!$AN$85:$AN$88</definedName>
    <definedName name="GHC_campus">#REF!</definedName>
    <definedName name="GHCBLDG">Bldg_Name!$M$2:$M$29</definedName>
    <definedName name="GIT" localSheetId="15">Bldg_Name!$N$3:$N$1644</definedName>
    <definedName name="GIT" localSheetId="14">'TAB 5 Project Narrative'!#REF!</definedName>
    <definedName name="GIT">'TAB 1 Proj. ID &amp; Prim Narrative'!$AO$85:$AO$87</definedName>
    <definedName name="GIT_campus">#REF!</definedName>
    <definedName name="GITBLDG">Bldg_Name!$N$2:$N$254</definedName>
    <definedName name="GSC" localSheetId="15">Bldg_Name!$R$3:$R$1644</definedName>
    <definedName name="GSC" localSheetId="14">'TAB 5 Project Narrative'!#REF!</definedName>
    <definedName name="GSC">'TAB 1 Proj. ID &amp; Prim Narrative'!$AS$85:$AS$86</definedName>
    <definedName name="GSC_campus">#REF!</definedName>
    <definedName name="GSCBLDG">Bldg_Name!$R$2:$R$43</definedName>
    <definedName name="GSOU" localSheetId="15">Bldg_Name!$O$3:$O$1644</definedName>
    <definedName name="GSOU" localSheetId="14">'TAB 5 Project Narrative'!#REF!</definedName>
    <definedName name="GSOU">'TAB 1 Proj. ID &amp; Prim Narrative'!$AP$85:$AP$88</definedName>
    <definedName name="GSOU_campus">#REF!</definedName>
    <definedName name="GSOUBLDG">Bldg_Name!$O$2:$O$276</definedName>
    <definedName name="GSU" localSheetId="15">Bldg_Name!$Q$3:$Q$1644</definedName>
    <definedName name="GSU" localSheetId="14">'TAB 5 Project Narrative'!#REF!</definedName>
    <definedName name="GSU">'TAB 1 Proj. ID &amp; Prim Narrative'!$AR$85:$AR$90</definedName>
    <definedName name="GSU_campus">#REF!</definedName>
    <definedName name="GSUBLDG">Bldg_Name!$Q$2:$Q$148</definedName>
    <definedName name="GSW" localSheetId="15">Bldg_Name!$P$3:$P$1644</definedName>
    <definedName name="GSW" localSheetId="14">'TAB 5 Project Narrative'!#REF!</definedName>
    <definedName name="GSW">'TAB 1 Proj. ID &amp; Prim Narrative'!$AQ$85:$AQ$86</definedName>
    <definedName name="GSW_campus">#REF!</definedName>
    <definedName name="GSWBLDG">Bldg_Name!$P$2:$P$41</definedName>
    <definedName name="Institution">#REF!</definedName>
    <definedName name="Institution_Acronym">#REF!</definedName>
    <definedName name="Institution_Name">#REF!</definedName>
    <definedName name="KSU" localSheetId="15">Bldg_Name!$S$3:$S$1644</definedName>
    <definedName name="KSU" localSheetId="14">'TAB 5 Project Narrative'!#REF!</definedName>
    <definedName name="KSU">'TAB 1 Proj. ID &amp; Prim Narrative'!$AT$85:$AT$87</definedName>
    <definedName name="KSU_campus">#REF!</definedName>
    <definedName name="KSUBLDG">Bldg_Name!$S$2:$S$127</definedName>
    <definedName name="Large_Cap">'TAB 1 Proj. ID &amp; Prim Narrative'!$AD$118:$AD$120</definedName>
    <definedName name="LC_Const_Yr_Range">'TAB 1 Proj. ID &amp; Prim Narrative'!#REF!</definedName>
    <definedName name="LC_FY_Const">'TAB 1 Proj. ID &amp; Prim Narrative'!#REF!</definedName>
    <definedName name="Life_Cycle_Elements">#REF!</definedName>
    <definedName name="Main__Tifton">#REF!</definedName>
    <definedName name="MGA" localSheetId="15">Bldg_Name!$T$3:$T$1644</definedName>
    <definedName name="MGA" localSheetId="14">'TAB 5 Project Narrative'!#REF!</definedName>
    <definedName name="MGA">'TAB 1 Proj. ID &amp; Prim Narrative'!$AU$85:$AU$90</definedName>
    <definedName name="MGA_campus">#REF!</definedName>
    <definedName name="MGABLDG">Bldg_Name!$T$2:$T$75</definedName>
    <definedName name="NGO_Const_Yr_Range">#REF!</definedName>
    <definedName name="NGO_FY_CONST">'TAB 1 Proj. ID &amp; Prim Narrative'!#REF!</definedName>
    <definedName name="Non_GO_Bond">'TAB 1 Proj. ID &amp; Prim Narrative'!$AF$118:$AF$121</definedName>
    <definedName name="_xlnm.Print_Area" localSheetId="7">'Fall 2025 FIDC'!$O$1</definedName>
    <definedName name="_xlnm.Print_Area" localSheetId="5">'Open Calcs Tab'!#REF!</definedName>
    <definedName name="_xlnm.Print_Area" localSheetId="0">'Reference + Summary Copy'!$B$7:$H$67</definedName>
    <definedName name="_xlnm.Print_Area" localSheetId="1">'TAB 1 Proj. ID &amp; Prim Narrative'!$A$1:$N$56</definedName>
    <definedName name="_xlnm.Print_Area" localSheetId="2">'TAB 2 Project Specs'!$A$1:$O$117</definedName>
    <definedName name="_xlnm.Print_Area" localSheetId="3">'TAB 3 Project Cost'!$A$1:$J$118</definedName>
    <definedName name="_xlnm.Print_Area" localSheetId="4">'TAB 4 Project Funding'!$A$1:$L$43</definedName>
    <definedName name="_xlnm.Print_Area" localSheetId="6">'TAB 5 Consolidated Proj Cost'!$A$1:$J$169</definedName>
    <definedName name="_xlnm.Print_Area" localSheetId="14">'TAB 5 Project Narrative'!$A$1:$I$26</definedName>
    <definedName name="_xlnm.Print_Area" localSheetId="13">'TAB PBT Proj Budget Reference'!#REF!</definedName>
    <definedName name="_xlnm.Print_Area" localSheetId="16">'TAB PBT s x s w sample budget'!$A$2:$H$89</definedName>
    <definedName name="project_type">#REF!</definedName>
    <definedName name="RoomUseCodes">#REF!</definedName>
    <definedName name="SC_Const_Yr_Range">#REF!</definedName>
    <definedName name="SC_FY_Const">'TAB 1 Proj. ID &amp; Prim Narrative'!#REF!</definedName>
    <definedName name="SGA" localSheetId="1">'TAB 1 Proj. ID &amp; Prim Narrative'!$AW$85:$AW$87</definedName>
    <definedName name="SGA">Bldg_Name!$V$3:$V$1644</definedName>
    <definedName name="SGABLDG">Bldg_Name!$V$2:$V$36</definedName>
    <definedName name="SGSC" localSheetId="14">'TAB 5 Project Narrative'!#REF!</definedName>
    <definedName name="SGSC">'TAB 1 Proj. ID &amp; Prim Narrative'!$AW$86:$AW$88</definedName>
    <definedName name="SGSC_campus">#REF!</definedName>
    <definedName name="Small_Cap">'TAB 1 Proj. ID &amp; Prim Narrative'!$AE$119:$AE$122</definedName>
    <definedName name="SSU" localSheetId="15">Bldg_Name!$U$3:$U$1644</definedName>
    <definedName name="SSU" localSheetId="14">'TAB 5 Project Narrative'!#REF!</definedName>
    <definedName name="SSU">'TAB 1 Proj. ID &amp; Prim Narrative'!$AV$85:$AV$86</definedName>
    <definedName name="SSU_campus">#REF!</definedName>
    <definedName name="SSUBLDG">Bldg_Name!$U$2:$U$50</definedName>
    <definedName name="UGA" localSheetId="15">Bldg_Name!$W$3:$W$1644</definedName>
    <definedName name="UGA" localSheetId="14">'TAB 5 Project Narrative'!#REF!</definedName>
    <definedName name="UGA">'TAB 1 Proj. ID &amp; Prim Narrative'!$AX$85:$AX$91</definedName>
    <definedName name="UGA_campus">#REF!</definedName>
    <definedName name="UGABLDG">Bldg_Name!$W$2:$W$1644</definedName>
    <definedName name="UNG" localSheetId="15">Bldg_Name!$X$3:$X$1644</definedName>
    <definedName name="UNG" localSheetId="14">'TAB 5 Project Narrative'!#REF!</definedName>
    <definedName name="UNG">'TAB 1 Proj. ID &amp; Prim Narrative'!$AY$85:$AY$90</definedName>
    <definedName name="UNG_campus">#REF!</definedName>
    <definedName name="UNG_other">#REF!</definedName>
    <definedName name="UNGBLDG">Bldg_Name!$X$2:$X$110</definedName>
    <definedName name="UWG" localSheetId="15">Bldg_Name!$Y$3:$Y$1644</definedName>
    <definedName name="UWG" localSheetId="14">'TAB 5 Project Narrative'!#REF!</definedName>
    <definedName name="UWG">'TAB 1 Proj. ID &amp; Prim Narrative'!$AZ$85:$AZ$87</definedName>
    <definedName name="UWG_campus">#REF!</definedName>
    <definedName name="UWG_other">#REF!</definedName>
    <definedName name="UWGBLDG">Bldg_Name!$Y$2:$Y$123</definedName>
    <definedName name="VL" localSheetId="6">'TAB 5 Consolidated Proj Cost'!$M$29</definedName>
    <definedName name="VL">'TAB 3 Project Cost'!$M$12</definedName>
    <definedName name="VSU" localSheetId="15">Bldg_Name!$Z$3:$Z$1644</definedName>
    <definedName name="VSU" localSheetId="14">'TAB 5 Project Narrative'!#REF!</definedName>
    <definedName name="VSU">'TAB 1 Proj. ID &amp; Prim Narrative'!$BA$85:$BA$87</definedName>
    <definedName name="VSU_campus">#REF!</definedName>
    <definedName name="VSUBLDG">Bldg_Name!$Z$2:$Z$92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1" i="1" l="1"/>
  <c r="M11" i="1"/>
  <c r="L11" i="1"/>
  <c r="K11" i="1"/>
  <c r="J11" i="1"/>
  <c r="I11" i="1"/>
  <c r="H11" i="1"/>
  <c r="G11" i="1"/>
  <c r="F11" i="1"/>
  <c r="E11" i="1"/>
  <c r="N10" i="1"/>
  <c r="M10" i="1"/>
  <c r="L10" i="1"/>
  <c r="K10" i="1"/>
  <c r="J10" i="1"/>
  <c r="I10" i="1"/>
  <c r="H10" i="1"/>
  <c r="G10" i="1"/>
  <c r="F10" i="1"/>
  <c r="E10" i="1"/>
  <c r="D10" i="1"/>
  <c r="D11" i="1"/>
  <c r="N29" i="1"/>
  <c r="N28" i="1"/>
  <c r="M29" i="1"/>
  <c r="L29" i="1"/>
  <c r="K29" i="1"/>
  <c r="J29" i="1"/>
  <c r="I29" i="1"/>
  <c r="H29" i="1"/>
  <c r="G29" i="1"/>
  <c r="F29" i="1"/>
  <c r="E29" i="1"/>
  <c r="M28" i="1"/>
  <c r="L28" i="1"/>
  <c r="K28" i="1"/>
  <c r="J28" i="1"/>
  <c r="I28" i="1"/>
  <c r="H28" i="1"/>
  <c r="G28" i="1"/>
  <c r="F28" i="1"/>
  <c r="E28" i="1"/>
  <c r="D29" i="1"/>
  <c r="D28" i="1"/>
  <c r="IA2" i="47" l="1"/>
  <c r="HZ2" i="47"/>
  <c r="HY2" i="47"/>
  <c r="HX2" i="47"/>
  <c r="HW2" i="47"/>
  <c r="HV2" i="47"/>
  <c r="HU2" i="47"/>
  <c r="HT2" i="47"/>
  <c r="HS2" i="47"/>
  <c r="HR2" i="47"/>
  <c r="HQ2" i="47"/>
  <c r="HP2" i="47"/>
  <c r="HO2" i="47"/>
  <c r="HN2" i="47"/>
  <c r="FY2" i="47"/>
  <c r="FX2" i="47"/>
  <c r="FW2" i="47"/>
  <c r="FV2" i="47"/>
  <c r="FU2" i="47"/>
  <c r="FT2" i="47"/>
  <c r="FS2" i="47"/>
  <c r="FR2" i="47"/>
  <c r="FQ2" i="47"/>
  <c r="FP2" i="47"/>
  <c r="FO2" i="47"/>
  <c r="FN2" i="47"/>
  <c r="FM2" i="47"/>
  <c r="FL2" i="47"/>
  <c r="FK2" i="47"/>
  <c r="FJ2" i="47"/>
  <c r="FI2" i="47"/>
  <c r="EU2" i="47"/>
  <c r="ET2" i="47"/>
  <c r="ES2" i="47"/>
  <c r="ER2" i="47"/>
  <c r="EQ2" i="47"/>
  <c r="EP2" i="47"/>
  <c r="EO2" i="47"/>
  <c r="EN2" i="47"/>
  <c r="EM2" i="47"/>
  <c r="EL2" i="47"/>
  <c r="EK2" i="47"/>
  <c r="EJ2" i="47"/>
  <c r="EI2" i="47"/>
  <c r="EH2" i="47"/>
  <c r="EG2" i="47"/>
  <c r="EF2" i="47"/>
  <c r="EE2" i="47"/>
  <c r="ED2" i="47"/>
  <c r="EC2" i="47"/>
  <c r="EB2" i="47"/>
  <c r="EA2" i="47"/>
  <c r="DZ2" i="47"/>
  <c r="DY2" i="47"/>
  <c r="DX2" i="47"/>
  <c r="DW2" i="47"/>
  <c r="DV2" i="47"/>
  <c r="DU2" i="47"/>
  <c r="DT2" i="47"/>
  <c r="DS2" i="47"/>
  <c r="DR2" i="47"/>
  <c r="DQ2" i="47"/>
  <c r="DP2" i="47"/>
  <c r="DN2" i="47"/>
  <c r="DL2" i="47"/>
  <c r="DJ2" i="47"/>
  <c r="DI2" i="47"/>
  <c r="DH2" i="47"/>
  <c r="DG2" i="47"/>
  <c r="DF2" i="47"/>
  <c r="DD2" i="47"/>
  <c r="DB2" i="47"/>
  <c r="CZ2" i="47"/>
  <c r="CY2" i="47"/>
  <c r="CX2" i="47"/>
  <c r="CW2" i="47"/>
  <c r="CV2" i="47"/>
  <c r="CT2" i="47"/>
  <c r="CR2" i="47"/>
  <c r="CP2" i="47"/>
  <c r="CN2" i="47"/>
  <c r="CM2" i="47"/>
  <c r="CL2" i="47"/>
  <c r="AL2" i="47"/>
  <c r="AK2" i="47"/>
  <c r="AI2" i="47"/>
  <c r="AH2" i="47"/>
  <c r="AG2" i="47"/>
  <c r="AF2" i="47"/>
  <c r="AE2" i="47"/>
  <c r="AD2" i="47"/>
  <c r="AC2" i="47"/>
  <c r="AB2" i="47"/>
  <c r="AA2" i="47"/>
  <c r="Z2" i="47"/>
  <c r="Y2" i="47"/>
  <c r="X2" i="47"/>
  <c r="W2" i="47"/>
  <c r="V2" i="47"/>
  <c r="O2" i="47"/>
  <c r="I2" i="47"/>
  <c r="G2" i="47"/>
  <c r="E2" i="47"/>
  <c r="D2" i="47"/>
  <c r="C2" i="47"/>
  <c r="B2" i="47"/>
  <c r="A2" i="47"/>
  <c r="L8" i="1" l="1"/>
  <c r="N8" i="1"/>
  <c r="I7" i="1"/>
  <c r="G8" i="1"/>
  <c r="O15" i="1"/>
  <c r="N15" i="1"/>
  <c r="M15" i="1"/>
  <c r="L15" i="1"/>
  <c r="K15" i="1"/>
  <c r="J15" i="1"/>
  <c r="I15" i="1"/>
  <c r="H15" i="1"/>
  <c r="G15" i="1"/>
  <c r="F15" i="1"/>
  <c r="E15" i="1"/>
  <c r="D15" i="1"/>
  <c r="C15" i="1"/>
  <c r="B15" i="1"/>
  <c r="C13" i="1"/>
  <c r="C12" i="1"/>
  <c r="B13" i="1"/>
  <c r="B12" i="1"/>
  <c r="B11" i="1"/>
  <c r="B10" i="1"/>
  <c r="E44" i="1"/>
  <c r="N45" i="1"/>
  <c r="M45" i="1"/>
  <c r="L45" i="1"/>
  <c r="K45" i="1"/>
  <c r="J45" i="1"/>
  <c r="I45" i="1"/>
  <c r="H45" i="1"/>
  <c r="G45" i="1"/>
  <c r="F45" i="1"/>
  <c r="E45" i="1"/>
  <c r="D45" i="1"/>
  <c r="AU10" i="1"/>
  <c r="AT10" i="1"/>
  <c r="AS10" i="1"/>
  <c r="AR10" i="1"/>
  <c r="AQ10" i="1"/>
  <c r="AP10" i="1"/>
  <c r="AO10" i="1"/>
  <c r="AN10" i="1"/>
  <c r="AM10" i="1"/>
  <c r="AL10" i="1"/>
  <c r="AK10" i="1"/>
  <c r="AU9" i="1"/>
  <c r="AV8" i="1"/>
  <c r="AV5" i="1"/>
  <c r="AT5" i="1"/>
  <c r="AP5" i="1"/>
  <c r="Y2" i="21" l="1" a="1"/>
  <c r="Y2" i="21" s="1"/>
  <c r="M62" i="1" l="1"/>
  <c r="L62" i="1"/>
  <c r="K62" i="1"/>
  <c r="J62" i="1"/>
  <c r="I62" i="1"/>
  <c r="H62" i="1"/>
  <c r="G62" i="1"/>
  <c r="F62" i="1"/>
  <c r="E62" i="1"/>
  <c r="D62" i="1"/>
  <c r="N62" i="1"/>
  <c r="BA5" i="41"/>
  <c r="I60" i="2"/>
  <c r="BH1" i="41"/>
  <c r="BJ1" i="41"/>
  <c r="E20" i="29"/>
  <c r="F15" i="21"/>
  <c r="U13" i="21"/>
  <c r="G24" i="21" l="1"/>
  <c r="ID2" i="47" s="1"/>
  <c r="J2" i="47"/>
  <c r="F2" i="47"/>
  <c r="X2" i="21" a="1"/>
  <c r="X2" i="21" s="1"/>
  <c r="F18" i="21"/>
  <c r="BM1" i="41"/>
  <c r="E23" i="21"/>
  <c r="VL1" i="41" l="1"/>
  <c r="AEK5" i="41"/>
  <c r="AEI5" i="41"/>
  <c r="AEH5" i="41"/>
  <c r="AEG5" i="41"/>
  <c r="AEF5" i="41"/>
  <c r="AEE5" i="41"/>
  <c r="AED5" i="41"/>
  <c r="AEC5" i="41"/>
  <c r="AEB5" i="41"/>
  <c r="AEA5" i="41"/>
  <c r="ADZ5" i="41"/>
  <c r="ADY5" i="41"/>
  <c r="ADX5" i="41"/>
  <c r="ADW5" i="41"/>
  <c r="ADV5" i="41"/>
  <c r="ADU5" i="41"/>
  <c r="ADT5" i="41"/>
  <c r="ADS5" i="41"/>
  <c r="ADR5" i="41"/>
  <c r="ADQ5" i="41"/>
  <c r="ADP5" i="41"/>
  <c r="ADO5" i="41"/>
  <c r="ADN5" i="41"/>
  <c r="ADM5" i="41"/>
  <c r="ADL5" i="41"/>
  <c r="ADK5" i="41"/>
  <c r="ADJ5" i="41"/>
  <c r="ADI5" i="41"/>
  <c r="ADH5" i="41"/>
  <c r="ADG5" i="41"/>
  <c r="ADF5" i="41"/>
  <c r="ADE5" i="41"/>
  <c r="ADD5" i="41"/>
  <c r="ADC5" i="41"/>
  <c r="ADB5" i="41"/>
  <c r="ADA5" i="41"/>
  <c r="ACZ5" i="41"/>
  <c r="ACY5" i="41"/>
  <c r="ACX5" i="41"/>
  <c r="ACW5" i="41"/>
  <c r="ACV5" i="41"/>
  <c r="ACU5" i="41"/>
  <c r="ACT5" i="41"/>
  <c r="ACS5" i="41"/>
  <c r="ACR5" i="41"/>
  <c r="ACQ5" i="41"/>
  <c r="ACP5" i="41"/>
  <c r="ACO5" i="41"/>
  <c r="ACN5" i="41"/>
  <c r="ACM5" i="41"/>
  <c r="ACL5" i="41"/>
  <c r="ACK5" i="41"/>
  <c r="ACJ5" i="41"/>
  <c r="ACI5" i="41"/>
  <c r="ACH5" i="41"/>
  <c r="ACG5" i="41"/>
  <c r="ACF5" i="41"/>
  <c r="ACE5" i="41"/>
  <c r="ACD5" i="41"/>
  <c r="ACC5" i="41"/>
  <c r="ACB5" i="41"/>
  <c r="ACA5" i="41"/>
  <c r="ABZ5" i="41"/>
  <c r="ABY5" i="41"/>
  <c r="ABX5" i="41"/>
  <c r="ABW5" i="41"/>
  <c r="ABV5" i="41"/>
  <c r="ABU5" i="41"/>
  <c r="ABT5" i="41"/>
  <c r="ABS5" i="41"/>
  <c r="ABR5" i="41"/>
  <c r="ABQ5" i="41"/>
  <c r="ABP5" i="41"/>
  <c r="ABO5" i="41"/>
  <c r="ABN5" i="41"/>
  <c r="ABM5" i="41"/>
  <c r="ABL5" i="41"/>
  <c r="ABK5" i="41"/>
  <c r="ABJ5" i="41"/>
  <c r="ABI5" i="41"/>
  <c r="ABH5" i="41"/>
  <c r="ABG5" i="41"/>
  <c r="ABF5" i="41"/>
  <c r="ABE5" i="41"/>
  <c r="ABD5" i="41"/>
  <c r="ABC5" i="41"/>
  <c r="ABB5" i="41"/>
  <c r="ABA5" i="41"/>
  <c r="AAZ5" i="41"/>
  <c r="AAY5" i="41"/>
  <c r="AAX5" i="41"/>
  <c r="AAW5" i="41"/>
  <c r="AAV5" i="41"/>
  <c r="AAU5" i="41"/>
  <c r="AAT5" i="41"/>
  <c r="AAS5" i="41"/>
  <c r="AAR5" i="41"/>
  <c r="AAQ5" i="41"/>
  <c r="AAP5" i="41"/>
  <c r="AAO5" i="41"/>
  <c r="AAN5" i="41"/>
  <c r="AAM5" i="41"/>
  <c r="AAL5" i="41"/>
  <c r="AAK5" i="41"/>
  <c r="AAJ5" i="41"/>
  <c r="AAI5" i="41"/>
  <c r="AAH5" i="41"/>
  <c r="AAG5" i="41"/>
  <c r="AAF5" i="41"/>
  <c r="AAE5" i="41"/>
  <c r="AAD5" i="41"/>
  <c r="AAC5" i="41"/>
  <c r="AAB5" i="41"/>
  <c r="AAA5" i="41"/>
  <c r="ZZ5" i="41"/>
  <c r="ZY5" i="41"/>
  <c r="ZX5" i="41"/>
  <c r="ZW5" i="41"/>
  <c r="ZV5" i="41"/>
  <c r="ZU5" i="41"/>
  <c r="ZT5" i="41"/>
  <c r="ZS5" i="41"/>
  <c r="ZR5" i="41"/>
  <c r="ZQ5" i="41"/>
  <c r="ZP5" i="41"/>
  <c r="ZO5" i="41"/>
  <c r="ZN5" i="41"/>
  <c r="ZM5" i="41"/>
  <c r="ZL5" i="41"/>
  <c r="ZK5" i="41"/>
  <c r="ZJ5" i="41"/>
  <c r="ZI5" i="41"/>
  <c r="ZH5" i="41"/>
  <c r="ZG5" i="41"/>
  <c r="ZF5" i="41"/>
  <c r="ZE5" i="41"/>
  <c r="ZD5" i="41"/>
  <c r="ZC5" i="41"/>
  <c r="ZB5" i="41"/>
  <c r="ZA5" i="41"/>
  <c r="YZ5" i="41"/>
  <c r="YY5" i="41"/>
  <c r="YX5" i="41"/>
  <c r="YW5" i="41"/>
  <c r="YV5" i="41"/>
  <c r="YU5" i="41"/>
  <c r="YT5" i="41"/>
  <c r="YS5" i="41"/>
  <c r="YR5" i="41"/>
  <c r="YQ5" i="41"/>
  <c r="YP5" i="41"/>
  <c r="YO5" i="41"/>
  <c r="YN5" i="41"/>
  <c r="YM5" i="41"/>
  <c r="YL5" i="41"/>
  <c r="YK5" i="41"/>
  <c r="YJ5" i="41"/>
  <c r="YI5" i="41"/>
  <c r="YH5" i="41"/>
  <c r="YG5" i="41"/>
  <c r="YF5" i="41"/>
  <c r="YE5" i="41"/>
  <c r="YD5" i="41"/>
  <c r="YC5" i="41"/>
  <c r="YB5" i="41"/>
  <c r="YA5" i="41"/>
  <c r="XZ5" i="41"/>
  <c r="XY5" i="41"/>
  <c r="XX5" i="41"/>
  <c r="XW5" i="41"/>
  <c r="XV5" i="41"/>
  <c r="XU5" i="41"/>
  <c r="XT5" i="41"/>
  <c r="XS5" i="41"/>
  <c r="XR5" i="41"/>
  <c r="XQ5" i="41"/>
  <c r="XP5" i="41"/>
  <c r="XO5" i="41"/>
  <c r="XN5" i="41"/>
  <c r="XM5" i="41"/>
  <c r="XL5" i="41"/>
  <c r="XK5" i="41"/>
  <c r="XJ5" i="41"/>
  <c r="XI5" i="41"/>
  <c r="XH5" i="41"/>
  <c r="XG5" i="41"/>
  <c r="XF5" i="41"/>
  <c r="XE5" i="41"/>
  <c r="XD5" i="41"/>
  <c r="XC5" i="41"/>
  <c r="XB5" i="41"/>
  <c r="XA5" i="41"/>
  <c r="WZ5" i="41"/>
  <c r="WY5" i="41"/>
  <c r="WX5" i="41"/>
  <c r="WW5" i="41"/>
  <c r="WV5" i="41"/>
  <c r="WU5" i="41"/>
  <c r="WT5" i="41"/>
  <c r="WS5" i="41"/>
  <c r="WR5" i="41"/>
  <c r="WQ5" i="41"/>
  <c r="WP5" i="41"/>
  <c r="WO5" i="41"/>
  <c r="WN5" i="41"/>
  <c r="WM5" i="41"/>
  <c r="WL5" i="41"/>
  <c r="WK5" i="41"/>
  <c r="WJ5" i="41"/>
  <c r="WI5" i="41"/>
  <c r="WH5" i="41"/>
  <c r="WG5" i="41"/>
  <c r="WF5" i="41"/>
  <c r="WE5" i="41"/>
  <c r="WD5" i="41"/>
  <c r="WC5" i="41"/>
  <c r="WB5" i="41"/>
  <c r="WA5" i="41"/>
  <c r="VZ5" i="41"/>
  <c r="VY5" i="41"/>
  <c r="VX5" i="41"/>
  <c r="VW5" i="41"/>
  <c r="VV5" i="41"/>
  <c r="VU5" i="41"/>
  <c r="VT5" i="41"/>
  <c r="VS5" i="41"/>
  <c r="VR5" i="41"/>
  <c r="VQ5" i="41"/>
  <c r="VP5" i="41"/>
  <c r="VO5" i="41"/>
  <c r="VN5" i="41"/>
  <c r="VM5" i="41"/>
  <c r="VL5" i="41"/>
  <c r="MC1" i="41"/>
  <c r="MC5" i="41"/>
  <c r="MB5" i="41"/>
  <c r="KZ5" i="41"/>
  <c r="LT5" i="41" s="1"/>
  <c r="KY5" i="41"/>
  <c r="LS5" i="41" s="1"/>
  <c r="KX5" i="41"/>
  <c r="LR5" i="41" s="1"/>
  <c r="KW5" i="41"/>
  <c r="LQ5" i="41" s="1"/>
  <c r="KV5" i="41"/>
  <c r="LP5" i="41" s="1"/>
  <c r="KT5" i="41"/>
  <c r="LN5" i="41" s="1"/>
  <c r="MA5" i="41" s="1"/>
  <c r="KS5" i="41"/>
  <c r="LM5" i="41" s="1"/>
  <c r="KR5" i="41"/>
  <c r="LL5" i="41" s="1"/>
  <c r="KQ5" i="41"/>
  <c r="LK5" i="41" s="1"/>
  <c r="KP5" i="41"/>
  <c r="LJ5" i="41" s="1"/>
  <c r="KO5" i="41"/>
  <c r="LI5" i="41" s="1"/>
  <c r="KM5" i="41"/>
  <c r="AZ5" i="41"/>
  <c r="AY5" i="41"/>
  <c r="AS5" i="41"/>
  <c r="AR5" i="41"/>
  <c r="AQ5" i="41"/>
  <c r="AP5" i="41"/>
  <c r="AO5" i="41"/>
  <c r="AL5" i="41"/>
  <c r="AK5" i="41"/>
  <c r="AJ5" i="41"/>
  <c r="AI5" i="41"/>
  <c r="AH5" i="41"/>
  <c r="AG5" i="41"/>
  <c r="AU5" i="41"/>
  <c r="LZ5" i="41" l="1"/>
  <c r="LW5" i="41"/>
  <c r="LV5" i="41"/>
  <c r="LX5" i="41"/>
  <c r="LY5" i="41"/>
  <c r="LA5" i="41"/>
  <c r="KU5" i="41"/>
  <c r="LC5" i="41" s="1"/>
  <c r="AT5" i="41"/>
  <c r="AN5" i="41"/>
  <c r="LB5" i="41" l="1"/>
  <c r="AO26" i="2" l="1"/>
  <c r="AO38" i="2" s="1"/>
  <c r="AL26" i="2"/>
  <c r="AM32" i="2"/>
  <c r="AM31" i="2"/>
  <c r="AM30" i="2"/>
  <c r="AR30" i="2"/>
  <c r="AR31" i="2"/>
  <c r="AR32" i="2"/>
  <c r="AP44" i="2"/>
  <c r="AP43" i="2"/>
  <c r="AP42" i="2"/>
  <c r="AP41" i="2"/>
  <c r="AP40" i="2"/>
  <c r="AP39" i="2"/>
  <c r="AP38" i="2"/>
  <c r="AM16" i="2"/>
  <c r="AS43" i="2"/>
  <c r="AS32" i="2"/>
  <c r="AS44" i="2" s="1"/>
  <c r="AQ32" i="2"/>
  <c r="AQ44" i="2" s="1"/>
  <c r="AS31" i="2"/>
  <c r="AQ31" i="2"/>
  <c r="AQ43" i="2" s="1"/>
  <c r="AS30" i="2"/>
  <c r="AS42" i="2" s="1"/>
  <c r="AQ30" i="2"/>
  <c r="AQ42" i="2" s="1"/>
  <c r="AS29" i="2"/>
  <c r="AS41" i="2" s="1"/>
  <c r="AQ29" i="2"/>
  <c r="AQ41" i="2" s="1"/>
  <c r="AS28" i="2"/>
  <c r="AS40" i="2" s="1"/>
  <c r="AQ28" i="2"/>
  <c r="AQ40" i="2" s="1"/>
  <c r="AS27" i="2"/>
  <c r="AS39" i="2" s="1"/>
  <c r="AQ27" i="2"/>
  <c r="AQ39" i="2" s="1"/>
  <c r="AS26" i="2"/>
  <c r="AS38" i="2" s="1"/>
  <c r="AR26" i="2"/>
  <c r="AR38" i="2" s="1"/>
  <c r="AQ26" i="2"/>
  <c r="AQ38" i="2" s="1"/>
  <c r="AS25" i="2"/>
  <c r="AS37" i="2" s="1"/>
  <c r="AQ25" i="2"/>
  <c r="AQ37" i="2" s="1"/>
  <c r="AN37" i="2"/>
  <c r="AP37" i="2"/>
  <c r="AN44" i="2"/>
  <c r="AN43" i="2"/>
  <c r="AN42" i="2"/>
  <c r="AN41" i="2"/>
  <c r="AN40" i="2"/>
  <c r="AN39" i="2"/>
  <c r="AN38" i="2"/>
  <c r="AO32" i="2"/>
  <c r="AO44" i="2" s="1"/>
  <c r="AO31" i="2"/>
  <c r="AO43" i="2" s="1"/>
  <c r="AO30" i="2"/>
  <c r="AO42" i="2" s="1"/>
  <c r="AO29" i="2"/>
  <c r="AO41" i="2" s="1"/>
  <c r="AO28" i="2"/>
  <c r="AO40" i="2" s="1"/>
  <c r="AO27" i="2"/>
  <c r="AO39" i="2" s="1"/>
  <c r="AO25" i="2"/>
  <c r="AO37" i="2" s="1"/>
  <c r="AP16" i="2" l="1"/>
  <c r="AP22" i="2"/>
  <c r="AP19" i="2"/>
  <c r="AP21" i="2"/>
  <c r="AP20" i="2"/>
  <c r="AP18" i="2"/>
  <c r="AP17" i="2"/>
  <c r="AP15" i="2"/>
  <c r="B90" i="1"/>
  <c r="B34" i="21"/>
  <c r="B33" i="21"/>
  <c r="B32" i="21"/>
  <c r="AM21" i="2"/>
  <c r="AM20" i="2"/>
  <c r="AL29" i="2"/>
  <c r="AL28" i="2"/>
  <c r="AM44" i="2"/>
  <c r="AK44" i="2"/>
  <c r="AM43" i="2"/>
  <c r="AK43" i="2"/>
  <c r="AM42" i="2"/>
  <c r="AK42" i="2"/>
  <c r="AM41" i="2"/>
  <c r="AK41" i="2"/>
  <c r="AM40" i="2"/>
  <c r="AK40" i="2"/>
  <c r="AM39" i="2"/>
  <c r="AK39" i="2"/>
  <c r="AM38" i="2"/>
  <c r="AL38" i="2"/>
  <c r="AK38" i="2"/>
  <c r="AM37" i="2"/>
  <c r="AK37" i="2"/>
  <c r="AL27" i="2"/>
  <c r="AL25" i="2"/>
  <c r="AM15" i="2" s="1"/>
  <c r="AR27" i="2" l="1"/>
  <c r="AR39" i="2" s="1"/>
  <c r="AM17" i="2"/>
  <c r="AR28" i="2"/>
  <c r="AR40" i="2" s="1"/>
  <c r="AM18" i="2"/>
  <c r="AR29" i="2"/>
  <c r="AR41" i="2" s="1"/>
  <c r="AM19" i="2"/>
  <c r="AM22" i="2"/>
  <c r="AR44" i="2"/>
  <c r="AL43" i="2"/>
  <c r="AR43" i="2"/>
  <c r="AL42" i="2"/>
  <c r="AR42" i="2"/>
  <c r="AL39" i="2"/>
  <c r="AL37" i="2"/>
  <c r="AR25" i="2"/>
  <c r="AR37" i="2" s="1"/>
  <c r="AL44" i="2"/>
  <c r="AL40" i="2"/>
  <c r="AL41" i="2"/>
  <c r="AW31" i="2"/>
  <c r="AV31" i="2"/>
  <c r="AW30" i="2"/>
  <c r="AV30" i="2"/>
  <c r="AW29" i="2"/>
  <c r="AV29" i="2"/>
  <c r="AW28" i="2"/>
  <c r="AV28" i="2"/>
  <c r="AW27" i="2"/>
  <c r="AV27" i="2"/>
  <c r="AW26" i="2"/>
  <c r="AV26" i="2"/>
  <c r="AW25" i="2"/>
  <c r="AV25" i="2"/>
  <c r="AU31" i="2"/>
  <c r="AU30" i="2"/>
  <c r="AU29" i="2"/>
  <c r="AU28" i="2"/>
  <c r="AU27" i="2"/>
  <c r="AU26" i="2"/>
  <c r="AU25" i="2"/>
  <c r="U7" i="1" l="1"/>
  <c r="U6" i="1"/>
  <c r="U5" i="1"/>
  <c r="U4" i="1"/>
  <c r="S25" i="29"/>
  <c r="S27" i="29"/>
  <c r="B23" i="21" l="1"/>
  <c r="AB95" i="21"/>
  <c r="P3596" i="36"/>
  <c r="P3595" i="36"/>
  <c r="P3594" i="36"/>
  <c r="P3593" i="36"/>
  <c r="P3592" i="36"/>
  <c r="P3591" i="36"/>
  <c r="P3590" i="36"/>
  <c r="P3589" i="36"/>
  <c r="P3588" i="36"/>
  <c r="P3587" i="36"/>
  <c r="P3586" i="36"/>
  <c r="P3585" i="36"/>
  <c r="P3584" i="36"/>
  <c r="P3583" i="36"/>
  <c r="P3582" i="36"/>
  <c r="P3581" i="36"/>
  <c r="P3580" i="36"/>
  <c r="P3579" i="36"/>
  <c r="P3578" i="36"/>
  <c r="P3577" i="36"/>
  <c r="P3576" i="36"/>
  <c r="P3575" i="36"/>
  <c r="P3574" i="36"/>
  <c r="P3573" i="36"/>
  <c r="P3572" i="36"/>
  <c r="P3571" i="36"/>
  <c r="P3570" i="36"/>
  <c r="P3569" i="36"/>
  <c r="P3568" i="36"/>
  <c r="P3567" i="36"/>
  <c r="P3566" i="36"/>
  <c r="P3565" i="36"/>
  <c r="P3564" i="36"/>
  <c r="P3563" i="36"/>
  <c r="P3562" i="36"/>
  <c r="P3561" i="36"/>
  <c r="P3560" i="36"/>
  <c r="P3559" i="36"/>
  <c r="P3558" i="36"/>
  <c r="P3557" i="36"/>
  <c r="P3556" i="36"/>
  <c r="P3555" i="36"/>
  <c r="P3554" i="36"/>
  <c r="P3553" i="36"/>
  <c r="P3552" i="36"/>
  <c r="P3551" i="36"/>
  <c r="P3550" i="36"/>
  <c r="P3549" i="36"/>
  <c r="P3548" i="36"/>
  <c r="P3547" i="36"/>
  <c r="P3546" i="36"/>
  <c r="P3545" i="36"/>
  <c r="P3544" i="36"/>
  <c r="P3543" i="36"/>
  <c r="P3542" i="36"/>
  <c r="P3541" i="36"/>
  <c r="P3540" i="36"/>
  <c r="P3539" i="36"/>
  <c r="P3538" i="36"/>
  <c r="P3537" i="36"/>
  <c r="P3536" i="36"/>
  <c r="P3535" i="36"/>
  <c r="P3534" i="36"/>
  <c r="P3533" i="36"/>
  <c r="P3532" i="36"/>
  <c r="P3531" i="36"/>
  <c r="P3530" i="36"/>
  <c r="P3529" i="36"/>
  <c r="P3528" i="36"/>
  <c r="P3527" i="36"/>
  <c r="P3526" i="36"/>
  <c r="P3525" i="36"/>
  <c r="P3524" i="36"/>
  <c r="P3523" i="36"/>
  <c r="P3522" i="36"/>
  <c r="P3521" i="36"/>
  <c r="P3520" i="36"/>
  <c r="P3519" i="36"/>
  <c r="P3518" i="36"/>
  <c r="P3517" i="36"/>
  <c r="P3516" i="36"/>
  <c r="P3515" i="36"/>
  <c r="P3514" i="36"/>
  <c r="P3513" i="36"/>
  <c r="P3512" i="36"/>
  <c r="P3511" i="36"/>
  <c r="P3510" i="36"/>
  <c r="P3509" i="36"/>
  <c r="P3508" i="36"/>
  <c r="P3507" i="36"/>
  <c r="P3506" i="36"/>
  <c r="P3505" i="36"/>
  <c r="P3504" i="36"/>
  <c r="P3503" i="36"/>
  <c r="P3502" i="36"/>
  <c r="P3501" i="36"/>
  <c r="P3500" i="36"/>
  <c r="P3499" i="36"/>
  <c r="P3498" i="36"/>
  <c r="P3497" i="36"/>
  <c r="P3496" i="36"/>
  <c r="P3495" i="36"/>
  <c r="P3494" i="36"/>
  <c r="P3493" i="36"/>
  <c r="P3492" i="36"/>
  <c r="P3491" i="36"/>
  <c r="P3490" i="36"/>
  <c r="P3489" i="36"/>
  <c r="P3488" i="36"/>
  <c r="P3487" i="36"/>
  <c r="P3486" i="36"/>
  <c r="P3485" i="36"/>
  <c r="P3484" i="36"/>
  <c r="P3483" i="36"/>
  <c r="P3482" i="36"/>
  <c r="P3481" i="36"/>
  <c r="P3480" i="36"/>
  <c r="P3479" i="36"/>
  <c r="P3478" i="36"/>
  <c r="P3477" i="36"/>
  <c r="P3476" i="36"/>
  <c r="P3475" i="36"/>
  <c r="P3474" i="36"/>
  <c r="P3473" i="36"/>
  <c r="P3472" i="36"/>
  <c r="P3471" i="36"/>
  <c r="P3470" i="36"/>
  <c r="P3469" i="36"/>
  <c r="P3468" i="36"/>
  <c r="P3467" i="36"/>
  <c r="P3466" i="36"/>
  <c r="P3465" i="36"/>
  <c r="P3464" i="36"/>
  <c r="P3463" i="36"/>
  <c r="P3462" i="36"/>
  <c r="P3461" i="36"/>
  <c r="P3460" i="36"/>
  <c r="P3459" i="36"/>
  <c r="P3458" i="36"/>
  <c r="P3457" i="36"/>
  <c r="P3456" i="36"/>
  <c r="P3455" i="36"/>
  <c r="P3454" i="36"/>
  <c r="P3453" i="36"/>
  <c r="P3452" i="36"/>
  <c r="P3451" i="36"/>
  <c r="P3450" i="36"/>
  <c r="P3449" i="36"/>
  <c r="P3448" i="36"/>
  <c r="P3447" i="36"/>
  <c r="P3446" i="36"/>
  <c r="P3445" i="36"/>
  <c r="P3444" i="36"/>
  <c r="P3443" i="36"/>
  <c r="P3442" i="36"/>
  <c r="P3441" i="36"/>
  <c r="P3440" i="36"/>
  <c r="P3439" i="36"/>
  <c r="P3438" i="36"/>
  <c r="P3437" i="36"/>
  <c r="P3436" i="36"/>
  <c r="P3435" i="36"/>
  <c r="P3434" i="36"/>
  <c r="P3433" i="36"/>
  <c r="P3432" i="36"/>
  <c r="P3431" i="36"/>
  <c r="P3430" i="36"/>
  <c r="P3429" i="36"/>
  <c r="P3428" i="36"/>
  <c r="P3427" i="36"/>
  <c r="P3426" i="36"/>
  <c r="P3425" i="36"/>
  <c r="P3424" i="36"/>
  <c r="P3423" i="36"/>
  <c r="P3422" i="36"/>
  <c r="P3421" i="36"/>
  <c r="P3420" i="36"/>
  <c r="P3419" i="36"/>
  <c r="P3418" i="36"/>
  <c r="P3417" i="36"/>
  <c r="P3416" i="36"/>
  <c r="P3415" i="36"/>
  <c r="P3414" i="36"/>
  <c r="P3413" i="36"/>
  <c r="P3412" i="36"/>
  <c r="P3411" i="36"/>
  <c r="P3410" i="36"/>
  <c r="P3409" i="36"/>
  <c r="P3408" i="36"/>
  <c r="P3407" i="36"/>
  <c r="P3406" i="36"/>
  <c r="P3405" i="36"/>
  <c r="P3404" i="36"/>
  <c r="P3403" i="36"/>
  <c r="P3402" i="36"/>
  <c r="P3401" i="36"/>
  <c r="P3400" i="36"/>
  <c r="P3399" i="36"/>
  <c r="P3398" i="36"/>
  <c r="P3397" i="36"/>
  <c r="P3396" i="36"/>
  <c r="P3395" i="36"/>
  <c r="P3394" i="36"/>
  <c r="P3393" i="36"/>
  <c r="P3392" i="36"/>
  <c r="P3391" i="36"/>
  <c r="P3390" i="36"/>
  <c r="P3389" i="36"/>
  <c r="P3388" i="36"/>
  <c r="P3387" i="36"/>
  <c r="P3386" i="36"/>
  <c r="P3385" i="36"/>
  <c r="P3384" i="36"/>
  <c r="P3383" i="36"/>
  <c r="P3382" i="36"/>
  <c r="P3381" i="36"/>
  <c r="P3380" i="36"/>
  <c r="P3379" i="36"/>
  <c r="P3378" i="36"/>
  <c r="P3377" i="36"/>
  <c r="P3376" i="36"/>
  <c r="P3375" i="36"/>
  <c r="P3374" i="36"/>
  <c r="P3373" i="36"/>
  <c r="P3372" i="36"/>
  <c r="P3371" i="36"/>
  <c r="P3370" i="36"/>
  <c r="P3369" i="36"/>
  <c r="P3368" i="36"/>
  <c r="P3367" i="36"/>
  <c r="P3366" i="36"/>
  <c r="P3365" i="36"/>
  <c r="P3364" i="36"/>
  <c r="P3363" i="36"/>
  <c r="P3362" i="36"/>
  <c r="P3361" i="36"/>
  <c r="P3360" i="36"/>
  <c r="P3359" i="36"/>
  <c r="P3358" i="36"/>
  <c r="P3357" i="36"/>
  <c r="P3356" i="36"/>
  <c r="P3355" i="36"/>
  <c r="P3354" i="36"/>
  <c r="P3353" i="36"/>
  <c r="P3352" i="36"/>
  <c r="P3351" i="36"/>
  <c r="P3350" i="36"/>
  <c r="P3349" i="36"/>
  <c r="P3348" i="36"/>
  <c r="P3347" i="36"/>
  <c r="P3346" i="36"/>
  <c r="P3345" i="36"/>
  <c r="P3344" i="36"/>
  <c r="P3343" i="36"/>
  <c r="P3342" i="36"/>
  <c r="P3341" i="36"/>
  <c r="P3340" i="36"/>
  <c r="P3339" i="36"/>
  <c r="P3338" i="36"/>
  <c r="P3337" i="36"/>
  <c r="P3336" i="36"/>
  <c r="P3335" i="36"/>
  <c r="P3334" i="36"/>
  <c r="P3333" i="36"/>
  <c r="P3332" i="36"/>
  <c r="P3331" i="36"/>
  <c r="P3330" i="36"/>
  <c r="P3329" i="36"/>
  <c r="P3328" i="36"/>
  <c r="P3327" i="36"/>
  <c r="P3326" i="36"/>
  <c r="P3325" i="36"/>
  <c r="P3324" i="36"/>
  <c r="P3323" i="36"/>
  <c r="P3322" i="36"/>
  <c r="P3321" i="36"/>
  <c r="P3320" i="36"/>
  <c r="P3319" i="36"/>
  <c r="P3318" i="36"/>
  <c r="P3317" i="36"/>
  <c r="P3316" i="36"/>
  <c r="P3315" i="36"/>
  <c r="P3314" i="36"/>
  <c r="P3313" i="36"/>
  <c r="P3312" i="36"/>
  <c r="P3311" i="36"/>
  <c r="P3310" i="36"/>
  <c r="P3309" i="36"/>
  <c r="P3308" i="36"/>
  <c r="P3307" i="36"/>
  <c r="P3306" i="36"/>
  <c r="P3305" i="36"/>
  <c r="P3304" i="36"/>
  <c r="P3303" i="36"/>
  <c r="P3302" i="36"/>
  <c r="P3301" i="36"/>
  <c r="P3300" i="36"/>
  <c r="P3299" i="36"/>
  <c r="P3298" i="36"/>
  <c r="P3297" i="36"/>
  <c r="P3296" i="36"/>
  <c r="P3295" i="36"/>
  <c r="P3294" i="36"/>
  <c r="P3293" i="36"/>
  <c r="P3292" i="36"/>
  <c r="P3291" i="36"/>
  <c r="P3290" i="36"/>
  <c r="P3289" i="36"/>
  <c r="P3288" i="36"/>
  <c r="P3287" i="36"/>
  <c r="P3286" i="36"/>
  <c r="P3285" i="36"/>
  <c r="P3284" i="36"/>
  <c r="P3283" i="36"/>
  <c r="P3282" i="36"/>
  <c r="P3281" i="36"/>
  <c r="P3280" i="36"/>
  <c r="P3279" i="36"/>
  <c r="P3278" i="36"/>
  <c r="P3277" i="36"/>
  <c r="P3276" i="36"/>
  <c r="P3275" i="36"/>
  <c r="P3274" i="36"/>
  <c r="P3273" i="36"/>
  <c r="P3272" i="36"/>
  <c r="P3271" i="36"/>
  <c r="P3270" i="36"/>
  <c r="P3269" i="36"/>
  <c r="P3268" i="36"/>
  <c r="P3267" i="36"/>
  <c r="P3266" i="36"/>
  <c r="P3265" i="36"/>
  <c r="P3264" i="36"/>
  <c r="P3263" i="36"/>
  <c r="P3262" i="36"/>
  <c r="P3261" i="36"/>
  <c r="P3260" i="36"/>
  <c r="P3259" i="36"/>
  <c r="P3258" i="36"/>
  <c r="P3257" i="36"/>
  <c r="P3256" i="36"/>
  <c r="P3255" i="36"/>
  <c r="P3254" i="36"/>
  <c r="P3253" i="36"/>
  <c r="P3252" i="36"/>
  <c r="P3251" i="36"/>
  <c r="P3250" i="36"/>
  <c r="P3249" i="36"/>
  <c r="P3248" i="36"/>
  <c r="P3247" i="36"/>
  <c r="P3246" i="36"/>
  <c r="P3245" i="36"/>
  <c r="P3244" i="36"/>
  <c r="P3243" i="36"/>
  <c r="P3242" i="36"/>
  <c r="P3241" i="36"/>
  <c r="P3240" i="36"/>
  <c r="P3239" i="36"/>
  <c r="P3238" i="36"/>
  <c r="P3237" i="36"/>
  <c r="P3236" i="36"/>
  <c r="P3235" i="36"/>
  <c r="P3234" i="36"/>
  <c r="P3233" i="36"/>
  <c r="P3232" i="36"/>
  <c r="P3231" i="36"/>
  <c r="P3230" i="36"/>
  <c r="P3229" i="36"/>
  <c r="P3228" i="36"/>
  <c r="P3227" i="36"/>
  <c r="P3226" i="36"/>
  <c r="P3225" i="36"/>
  <c r="P3224" i="36"/>
  <c r="P3223" i="36"/>
  <c r="P3222" i="36"/>
  <c r="P3221" i="36"/>
  <c r="P3220" i="36"/>
  <c r="P3219" i="36"/>
  <c r="P3218" i="36"/>
  <c r="P3217" i="36"/>
  <c r="P3216" i="36"/>
  <c r="P3215" i="36"/>
  <c r="P3214" i="36"/>
  <c r="P3213" i="36"/>
  <c r="P3212" i="36"/>
  <c r="P3211" i="36"/>
  <c r="P3210" i="36"/>
  <c r="P3209" i="36"/>
  <c r="P3208" i="36"/>
  <c r="P3207" i="36"/>
  <c r="P3206" i="36"/>
  <c r="P3205" i="36"/>
  <c r="P3204" i="36"/>
  <c r="P3203" i="36"/>
  <c r="P3202" i="36"/>
  <c r="P3201" i="36"/>
  <c r="P3200" i="36"/>
  <c r="P3199" i="36"/>
  <c r="P3198" i="36"/>
  <c r="P3197" i="36"/>
  <c r="P3196" i="36"/>
  <c r="P3195" i="36"/>
  <c r="P3194" i="36"/>
  <c r="P3193" i="36"/>
  <c r="P3192" i="36"/>
  <c r="P3191" i="36"/>
  <c r="P3190" i="36"/>
  <c r="P3189" i="36"/>
  <c r="P3188" i="36"/>
  <c r="P3187" i="36"/>
  <c r="P3186" i="36"/>
  <c r="P3185" i="36"/>
  <c r="P3184" i="36"/>
  <c r="P3183" i="36"/>
  <c r="P3182" i="36"/>
  <c r="P3181" i="36"/>
  <c r="P3180" i="36"/>
  <c r="P3179" i="36"/>
  <c r="P3178" i="36"/>
  <c r="P3177" i="36"/>
  <c r="P3176" i="36"/>
  <c r="P3175" i="36"/>
  <c r="P3174" i="36"/>
  <c r="P3173" i="36"/>
  <c r="P3172" i="36"/>
  <c r="P3171" i="36"/>
  <c r="P3170" i="36"/>
  <c r="P3169" i="36"/>
  <c r="P3168" i="36"/>
  <c r="P3167" i="36"/>
  <c r="P3166" i="36"/>
  <c r="P3165" i="36"/>
  <c r="P3164" i="36"/>
  <c r="P3163" i="36"/>
  <c r="P3162" i="36"/>
  <c r="P3161" i="36"/>
  <c r="P3160" i="36"/>
  <c r="P3159" i="36"/>
  <c r="P3158" i="36"/>
  <c r="P3157" i="36"/>
  <c r="P3156" i="36"/>
  <c r="P3155" i="36"/>
  <c r="P3154" i="36"/>
  <c r="P3153" i="36"/>
  <c r="P3152" i="36"/>
  <c r="P3151" i="36"/>
  <c r="P3150" i="36"/>
  <c r="P3149" i="36"/>
  <c r="P3148" i="36"/>
  <c r="P3147" i="36"/>
  <c r="P3146" i="36"/>
  <c r="P3145" i="36"/>
  <c r="P3144" i="36"/>
  <c r="P3143" i="36"/>
  <c r="P3142" i="36"/>
  <c r="P3141" i="36"/>
  <c r="P3140" i="36"/>
  <c r="P3139" i="36"/>
  <c r="P3138" i="36"/>
  <c r="P3137" i="36"/>
  <c r="P3136" i="36"/>
  <c r="P3135" i="36"/>
  <c r="P3134" i="36"/>
  <c r="P3133" i="36"/>
  <c r="P3132" i="36"/>
  <c r="P3131" i="36"/>
  <c r="P3130" i="36"/>
  <c r="P3129" i="36"/>
  <c r="P3128" i="36"/>
  <c r="P3127" i="36"/>
  <c r="P3126" i="36"/>
  <c r="P3125" i="36"/>
  <c r="P3124" i="36"/>
  <c r="P3123" i="36"/>
  <c r="P3122" i="36"/>
  <c r="P3121" i="36"/>
  <c r="P3120" i="36"/>
  <c r="P3119" i="36"/>
  <c r="P3118" i="36"/>
  <c r="P3117" i="36"/>
  <c r="P3116" i="36"/>
  <c r="P3115" i="36"/>
  <c r="P3114" i="36"/>
  <c r="P3113" i="36"/>
  <c r="P3112" i="36"/>
  <c r="P3111" i="36"/>
  <c r="P3110" i="36"/>
  <c r="P3109" i="36"/>
  <c r="P3108" i="36"/>
  <c r="P3107" i="36"/>
  <c r="P3106" i="36"/>
  <c r="P3105" i="36"/>
  <c r="P3104" i="36"/>
  <c r="P3103" i="36"/>
  <c r="P3102" i="36"/>
  <c r="P3101" i="36"/>
  <c r="P3100" i="36"/>
  <c r="P3099" i="36"/>
  <c r="P3098" i="36"/>
  <c r="P3097" i="36"/>
  <c r="P3096" i="36"/>
  <c r="P3095" i="36"/>
  <c r="P3094" i="36"/>
  <c r="P3093" i="36"/>
  <c r="P3092" i="36"/>
  <c r="P3091" i="36"/>
  <c r="P3090" i="36"/>
  <c r="P3089" i="36"/>
  <c r="P3088" i="36"/>
  <c r="P3087" i="36"/>
  <c r="P3086" i="36"/>
  <c r="P3085" i="36"/>
  <c r="P3084" i="36"/>
  <c r="P3083" i="36"/>
  <c r="P3082" i="36"/>
  <c r="P3081" i="36"/>
  <c r="P3080" i="36"/>
  <c r="P3079" i="36"/>
  <c r="P3078" i="36"/>
  <c r="P3077" i="36"/>
  <c r="P3076" i="36"/>
  <c r="P3075" i="36"/>
  <c r="P3074" i="36"/>
  <c r="P3073" i="36"/>
  <c r="P3072" i="36"/>
  <c r="P3071" i="36"/>
  <c r="P3070" i="36"/>
  <c r="P3069" i="36"/>
  <c r="P3068" i="36"/>
  <c r="P3067" i="36"/>
  <c r="P3066" i="36"/>
  <c r="P3065" i="36"/>
  <c r="P3064" i="36"/>
  <c r="P3063" i="36"/>
  <c r="P3062" i="36"/>
  <c r="P3061" i="36"/>
  <c r="P3060" i="36"/>
  <c r="P3059" i="36"/>
  <c r="P3058" i="36"/>
  <c r="P3057" i="36"/>
  <c r="P3056" i="36"/>
  <c r="P3055" i="36"/>
  <c r="P3054" i="36"/>
  <c r="P3053" i="36"/>
  <c r="P3052" i="36"/>
  <c r="P3051" i="36"/>
  <c r="P3050" i="36"/>
  <c r="P3049" i="36"/>
  <c r="P3048" i="36"/>
  <c r="P3047" i="36"/>
  <c r="P3046" i="36"/>
  <c r="P3045" i="36"/>
  <c r="P3044" i="36"/>
  <c r="P3043" i="36"/>
  <c r="P3042" i="36"/>
  <c r="P3041" i="36"/>
  <c r="P3040" i="36"/>
  <c r="P3039" i="36"/>
  <c r="P3038" i="36"/>
  <c r="P3037" i="36"/>
  <c r="P3036" i="36"/>
  <c r="P3035" i="36"/>
  <c r="P3034" i="36"/>
  <c r="P3033" i="36"/>
  <c r="P3032" i="36"/>
  <c r="P3031" i="36"/>
  <c r="P3030" i="36"/>
  <c r="P3029" i="36"/>
  <c r="P3028" i="36"/>
  <c r="P3027" i="36"/>
  <c r="P3026" i="36"/>
  <c r="P3025" i="36"/>
  <c r="P3024" i="36"/>
  <c r="P3023" i="36"/>
  <c r="P3022" i="36"/>
  <c r="P3021" i="36"/>
  <c r="P3020" i="36"/>
  <c r="P3019" i="36"/>
  <c r="P3018" i="36"/>
  <c r="P3017" i="36"/>
  <c r="P3016" i="36"/>
  <c r="P3015" i="36"/>
  <c r="P3014" i="36"/>
  <c r="P3013" i="36"/>
  <c r="P3012" i="36"/>
  <c r="P3011" i="36"/>
  <c r="P3010" i="36"/>
  <c r="P3009" i="36"/>
  <c r="P3008" i="36"/>
  <c r="P3007" i="36"/>
  <c r="P3006" i="36"/>
  <c r="P3005" i="36"/>
  <c r="P3004" i="36"/>
  <c r="P3003" i="36"/>
  <c r="P3002" i="36"/>
  <c r="P3001" i="36"/>
  <c r="P3000" i="36"/>
  <c r="P2999" i="36"/>
  <c r="P2998" i="36"/>
  <c r="P2997" i="36"/>
  <c r="P2996" i="36"/>
  <c r="P2995" i="36"/>
  <c r="P2994" i="36"/>
  <c r="P2993" i="36"/>
  <c r="P2992" i="36"/>
  <c r="P2991" i="36"/>
  <c r="P2990" i="36"/>
  <c r="P2989" i="36"/>
  <c r="P2988" i="36"/>
  <c r="P2987" i="36"/>
  <c r="P2986" i="36"/>
  <c r="P2985" i="36"/>
  <c r="P2984" i="36"/>
  <c r="P2983" i="36"/>
  <c r="P2982" i="36"/>
  <c r="P2981" i="36"/>
  <c r="P2980" i="36"/>
  <c r="P2979" i="36"/>
  <c r="P2978" i="36"/>
  <c r="P2977" i="36"/>
  <c r="P2976" i="36"/>
  <c r="P2975" i="36"/>
  <c r="P2974" i="36"/>
  <c r="P2973" i="36"/>
  <c r="P2972" i="36"/>
  <c r="P2971" i="36"/>
  <c r="P2970" i="36"/>
  <c r="P2969" i="36"/>
  <c r="P2968" i="36"/>
  <c r="P2967" i="36"/>
  <c r="P2966" i="36"/>
  <c r="P2965" i="36"/>
  <c r="P2964" i="36"/>
  <c r="P2963" i="36"/>
  <c r="P2962" i="36"/>
  <c r="P2961" i="36"/>
  <c r="P2960" i="36"/>
  <c r="P2959" i="36"/>
  <c r="P2958" i="36"/>
  <c r="P2957" i="36"/>
  <c r="P2956" i="36"/>
  <c r="P2955" i="36"/>
  <c r="P2954" i="36"/>
  <c r="P2953" i="36"/>
  <c r="P2952" i="36"/>
  <c r="P2951" i="36"/>
  <c r="P2950" i="36"/>
  <c r="P2949" i="36"/>
  <c r="P2948" i="36"/>
  <c r="P2947" i="36"/>
  <c r="P2946" i="36"/>
  <c r="P2945" i="36"/>
  <c r="P2944" i="36"/>
  <c r="P2943" i="36"/>
  <c r="P2942" i="36"/>
  <c r="P2941" i="36"/>
  <c r="P2940" i="36"/>
  <c r="P2939" i="36"/>
  <c r="P2938" i="36"/>
  <c r="P2937" i="36"/>
  <c r="P2936" i="36"/>
  <c r="P2935" i="36"/>
  <c r="P2934" i="36"/>
  <c r="P2933" i="36"/>
  <c r="P2932" i="36"/>
  <c r="P2931" i="36"/>
  <c r="P2930" i="36"/>
  <c r="P2929" i="36"/>
  <c r="P2928" i="36"/>
  <c r="P2927" i="36"/>
  <c r="P2926" i="36"/>
  <c r="P2925" i="36"/>
  <c r="P2924" i="36"/>
  <c r="P2923" i="36"/>
  <c r="P2922" i="36"/>
  <c r="P2921" i="36"/>
  <c r="P2920" i="36"/>
  <c r="P2919" i="36"/>
  <c r="P2918" i="36"/>
  <c r="P2917" i="36"/>
  <c r="P2916" i="36"/>
  <c r="P2915" i="36"/>
  <c r="P2914" i="36"/>
  <c r="P2913" i="36"/>
  <c r="P2912" i="36"/>
  <c r="P2911" i="36"/>
  <c r="P2910" i="36"/>
  <c r="P2909" i="36"/>
  <c r="P2908" i="36"/>
  <c r="P2907" i="36"/>
  <c r="P2906" i="36"/>
  <c r="P2905" i="36"/>
  <c r="P2904" i="36"/>
  <c r="P2903" i="36"/>
  <c r="P2902" i="36"/>
  <c r="P2901" i="36"/>
  <c r="P2900" i="36"/>
  <c r="P2899" i="36"/>
  <c r="P2898" i="36"/>
  <c r="P2897" i="36"/>
  <c r="P2896" i="36"/>
  <c r="P2895" i="36"/>
  <c r="P2894" i="36"/>
  <c r="P2893" i="36"/>
  <c r="P2892" i="36"/>
  <c r="P2891" i="36"/>
  <c r="P2890" i="36"/>
  <c r="P2889" i="36"/>
  <c r="P2888" i="36"/>
  <c r="P2887" i="36"/>
  <c r="P2886" i="36"/>
  <c r="P2885" i="36"/>
  <c r="P2884" i="36"/>
  <c r="P2883" i="36"/>
  <c r="P2882" i="36"/>
  <c r="P2881" i="36"/>
  <c r="P2880" i="36"/>
  <c r="P2879" i="36"/>
  <c r="P2878" i="36"/>
  <c r="P2877" i="36"/>
  <c r="P2876" i="36"/>
  <c r="P2875" i="36"/>
  <c r="P2874" i="36"/>
  <c r="P2873" i="36"/>
  <c r="P2872" i="36"/>
  <c r="P2871" i="36"/>
  <c r="P2870" i="36"/>
  <c r="P2869" i="36"/>
  <c r="P2868" i="36"/>
  <c r="P2867" i="36"/>
  <c r="P2866" i="36"/>
  <c r="P2865" i="36"/>
  <c r="P2864" i="36"/>
  <c r="P2863" i="36"/>
  <c r="P2862" i="36"/>
  <c r="P2861" i="36"/>
  <c r="P2860" i="36"/>
  <c r="P2859" i="36"/>
  <c r="P2858" i="36"/>
  <c r="P2857" i="36"/>
  <c r="P2856" i="36"/>
  <c r="P2855" i="36"/>
  <c r="P2854" i="36"/>
  <c r="P2853" i="36"/>
  <c r="P2852" i="36"/>
  <c r="P2851" i="36"/>
  <c r="P2850" i="36"/>
  <c r="P2849" i="36"/>
  <c r="P2848" i="36"/>
  <c r="P2847" i="36"/>
  <c r="P2846" i="36"/>
  <c r="P2845" i="36"/>
  <c r="P2844" i="36"/>
  <c r="P2843" i="36"/>
  <c r="P2842" i="36"/>
  <c r="P2841" i="36"/>
  <c r="P2840" i="36"/>
  <c r="P2839" i="36"/>
  <c r="P2838" i="36"/>
  <c r="P2837" i="36"/>
  <c r="P2836" i="36"/>
  <c r="P2835" i="36"/>
  <c r="P2834" i="36"/>
  <c r="P2833" i="36"/>
  <c r="P2832" i="36"/>
  <c r="P2831" i="36"/>
  <c r="P2830" i="36"/>
  <c r="P2829" i="36"/>
  <c r="P2828" i="36"/>
  <c r="P2827" i="36"/>
  <c r="P2826" i="36"/>
  <c r="P2825" i="36"/>
  <c r="P2824" i="36"/>
  <c r="P2823" i="36"/>
  <c r="P2822" i="36"/>
  <c r="P2821" i="36"/>
  <c r="P2820" i="36"/>
  <c r="P2819" i="36"/>
  <c r="P2818" i="36"/>
  <c r="P2817" i="36"/>
  <c r="P2816" i="36"/>
  <c r="P2815" i="36"/>
  <c r="P2814" i="36"/>
  <c r="P2813" i="36"/>
  <c r="P2812" i="36"/>
  <c r="P2811" i="36"/>
  <c r="P2810" i="36"/>
  <c r="P2809" i="36"/>
  <c r="P2808" i="36"/>
  <c r="P2807" i="36"/>
  <c r="P2806" i="36"/>
  <c r="P2805" i="36"/>
  <c r="P2804" i="36"/>
  <c r="P2803" i="36"/>
  <c r="P2802" i="36"/>
  <c r="P2801" i="36"/>
  <c r="P2800" i="36"/>
  <c r="P2799" i="36"/>
  <c r="P2798" i="36"/>
  <c r="P2797" i="36"/>
  <c r="P2796" i="36"/>
  <c r="P2795" i="36"/>
  <c r="P2794" i="36"/>
  <c r="P2793" i="36"/>
  <c r="P2792" i="36"/>
  <c r="P2791" i="36"/>
  <c r="P2790" i="36"/>
  <c r="P2789" i="36"/>
  <c r="P2788" i="36"/>
  <c r="P2787" i="36"/>
  <c r="P2786" i="36"/>
  <c r="P2785" i="36"/>
  <c r="P2784" i="36"/>
  <c r="P2783" i="36"/>
  <c r="P2782" i="36"/>
  <c r="P2781" i="36"/>
  <c r="P2780" i="36"/>
  <c r="P2779" i="36"/>
  <c r="P2778" i="36"/>
  <c r="P2777" i="36"/>
  <c r="P2776" i="36"/>
  <c r="P2775" i="36"/>
  <c r="P2774" i="36"/>
  <c r="P2773" i="36"/>
  <c r="P2772" i="36"/>
  <c r="P2771" i="36"/>
  <c r="P2770" i="36"/>
  <c r="P2769" i="36"/>
  <c r="P2768" i="36"/>
  <c r="P2767" i="36"/>
  <c r="P2766" i="36"/>
  <c r="P2765" i="36"/>
  <c r="P2764" i="36"/>
  <c r="P2763" i="36"/>
  <c r="P2762" i="36"/>
  <c r="P2761" i="36"/>
  <c r="P2760" i="36"/>
  <c r="P2759" i="36"/>
  <c r="P2758" i="36"/>
  <c r="P2757" i="36"/>
  <c r="P2756" i="36"/>
  <c r="P2755" i="36"/>
  <c r="P2754" i="36"/>
  <c r="P2753" i="36"/>
  <c r="P2752" i="36"/>
  <c r="P2751" i="36"/>
  <c r="P2750" i="36"/>
  <c r="P2749" i="36"/>
  <c r="P2748" i="36"/>
  <c r="P2747" i="36"/>
  <c r="P2746" i="36"/>
  <c r="P2745" i="36"/>
  <c r="P2744" i="36"/>
  <c r="P2743" i="36"/>
  <c r="P2742" i="36"/>
  <c r="P2741" i="36"/>
  <c r="P2740" i="36"/>
  <c r="P2739" i="36"/>
  <c r="P2738" i="36"/>
  <c r="P2737" i="36"/>
  <c r="P2736" i="36"/>
  <c r="P2735" i="36"/>
  <c r="P2734" i="36"/>
  <c r="P2733" i="36"/>
  <c r="P2732" i="36"/>
  <c r="P2731" i="36"/>
  <c r="P2730" i="36"/>
  <c r="P2729" i="36"/>
  <c r="P2728" i="36"/>
  <c r="P2727" i="36"/>
  <c r="P2726" i="36"/>
  <c r="P2725" i="36"/>
  <c r="P2724" i="36"/>
  <c r="P2723" i="36"/>
  <c r="P2722" i="36"/>
  <c r="P2721" i="36"/>
  <c r="P2720" i="36"/>
  <c r="P2719" i="36"/>
  <c r="P2718" i="36"/>
  <c r="P2717" i="36"/>
  <c r="P2716" i="36"/>
  <c r="P2715" i="36"/>
  <c r="P2714" i="36"/>
  <c r="P2713" i="36"/>
  <c r="P2712" i="36"/>
  <c r="P2711" i="36"/>
  <c r="P2710" i="36"/>
  <c r="P2709" i="36"/>
  <c r="P2708" i="36"/>
  <c r="P2707" i="36"/>
  <c r="P2706" i="36"/>
  <c r="P2705" i="36"/>
  <c r="P2704" i="36"/>
  <c r="P2703" i="36"/>
  <c r="P2702" i="36"/>
  <c r="P2701" i="36"/>
  <c r="P2700" i="36"/>
  <c r="P2699" i="36"/>
  <c r="P2698" i="36"/>
  <c r="P2697" i="36"/>
  <c r="P2696" i="36"/>
  <c r="P2695" i="36"/>
  <c r="P2694" i="36"/>
  <c r="P2693" i="36"/>
  <c r="P2692" i="36"/>
  <c r="P2691" i="36"/>
  <c r="P2690" i="36"/>
  <c r="P2689" i="36"/>
  <c r="P2688" i="36"/>
  <c r="P2687" i="36"/>
  <c r="P2686" i="36"/>
  <c r="P2685" i="36"/>
  <c r="P2684" i="36"/>
  <c r="P2683" i="36"/>
  <c r="P2682" i="36"/>
  <c r="P2681" i="36"/>
  <c r="P2680" i="36"/>
  <c r="P2679" i="36"/>
  <c r="P2678" i="36"/>
  <c r="P2677" i="36"/>
  <c r="P2676" i="36"/>
  <c r="P2675" i="36"/>
  <c r="P2674" i="36"/>
  <c r="P2673" i="36"/>
  <c r="P2672" i="36"/>
  <c r="P2671" i="36"/>
  <c r="P2670" i="36"/>
  <c r="P2669" i="36"/>
  <c r="P2668" i="36"/>
  <c r="P2667" i="36"/>
  <c r="P2666" i="36"/>
  <c r="P2665" i="36"/>
  <c r="P2664" i="36"/>
  <c r="P2663" i="36"/>
  <c r="P2662" i="36"/>
  <c r="P2661" i="36"/>
  <c r="P2660" i="36"/>
  <c r="P2659" i="36"/>
  <c r="P2658" i="36"/>
  <c r="P2657" i="36"/>
  <c r="P2656" i="36"/>
  <c r="P2655" i="36"/>
  <c r="P2654" i="36"/>
  <c r="P2653" i="36"/>
  <c r="P2652" i="36"/>
  <c r="P2651" i="36"/>
  <c r="P2650" i="36"/>
  <c r="P2649" i="36"/>
  <c r="P2648" i="36"/>
  <c r="P2647" i="36"/>
  <c r="P2646" i="36"/>
  <c r="P2645" i="36"/>
  <c r="P2644" i="36"/>
  <c r="P2643" i="36"/>
  <c r="P2642" i="36"/>
  <c r="P2641" i="36"/>
  <c r="P2640" i="36"/>
  <c r="P2639" i="36"/>
  <c r="P2638" i="36"/>
  <c r="P2637" i="36"/>
  <c r="P2636" i="36"/>
  <c r="P2635" i="36"/>
  <c r="P2634" i="36"/>
  <c r="P2633" i="36"/>
  <c r="P2632" i="36"/>
  <c r="P2631" i="36"/>
  <c r="P2630" i="36"/>
  <c r="P2629" i="36"/>
  <c r="P2628" i="36"/>
  <c r="P2627" i="36"/>
  <c r="P2626" i="36"/>
  <c r="P2625" i="36"/>
  <c r="P2624" i="36"/>
  <c r="P2623" i="36"/>
  <c r="P2622" i="36"/>
  <c r="P2621" i="36"/>
  <c r="P2620" i="36"/>
  <c r="P2619" i="36"/>
  <c r="P2618" i="36"/>
  <c r="P2617" i="36"/>
  <c r="P2616" i="36"/>
  <c r="P2615" i="36"/>
  <c r="P2614" i="36"/>
  <c r="P2613" i="36"/>
  <c r="P2612" i="36"/>
  <c r="P2611" i="36"/>
  <c r="P2610" i="36"/>
  <c r="P2609" i="36"/>
  <c r="P2608" i="36"/>
  <c r="P2607" i="36"/>
  <c r="P2606" i="36"/>
  <c r="P2605" i="36"/>
  <c r="P2604" i="36"/>
  <c r="P2603" i="36"/>
  <c r="P2602" i="36"/>
  <c r="P2601" i="36"/>
  <c r="P2600" i="36"/>
  <c r="P2599" i="36"/>
  <c r="P2598" i="36"/>
  <c r="P2597" i="36"/>
  <c r="P2596" i="36"/>
  <c r="P2595" i="36"/>
  <c r="P2594" i="36"/>
  <c r="P2593" i="36"/>
  <c r="P2592" i="36"/>
  <c r="P2591" i="36"/>
  <c r="P2590" i="36"/>
  <c r="P2589" i="36"/>
  <c r="P2588" i="36"/>
  <c r="P2587" i="36"/>
  <c r="P2586" i="36"/>
  <c r="P2585" i="36"/>
  <c r="P2584" i="36"/>
  <c r="P2583" i="36"/>
  <c r="P2582" i="36"/>
  <c r="P2581" i="36"/>
  <c r="P2580" i="36"/>
  <c r="P2579" i="36"/>
  <c r="P2578" i="36"/>
  <c r="P2577" i="36"/>
  <c r="P2576" i="36"/>
  <c r="P2575" i="36"/>
  <c r="P2574" i="36"/>
  <c r="P2573" i="36"/>
  <c r="P2572" i="36"/>
  <c r="P2571" i="36"/>
  <c r="P2570" i="36"/>
  <c r="P2569" i="36"/>
  <c r="P2568" i="36"/>
  <c r="P2567" i="36"/>
  <c r="P2566" i="36"/>
  <c r="P2565" i="36"/>
  <c r="P2564" i="36"/>
  <c r="P2563" i="36"/>
  <c r="P2562" i="36"/>
  <c r="P2561" i="36"/>
  <c r="P2560" i="36"/>
  <c r="P2559" i="36"/>
  <c r="P2558" i="36"/>
  <c r="P2557" i="36"/>
  <c r="P2556" i="36"/>
  <c r="P2555" i="36"/>
  <c r="P2554" i="36"/>
  <c r="P2553" i="36"/>
  <c r="P2552" i="36"/>
  <c r="P2551" i="36"/>
  <c r="P2550" i="36"/>
  <c r="P2549" i="36"/>
  <c r="P2548" i="36"/>
  <c r="P2547" i="36"/>
  <c r="P2546" i="36"/>
  <c r="P2545" i="36"/>
  <c r="P2544" i="36"/>
  <c r="P2543" i="36"/>
  <c r="P2542" i="36"/>
  <c r="P2541" i="36"/>
  <c r="P2540" i="36"/>
  <c r="P2539" i="36"/>
  <c r="P2538" i="36"/>
  <c r="P2537" i="36"/>
  <c r="P2536" i="36"/>
  <c r="P2535" i="36"/>
  <c r="P2534" i="36"/>
  <c r="P2533" i="36"/>
  <c r="P2532" i="36"/>
  <c r="P2531" i="36"/>
  <c r="P2530" i="36"/>
  <c r="P2529" i="36"/>
  <c r="P2528" i="36"/>
  <c r="P2527" i="36"/>
  <c r="P2526" i="36"/>
  <c r="P2525" i="36"/>
  <c r="P2524" i="36"/>
  <c r="P2523" i="36"/>
  <c r="P2522" i="36"/>
  <c r="P2521" i="36"/>
  <c r="P2520" i="36"/>
  <c r="P2519" i="36"/>
  <c r="P2518" i="36"/>
  <c r="P2517" i="36"/>
  <c r="P2516" i="36"/>
  <c r="P2515" i="36"/>
  <c r="P2514" i="36"/>
  <c r="P2513" i="36"/>
  <c r="P2512" i="36"/>
  <c r="P2511" i="36"/>
  <c r="P2510" i="36"/>
  <c r="P2509" i="36"/>
  <c r="P2508" i="36"/>
  <c r="P2507" i="36"/>
  <c r="P2506" i="36"/>
  <c r="P2505" i="36"/>
  <c r="P2504" i="36"/>
  <c r="P2503" i="36"/>
  <c r="P2502" i="36"/>
  <c r="P2501" i="36"/>
  <c r="P2500" i="36"/>
  <c r="P2499" i="36"/>
  <c r="P2498" i="36"/>
  <c r="P2497" i="36"/>
  <c r="P2496" i="36"/>
  <c r="P2495" i="36"/>
  <c r="P2494" i="36"/>
  <c r="P2493" i="36"/>
  <c r="P2492" i="36"/>
  <c r="P2491" i="36"/>
  <c r="P2490" i="36"/>
  <c r="P2489" i="36"/>
  <c r="P2488" i="36"/>
  <c r="P2487" i="36"/>
  <c r="P2486" i="36"/>
  <c r="P2485" i="36"/>
  <c r="P2484" i="36"/>
  <c r="P2483" i="36"/>
  <c r="P2482" i="36"/>
  <c r="P2481" i="36"/>
  <c r="P2480" i="36"/>
  <c r="P2479" i="36"/>
  <c r="P2478" i="36"/>
  <c r="P2477" i="36"/>
  <c r="P2476" i="36"/>
  <c r="P2475" i="36"/>
  <c r="P2474" i="36"/>
  <c r="P2473" i="36"/>
  <c r="P2472" i="36"/>
  <c r="P2471" i="36"/>
  <c r="P2470" i="36"/>
  <c r="P2469" i="36"/>
  <c r="P2468" i="36"/>
  <c r="P2467" i="36"/>
  <c r="P2466" i="36"/>
  <c r="P2465" i="36"/>
  <c r="P2464" i="36"/>
  <c r="P2463" i="36"/>
  <c r="P2462" i="36"/>
  <c r="P2461" i="36"/>
  <c r="P2460" i="36"/>
  <c r="P2459" i="36"/>
  <c r="P2458" i="36"/>
  <c r="P2457" i="36"/>
  <c r="P2456" i="36"/>
  <c r="P2455" i="36"/>
  <c r="P2454" i="36"/>
  <c r="P2453" i="36"/>
  <c r="P2452" i="36"/>
  <c r="P2451" i="36"/>
  <c r="P2450" i="36"/>
  <c r="P2449" i="36"/>
  <c r="P2448" i="36"/>
  <c r="P2447" i="36"/>
  <c r="P2446" i="36"/>
  <c r="P2445" i="36"/>
  <c r="P2444" i="36"/>
  <c r="P2443" i="36"/>
  <c r="P2442" i="36"/>
  <c r="P2441" i="36"/>
  <c r="P2440" i="36"/>
  <c r="P2439" i="36"/>
  <c r="P2438" i="36"/>
  <c r="P2437" i="36"/>
  <c r="P2436" i="36"/>
  <c r="P2435" i="36"/>
  <c r="P2434" i="36"/>
  <c r="P2433" i="36"/>
  <c r="P2432" i="36"/>
  <c r="P2431" i="36"/>
  <c r="P2430" i="36"/>
  <c r="P2429" i="36"/>
  <c r="P2428" i="36"/>
  <c r="P2427" i="36"/>
  <c r="P2426" i="36"/>
  <c r="P2425" i="36"/>
  <c r="P2424" i="36"/>
  <c r="P2423" i="36"/>
  <c r="P2422" i="36"/>
  <c r="P2421" i="36"/>
  <c r="P2420" i="36"/>
  <c r="P2419" i="36"/>
  <c r="P2418" i="36"/>
  <c r="P2417" i="36"/>
  <c r="P2416" i="36"/>
  <c r="P2415" i="36"/>
  <c r="P2414" i="36"/>
  <c r="P2413" i="36"/>
  <c r="P2412" i="36"/>
  <c r="P2411" i="36"/>
  <c r="P2410" i="36"/>
  <c r="P2409" i="36"/>
  <c r="P2408" i="36"/>
  <c r="P2407" i="36"/>
  <c r="P2406" i="36"/>
  <c r="P2405" i="36"/>
  <c r="P2404" i="36"/>
  <c r="P2403" i="36"/>
  <c r="P2402" i="36"/>
  <c r="P2401" i="36"/>
  <c r="P2400" i="36"/>
  <c r="P2399" i="36"/>
  <c r="P2398" i="36"/>
  <c r="P2397" i="36"/>
  <c r="P2396" i="36"/>
  <c r="P2395" i="36"/>
  <c r="P2394" i="36"/>
  <c r="P2393" i="36"/>
  <c r="P2392" i="36"/>
  <c r="P2391" i="36"/>
  <c r="P2390" i="36"/>
  <c r="P2389" i="36"/>
  <c r="P2388" i="36"/>
  <c r="P2387" i="36"/>
  <c r="P2386" i="36"/>
  <c r="P2385" i="36"/>
  <c r="P2384" i="36"/>
  <c r="P2383" i="36"/>
  <c r="P2382" i="36"/>
  <c r="P2381" i="36"/>
  <c r="P2380" i="36"/>
  <c r="P2379" i="36"/>
  <c r="P2378" i="36"/>
  <c r="P2377" i="36"/>
  <c r="P2376" i="36"/>
  <c r="P2375" i="36"/>
  <c r="P2374" i="36"/>
  <c r="P2373" i="36"/>
  <c r="P2372" i="36"/>
  <c r="P2371" i="36"/>
  <c r="P2370" i="36"/>
  <c r="P2369" i="36"/>
  <c r="P2368" i="36"/>
  <c r="P2367" i="36"/>
  <c r="P2366" i="36"/>
  <c r="P2365" i="36"/>
  <c r="P2364" i="36"/>
  <c r="P2363" i="36"/>
  <c r="P2362" i="36"/>
  <c r="P2361" i="36"/>
  <c r="P2360" i="36"/>
  <c r="P2359" i="36"/>
  <c r="P2358" i="36"/>
  <c r="P2357" i="36"/>
  <c r="P2356" i="36"/>
  <c r="P2355" i="36"/>
  <c r="P2354" i="36"/>
  <c r="P2353" i="36"/>
  <c r="P2352" i="36"/>
  <c r="P2351" i="36"/>
  <c r="P2350" i="36"/>
  <c r="P2349" i="36"/>
  <c r="P2348" i="36"/>
  <c r="P2347" i="36"/>
  <c r="P2346" i="36"/>
  <c r="P2345" i="36"/>
  <c r="P2344" i="36"/>
  <c r="P2343" i="36"/>
  <c r="P2342" i="36"/>
  <c r="P2341" i="36"/>
  <c r="P2340" i="36"/>
  <c r="P2339" i="36"/>
  <c r="P2338" i="36"/>
  <c r="P2337" i="36"/>
  <c r="P2336" i="36"/>
  <c r="P2335" i="36"/>
  <c r="P2334" i="36"/>
  <c r="P2333" i="36"/>
  <c r="P2332" i="36"/>
  <c r="P2331" i="36"/>
  <c r="P2330" i="36"/>
  <c r="P2329" i="36"/>
  <c r="P2328" i="36"/>
  <c r="P2327" i="36"/>
  <c r="P2326" i="36"/>
  <c r="P2325" i="36"/>
  <c r="P2324" i="36"/>
  <c r="P2323" i="36"/>
  <c r="P2322" i="36"/>
  <c r="P2321" i="36"/>
  <c r="P2320" i="36"/>
  <c r="P2319" i="36"/>
  <c r="P2318" i="36"/>
  <c r="P2317" i="36"/>
  <c r="P2316" i="36"/>
  <c r="P2315" i="36"/>
  <c r="P2314" i="36"/>
  <c r="P2313" i="36"/>
  <c r="P2312" i="36"/>
  <c r="P2311" i="36"/>
  <c r="P2310" i="36"/>
  <c r="P2309" i="36"/>
  <c r="P2308" i="36"/>
  <c r="P2307" i="36"/>
  <c r="P2306" i="36"/>
  <c r="P2305" i="36"/>
  <c r="P2304" i="36"/>
  <c r="P2303" i="36"/>
  <c r="P2302" i="36"/>
  <c r="P2301" i="36"/>
  <c r="P2300" i="36"/>
  <c r="P2299" i="36"/>
  <c r="P2298" i="36"/>
  <c r="P2297" i="36"/>
  <c r="P2296" i="36"/>
  <c r="P2295" i="36"/>
  <c r="P2294" i="36"/>
  <c r="P2293" i="36"/>
  <c r="P2292" i="36"/>
  <c r="P2291" i="36"/>
  <c r="P2290" i="36"/>
  <c r="P2289" i="36"/>
  <c r="P2288" i="36"/>
  <c r="P2287" i="36"/>
  <c r="P2286" i="36"/>
  <c r="P2285" i="36"/>
  <c r="P2284" i="36"/>
  <c r="P2283" i="36"/>
  <c r="P2282" i="36"/>
  <c r="P2281" i="36"/>
  <c r="P2280" i="36"/>
  <c r="P2279" i="36"/>
  <c r="P2278" i="36"/>
  <c r="P2277" i="36"/>
  <c r="P2276" i="36"/>
  <c r="P2275" i="36"/>
  <c r="P2274" i="36"/>
  <c r="P2273" i="36"/>
  <c r="P2272" i="36"/>
  <c r="P2271" i="36"/>
  <c r="P2270" i="36"/>
  <c r="P2269" i="36"/>
  <c r="P2268" i="36"/>
  <c r="P2267" i="36"/>
  <c r="P2266" i="36"/>
  <c r="P2265" i="36"/>
  <c r="P2264" i="36"/>
  <c r="P2263" i="36"/>
  <c r="P2262" i="36"/>
  <c r="P2261" i="36"/>
  <c r="P2260" i="36"/>
  <c r="P2259" i="36"/>
  <c r="P2258" i="36"/>
  <c r="P2257" i="36"/>
  <c r="P2256" i="36"/>
  <c r="P2255" i="36"/>
  <c r="P2254" i="36"/>
  <c r="P2253" i="36"/>
  <c r="P2252" i="36"/>
  <c r="P2251" i="36"/>
  <c r="P2250" i="36"/>
  <c r="P2249" i="36"/>
  <c r="P2248" i="36"/>
  <c r="P2247" i="36"/>
  <c r="P2246" i="36"/>
  <c r="P2245" i="36"/>
  <c r="P2244" i="36"/>
  <c r="P2243" i="36"/>
  <c r="P2242" i="36"/>
  <c r="P2241" i="36"/>
  <c r="P2240" i="36"/>
  <c r="P2239" i="36"/>
  <c r="P2238" i="36"/>
  <c r="P2237" i="36"/>
  <c r="P2236" i="36"/>
  <c r="P2235" i="36"/>
  <c r="P2234" i="36"/>
  <c r="P2233" i="36"/>
  <c r="P2232" i="36"/>
  <c r="P2231" i="36"/>
  <c r="P2230" i="36"/>
  <c r="P2229" i="36"/>
  <c r="P2228" i="36"/>
  <c r="P2227" i="36"/>
  <c r="P2226" i="36"/>
  <c r="P2225" i="36"/>
  <c r="P2224" i="36"/>
  <c r="P2223" i="36"/>
  <c r="P2222" i="36"/>
  <c r="P2221" i="36"/>
  <c r="P2220" i="36"/>
  <c r="P2219" i="36"/>
  <c r="P2218" i="36"/>
  <c r="P2217" i="36"/>
  <c r="P2216" i="36"/>
  <c r="P2215" i="36"/>
  <c r="P2214" i="36"/>
  <c r="P2213" i="36"/>
  <c r="P2212" i="36"/>
  <c r="P2211" i="36"/>
  <c r="P2210" i="36"/>
  <c r="P2209" i="36"/>
  <c r="P2208" i="36"/>
  <c r="P2207" i="36"/>
  <c r="P2206" i="36"/>
  <c r="P2205" i="36"/>
  <c r="P2204" i="36"/>
  <c r="P2203" i="36"/>
  <c r="P2202" i="36"/>
  <c r="P2201" i="36"/>
  <c r="P2200" i="36"/>
  <c r="P2199" i="36"/>
  <c r="P2198" i="36"/>
  <c r="P2197" i="36"/>
  <c r="P2196" i="36"/>
  <c r="P2195" i="36"/>
  <c r="P2194" i="36"/>
  <c r="P2193" i="36"/>
  <c r="P2192" i="36"/>
  <c r="P2191" i="36"/>
  <c r="P2190" i="36"/>
  <c r="P2189" i="36"/>
  <c r="P2188" i="36"/>
  <c r="P2187" i="36"/>
  <c r="P2186" i="36"/>
  <c r="P2185" i="36"/>
  <c r="P2184" i="36"/>
  <c r="P2183" i="36"/>
  <c r="P2182" i="36"/>
  <c r="P2181" i="36"/>
  <c r="P2180" i="36"/>
  <c r="P2179" i="36"/>
  <c r="P2178" i="36"/>
  <c r="P2177" i="36"/>
  <c r="P2176" i="36"/>
  <c r="P2175" i="36"/>
  <c r="P2174" i="36"/>
  <c r="P2173" i="36"/>
  <c r="P2172" i="36"/>
  <c r="P2171" i="36"/>
  <c r="P2170" i="36"/>
  <c r="P2169" i="36"/>
  <c r="P2168" i="36"/>
  <c r="P2167" i="36"/>
  <c r="P2166" i="36"/>
  <c r="P2165" i="36"/>
  <c r="P2164" i="36"/>
  <c r="P2163" i="36"/>
  <c r="P2162" i="36"/>
  <c r="P2161" i="36"/>
  <c r="P2160" i="36"/>
  <c r="P2159" i="36"/>
  <c r="P2158" i="36"/>
  <c r="P2157" i="36"/>
  <c r="P2156" i="36"/>
  <c r="P2155" i="36"/>
  <c r="P2154" i="36"/>
  <c r="P2153" i="36"/>
  <c r="P2152" i="36"/>
  <c r="P2151" i="36"/>
  <c r="P2150" i="36"/>
  <c r="P2149" i="36"/>
  <c r="P2148" i="36"/>
  <c r="P2147" i="36"/>
  <c r="P2146" i="36"/>
  <c r="P2145" i="36"/>
  <c r="P2144" i="36"/>
  <c r="P2143" i="36"/>
  <c r="P2142" i="36"/>
  <c r="P2141" i="36"/>
  <c r="P2140" i="36"/>
  <c r="P2139" i="36"/>
  <c r="P2138" i="36"/>
  <c r="P2137" i="36"/>
  <c r="P2136" i="36"/>
  <c r="P2135" i="36"/>
  <c r="P2134" i="36"/>
  <c r="P2133" i="36"/>
  <c r="P2132" i="36"/>
  <c r="P2131" i="36"/>
  <c r="P2130" i="36"/>
  <c r="P2129" i="36"/>
  <c r="P2128" i="36"/>
  <c r="P2127" i="36"/>
  <c r="P2126" i="36"/>
  <c r="P2125" i="36"/>
  <c r="P2124" i="36"/>
  <c r="P2123" i="36"/>
  <c r="P2122" i="36"/>
  <c r="P2121" i="36"/>
  <c r="P2120" i="36"/>
  <c r="P2119" i="36"/>
  <c r="P2118" i="36"/>
  <c r="P2117" i="36"/>
  <c r="P2116" i="36"/>
  <c r="P2115" i="36"/>
  <c r="P2114" i="36"/>
  <c r="P2113" i="36"/>
  <c r="P2112" i="36"/>
  <c r="P2111" i="36"/>
  <c r="P2110" i="36"/>
  <c r="P2109" i="36"/>
  <c r="P2108" i="36"/>
  <c r="P2107" i="36"/>
  <c r="P2106" i="36"/>
  <c r="P2105" i="36"/>
  <c r="P2104" i="36"/>
  <c r="P2103" i="36"/>
  <c r="P2102" i="36"/>
  <c r="P2101" i="36"/>
  <c r="P2100" i="36"/>
  <c r="P2099" i="36"/>
  <c r="P2098" i="36"/>
  <c r="P2097" i="36"/>
  <c r="P2096" i="36"/>
  <c r="P2095" i="36"/>
  <c r="P2094" i="36"/>
  <c r="P2093" i="36"/>
  <c r="P2092" i="36"/>
  <c r="P2091" i="36"/>
  <c r="P2090" i="36"/>
  <c r="P2089" i="36"/>
  <c r="P2088" i="36"/>
  <c r="P2087" i="36"/>
  <c r="P2086" i="36"/>
  <c r="P2085" i="36"/>
  <c r="P2084" i="36"/>
  <c r="P2083" i="36"/>
  <c r="P2082" i="36"/>
  <c r="P2081" i="36"/>
  <c r="P2080" i="36"/>
  <c r="P2079" i="36"/>
  <c r="P2078" i="36"/>
  <c r="P2077" i="36"/>
  <c r="P2076" i="36"/>
  <c r="P2075" i="36"/>
  <c r="P2074" i="36"/>
  <c r="P2073" i="36"/>
  <c r="P2072" i="36"/>
  <c r="P2071" i="36"/>
  <c r="P2070" i="36"/>
  <c r="P2069" i="36"/>
  <c r="P2068" i="36"/>
  <c r="P2067" i="36"/>
  <c r="P2066" i="36"/>
  <c r="P2065" i="36"/>
  <c r="P2064" i="36"/>
  <c r="P2063" i="36"/>
  <c r="P2062" i="36"/>
  <c r="P2061" i="36"/>
  <c r="P2060" i="36"/>
  <c r="P2059" i="36"/>
  <c r="P2058" i="36"/>
  <c r="P2057" i="36"/>
  <c r="P2056" i="36"/>
  <c r="P2055" i="36"/>
  <c r="P2054" i="36"/>
  <c r="P2053" i="36"/>
  <c r="P2052" i="36"/>
  <c r="P2051" i="36"/>
  <c r="P2050" i="36"/>
  <c r="P2049" i="36"/>
  <c r="P2048" i="36"/>
  <c r="P2047" i="36"/>
  <c r="P2046" i="36"/>
  <c r="P2045" i="36"/>
  <c r="P2044" i="36"/>
  <c r="P2043" i="36"/>
  <c r="P2042" i="36"/>
  <c r="P2041" i="36"/>
  <c r="P2040" i="36"/>
  <c r="P2039" i="36"/>
  <c r="P2038" i="36"/>
  <c r="P2037" i="36"/>
  <c r="P2036" i="36"/>
  <c r="P2035" i="36"/>
  <c r="P2034" i="36"/>
  <c r="P2033" i="36"/>
  <c r="P2032" i="36"/>
  <c r="P2031" i="36"/>
  <c r="P2030" i="36"/>
  <c r="P2029" i="36"/>
  <c r="P2028" i="36"/>
  <c r="P2027" i="36"/>
  <c r="P2026" i="36"/>
  <c r="P2025" i="36"/>
  <c r="P2024" i="36"/>
  <c r="P2023" i="36"/>
  <c r="P2022" i="36"/>
  <c r="P2021" i="36"/>
  <c r="P2020" i="36"/>
  <c r="P2019" i="36"/>
  <c r="P2018" i="36"/>
  <c r="P2017" i="36"/>
  <c r="P2016" i="36"/>
  <c r="P2015" i="36"/>
  <c r="P2014" i="36"/>
  <c r="P2013" i="36"/>
  <c r="P2012" i="36"/>
  <c r="P2011" i="36"/>
  <c r="P2010" i="36"/>
  <c r="P2009" i="36"/>
  <c r="P2008" i="36"/>
  <c r="P2007" i="36"/>
  <c r="P2006" i="36"/>
  <c r="P2005" i="36"/>
  <c r="P2004" i="36"/>
  <c r="P2003" i="36"/>
  <c r="P2002" i="36"/>
  <c r="P2001" i="36"/>
  <c r="P2000" i="36"/>
  <c r="P1999" i="36"/>
  <c r="P1998" i="36"/>
  <c r="P1997" i="36"/>
  <c r="P1996" i="36"/>
  <c r="P1995" i="36"/>
  <c r="P1994" i="36"/>
  <c r="P1993" i="36"/>
  <c r="P1992" i="36"/>
  <c r="P1991" i="36"/>
  <c r="P1990" i="36"/>
  <c r="P1989" i="36"/>
  <c r="P1988" i="36"/>
  <c r="P1987" i="36"/>
  <c r="P1986" i="36"/>
  <c r="P1985" i="36"/>
  <c r="P1984" i="36"/>
  <c r="P1983" i="36"/>
  <c r="P1982" i="36"/>
  <c r="P1981" i="36"/>
  <c r="P1980" i="36"/>
  <c r="P1979" i="36"/>
  <c r="P1978" i="36"/>
  <c r="P1977" i="36"/>
  <c r="P1976" i="36"/>
  <c r="P1975" i="36"/>
  <c r="P1974" i="36"/>
  <c r="P1973" i="36"/>
  <c r="P1972" i="36"/>
  <c r="P1971" i="36"/>
  <c r="P1970" i="36"/>
  <c r="P1969" i="36"/>
  <c r="P1968" i="36"/>
  <c r="P1967" i="36"/>
  <c r="P1966" i="36"/>
  <c r="P1965" i="36"/>
  <c r="P1964" i="36"/>
  <c r="P1963" i="36"/>
  <c r="P1962" i="36"/>
  <c r="P1961" i="36"/>
  <c r="P1960" i="36"/>
  <c r="P1959" i="36"/>
  <c r="P1958" i="36"/>
  <c r="P1957" i="36"/>
  <c r="P1956" i="36"/>
  <c r="P1955" i="36"/>
  <c r="P1954" i="36"/>
  <c r="P1953" i="36"/>
  <c r="P1952" i="36"/>
  <c r="P1951" i="36"/>
  <c r="P1950" i="36"/>
  <c r="P1949" i="36"/>
  <c r="P1948" i="36"/>
  <c r="P1947" i="36"/>
  <c r="P1946" i="36"/>
  <c r="P1945" i="36"/>
  <c r="P1944" i="36"/>
  <c r="P1943" i="36"/>
  <c r="P1942" i="36"/>
  <c r="P1941" i="36"/>
  <c r="P1940" i="36"/>
  <c r="P1939" i="36"/>
  <c r="P1938" i="36"/>
  <c r="P1937" i="36"/>
  <c r="P1936" i="36"/>
  <c r="P1935" i="36"/>
  <c r="P1934" i="36"/>
  <c r="P1933" i="36"/>
  <c r="P1932" i="36"/>
  <c r="P1931" i="36"/>
  <c r="P1930" i="36"/>
  <c r="P1929" i="36"/>
  <c r="P1928" i="36"/>
  <c r="P1927" i="36"/>
  <c r="P1926" i="36"/>
  <c r="P1925" i="36"/>
  <c r="P1924" i="36"/>
  <c r="P1923" i="36"/>
  <c r="P1922" i="36"/>
  <c r="P1921" i="36"/>
  <c r="P1920" i="36"/>
  <c r="P1919" i="36"/>
  <c r="P1918" i="36"/>
  <c r="P1917" i="36"/>
  <c r="P1916" i="36"/>
  <c r="P1915" i="36"/>
  <c r="P1914" i="36"/>
  <c r="P1913" i="36"/>
  <c r="P1912" i="36"/>
  <c r="P1911" i="36"/>
  <c r="P1910" i="36"/>
  <c r="P1909" i="36"/>
  <c r="P1908" i="36"/>
  <c r="P1907" i="36"/>
  <c r="P1906" i="36"/>
  <c r="P1905" i="36"/>
  <c r="P1904" i="36"/>
  <c r="P1903" i="36"/>
  <c r="P1902" i="36"/>
  <c r="P1901" i="36"/>
  <c r="P1900" i="36"/>
  <c r="P1899" i="36"/>
  <c r="P1898" i="36"/>
  <c r="P1897" i="36"/>
  <c r="P1896" i="36"/>
  <c r="P1895" i="36"/>
  <c r="P1894" i="36"/>
  <c r="P1893" i="36"/>
  <c r="P1892" i="36"/>
  <c r="P1891" i="36"/>
  <c r="P1890" i="36"/>
  <c r="P1889" i="36"/>
  <c r="P1888" i="36"/>
  <c r="P1887" i="36"/>
  <c r="P1886" i="36"/>
  <c r="P1885" i="36"/>
  <c r="P1884" i="36"/>
  <c r="P1883" i="36"/>
  <c r="P1882" i="36"/>
  <c r="P1881" i="36"/>
  <c r="P1880" i="36"/>
  <c r="P1879" i="36"/>
  <c r="P1878" i="36"/>
  <c r="P1877" i="36"/>
  <c r="P1876" i="36"/>
  <c r="P1875" i="36"/>
  <c r="P1874" i="36"/>
  <c r="P1873" i="36"/>
  <c r="P1872" i="36"/>
  <c r="P1871" i="36"/>
  <c r="P1870" i="36"/>
  <c r="P1869" i="36"/>
  <c r="P1868" i="36"/>
  <c r="P1867" i="36"/>
  <c r="P1866" i="36"/>
  <c r="P1865" i="36"/>
  <c r="P1864" i="36"/>
  <c r="P1863" i="36"/>
  <c r="P1862" i="36"/>
  <c r="P1861" i="36"/>
  <c r="P1860" i="36"/>
  <c r="P1859" i="36"/>
  <c r="P1858" i="36"/>
  <c r="P1857" i="36"/>
  <c r="P1856" i="36"/>
  <c r="P1855" i="36"/>
  <c r="P1854" i="36"/>
  <c r="P1853" i="36"/>
  <c r="P1852" i="36"/>
  <c r="P1851" i="36"/>
  <c r="P1850" i="36"/>
  <c r="P1849" i="36"/>
  <c r="P1848" i="36"/>
  <c r="P1847" i="36"/>
  <c r="P1846" i="36"/>
  <c r="P1845" i="36"/>
  <c r="P1844" i="36"/>
  <c r="P1843" i="36"/>
  <c r="P1842" i="36"/>
  <c r="P1841" i="36"/>
  <c r="P1840" i="36"/>
  <c r="P1839" i="36"/>
  <c r="P1838" i="36"/>
  <c r="P1837" i="36"/>
  <c r="P1836" i="36"/>
  <c r="P1835" i="36"/>
  <c r="P1834" i="36"/>
  <c r="P1833" i="36"/>
  <c r="P1832" i="36"/>
  <c r="P1831" i="36"/>
  <c r="P1830" i="36"/>
  <c r="P1829" i="36"/>
  <c r="P1828" i="36"/>
  <c r="P1827" i="36"/>
  <c r="P1826" i="36"/>
  <c r="P1825" i="36"/>
  <c r="P1824" i="36"/>
  <c r="P1823" i="36"/>
  <c r="P1822" i="36"/>
  <c r="P1821" i="36"/>
  <c r="P1820" i="36"/>
  <c r="P1819" i="36"/>
  <c r="P1818" i="36"/>
  <c r="P1817" i="36"/>
  <c r="P1816" i="36"/>
  <c r="P1815" i="36"/>
  <c r="P1814" i="36"/>
  <c r="P1813" i="36"/>
  <c r="P1812" i="36"/>
  <c r="P1811" i="36"/>
  <c r="P1810" i="36"/>
  <c r="P1809" i="36"/>
  <c r="P1808" i="36"/>
  <c r="P1807" i="36"/>
  <c r="P1806" i="36"/>
  <c r="P1805" i="36"/>
  <c r="P1804" i="36"/>
  <c r="P1803" i="36"/>
  <c r="P1802" i="36"/>
  <c r="P1801" i="36"/>
  <c r="P1800" i="36"/>
  <c r="P1799" i="36"/>
  <c r="P1798" i="36"/>
  <c r="P1797" i="36"/>
  <c r="P1796" i="36"/>
  <c r="P1795" i="36"/>
  <c r="P1794" i="36"/>
  <c r="P1793" i="36"/>
  <c r="P1792" i="36"/>
  <c r="P1791" i="36"/>
  <c r="P1790" i="36"/>
  <c r="P1789" i="36"/>
  <c r="P1788" i="36"/>
  <c r="P1787" i="36"/>
  <c r="P1786" i="36"/>
  <c r="P1785" i="36"/>
  <c r="P1784" i="36"/>
  <c r="P1783" i="36"/>
  <c r="P1782" i="36"/>
  <c r="P1781" i="36"/>
  <c r="P1780" i="36"/>
  <c r="P1779" i="36"/>
  <c r="P1778" i="36"/>
  <c r="P1777" i="36"/>
  <c r="P1776" i="36"/>
  <c r="P1775" i="36"/>
  <c r="P1774" i="36"/>
  <c r="P1773" i="36"/>
  <c r="P1772" i="36"/>
  <c r="P1771" i="36"/>
  <c r="P1770" i="36"/>
  <c r="P1769" i="36"/>
  <c r="P1768" i="36"/>
  <c r="P1767" i="36"/>
  <c r="P1766" i="36"/>
  <c r="P1765" i="36"/>
  <c r="P1764" i="36"/>
  <c r="P1763" i="36"/>
  <c r="P1762" i="36"/>
  <c r="P1761" i="36"/>
  <c r="P1760" i="36"/>
  <c r="P1759" i="36"/>
  <c r="P1758" i="36"/>
  <c r="P1757" i="36"/>
  <c r="P1756" i="36"/>
  <c r="P1755" i="36"/>
  <c r="P1754" i="36"/>
  <c r="P1753" i="36"/>
  <c r="P1752" i="36"/>
  <c r="P1751" i="36"/>
  <c r="P1750" i="36"/>
  <c r="P1749" i="36"/>
  <c r="P1748" i="36"/>
  <c r="P1747" i="36"/>
  <c r="P1746" i="36"/>
  <c r="P1745" i="36"/>
  <c r="P1744" i="36"/>
  <c r="P1743" i="36"/>
  <c r="P1742" i="36"/>
  <c r="P1741" i="36"/>
  <c r="P1740" i="36"/>
  <c r="P1739" i="36"/>
  <c r="P1738" i="36"/>
  <c r="P1737" i="36"/>
  <c r="P1736" i="36"/>
  <c r="P1735" i="36"/>
  <c r="P1734" i="36"/>
  <c r="P1733" i="36"/>
  <c r="P1732" i="36"/>
  <c r="P1731" i="36"/>
  <c r="P1730" i="36"/>
  <c r="P1729" i="36"/>
  <c r="P1728" i="36"/>
  <c r="P1727" i="36"/>
  <c r="P1726" i="36"/>
  <c r="P1725" i="36"/>
  <c r="P1724" i="36"/>
  <c r="P1723" i="36"/>
  <c r="P1722" i="36"/>
  <c r="P1721" i="36"/>
  <c r="P1720" i="36"/>
  <c r="P1719" i="36"/>
  <c r="P1718" i="36"/>
  <c r="P1717" i="36"/>
  <c r="P1716" i="36"/>
  <c r="P1715" i="36"/>
  <c r="P1714" i="36"/>
  <c r="P1713" i="36"/>
  <c r="P1712" i="36"/>
  <c r="P1711" i="36"/>
  <c r="P1710" i="36"/>
  <c r="P1709" i="36"/>
  <c r="P1708" i="36"/>
  <c r="P1707" i="36"/>
  <c r="P1706" i="36"/>
  <c r="P1705" i="36"/>
  <c r="P1704" i="36"/>
  <c r="P1703" i="36"/>
  <c r="P1702" i="36"/>
  <c r="P1701" i="36"/>
  <c r="P1700" i="36"/>
  <c r="P1699" i="36"/>
  <c r="P1698" i="36"/>
  <c r="P1697" i="36"/>
  <c r="P1696" i="36"/>
  <c r="P1695" i="36"/>
  <c r="P1694" i="36"/>
  <c r="P1693" i="36"/>
  <c r="P1692" i="36"/>
  <c r="P1691" i="36"/>
  <c r="P1690" i="36"/>
  <c r="P1689" i="36"/>
  <c r="P1688" i="36"/>
  <c r="P1687" i="36"/>
  <c r="P1686" i="36"/>
  <c r="P1685" i="36"/>
  <c r="P1684" i="36"/>
  <c r="P1683" i="36"/>
  <c r="P1682" i="36"/>
  <c r="P1681" i="36"/>
  <c r="P1680" i="36"/>
  <c r="P1679" i="36"/>
  <c r="P1678" i="36"/>
  <c r="P1677" i="36"/>
  <c r="P1676" i="36"/>
  <c r="P1675" i="36"/>
  <c r="P1674" i="36"/>
  <c r="P1673" i="36"/>
  <c r="P1672" i="36"/>
  <c r="P1671" i="36"/>
  <c r="P1670" i="36"/>
  <c r="P1669" i="36"/>
  <c r="P1668" i="36"/>
  <c r="P1667" i="36"/>
  <c r="P1666" i="36"/>
  <c r="P1665" i="36"/>
  <c r="P1664" i="36"/>
  <c r="P1663" i="36"/>
  <c r="P1662" i="36"/>
  <c r="P1661" i="36"/>
  <c r="P1660" i="36"/>
  <c r="P1659" i="36"/>
  <c r="P1658" i="36"/>
  <c r="P1657" i="36"/>
  <c r="P1656" i="36"/>
  <c r="P1655" i="36"/>
  <c r="P1654" i="36"/>
  <c r="P1653" i="36"/>
  <c r="P1652" i="36"/>
  <c r="P1651" i="36"/>
  <c r="P1650" i="36"/>
  <c r="P1649" i="36"/>
  <c r="P1648" i="36"/>
  <c r="P1647" i="36"/>
  <c r="P1646" i="36"/>
  <c r="P1645" i="36"/>
  <c r="P1644" i="36"/>
  <c r="P1643" i="36"/>
  <c r="P1642" i="36"/>
  <c r="P1641" i="36"/>
  <c r="P1640" i="36"/>
  <c r="P1639" i="36"/>
  <c r="P1638" i="36"/>
  <c r="P1637" i="36"/>
  <c r="P1636" i="36"/>
  <c r="P1635" i="36"/>
  <c r="P1634" i="36"/>
  <c r="P1633" i="36"/>
  <c r="P1632" i="36"/>
  <c r="P1631" i="36"/>
  <c r="P1630" i="36"/>
  <c r="P1629" i="36"/>
  <c r="P1628" i="36"/>
  <c r="P1627" i="36"/>
  <c r="P1626" i="36"/>
  <c r="P1625" i="36"/>
  <c r="P1624" i="36"/>
  <c r="P1623" i="36"/>
  <c r="P1622" i="36"/>
  <c r="P1621" i="36"/>
  <c r="P1620" i="36"/>
  <c r="P1619" i="36"/>
  <c r="P1618" i="36"/>
  <c r="P1617" i="36"/>
  <c r="P1616" i="36"/>
  <c r="P1615" i="36"/>
  <c r="P1614" i="36"/>
  <c r="P1613" i="36"/>
  <c r="P1612" i="36"/>
  <c r="P1611" i="36"/>
  <c r="P1610" i="36"/>
  <c r="P1609" i="36"/>
  <c r="P1608" i="36"/>
  <c r="P1607" i="36"/>
  <c r="P1606" i="36"/>
  <c r="P1605" i="36"/>
  <c r="P1604" i="36"/>
  <c r="P1603" i="36"/>
  <c r="P1602" i="36"/>
  <c r="P1601" i="36"/>
  <c r="P1600" i="36"/>
  <c r="P1599" i="36"/>
  <c r="P1598" i="36"/>
  <c r="P1597" i="36"/>
  <c r="P1596" i="36"/>
  <c r="P1595" i="36"/>
  <c r="P1594" i="36"/>
  <c r="P1593" i="36"/>
  <c r="P1592" i="36"/>
  <c r="P1591" i="36"/>
  <c r="P1590" i="36"/>
  <c r="P1589" i="36"/>
  <c r="P1588" i="36"/>
  <c r="P1587" i="36"/>
  <c r="P1586" i="36"/>
  <c r="P1585" i="36"/>
  <c r="P1584" i="36"/>
  <c r="P1583" i="36"/>
  <c r="P1582" i="36"/>
  <c r="P1581" i="36"/>
  <c r="P1580" i="36"/>
  <c r="P1579" i="36"/>
  <c r="P1578" i="36"/>
  <c r="P1577" i="36"/>
  <c r="P1576" i="36"/>
  <c r="P1575" i="36"/>
  <c r="P1574" i="36"/>
  <c r="P1573" i="36"/>
  <c r="P1572" i="36"/>
  <c r="P1571" i="36"/>
  <c r="P1570" i="36"/>
  <c r="P1569" i="36"/>
  <c r="P1568" i="36"/>
  <c r="P1567" i="36"/>
  <c r="P1566" i="36"/>
  <c r="P1565" i="36"/>
  <c r="P1564" i="36"/>
  <c r="P1563" i="36"/>
  <c r="P1562" i="36"/>
  <c r="P1561" i="36"/>
  <c r="P1560" i="36"/>
  <c r="P1559" i="36"/>
  <c r="P1558" i="36"/>
  <c r="P1557" i="36"/>
  <c r="P1556" i="36"/>
  <c r="P1555" i="36"/>
  <c r="P1554" i="36"/>
  <c r="P1553" i="36"/>
  <c r="P1552" i="36"/>
  <c r="P1551" i="36"/>
  <c r="P1550" i="36"/>
  <c r="P1549" i="36"/>
  <c r="P1548" i="36"/>
  <c r="P1547" i="36"/>
  <c r="P1546" i="36"/>
  <c r="P1545" i="36"/>
  <c r="P1544" i="36"/>
  <c r="P1543" i="36"/>
  <c r="P1542" i="36"/>
  <c r="P1541" i="36"/>
  <c r="P1540" i="36"/>
  <c r="P1539" i="36"/>
  <c r="P1538" i="36"/>
  <c r="P1537" i="36"/>
  <c r="P1536" i="36"/>
  <c r="P1535" i="36"/>
  <c r="P1534" i="36"/>
  <c r="P1533" i="36"/>
  <c r="P1532" i="36"/>
  <c r="P1531" i="36"/>
  <c r="P1530" i="36"/>
  <c r="P1529" i="36"/>
  <c r="P1528" i="36"/>
  <c r="P1527" i="36"/>
  <c r="P1526" i="36"/>
  <c r="P1525" i="36"/>
  <c r="P1524" i="36"/>
  <c r="P1523" i="36"/>
  <c r="P1522" i="36"/>
  <c r="P1521" i="36"/>
  <c r="P1520" i="36"/>
  <c r="P1519" i="36"/>
  <c r="P1518" i="36"/>
  <c r="P1517" i="36"/>
  <c r="P1516" i="36"/>
  <c r="P1515" i="36"/>
  <c r="P1514" i="36"/>
  <c r="P1513" i="36"/>
  <c r="P1512" i="36"/>
  <c r="P1511" i="36"/>
  <c r="P1510" i="36"/>
  <c r="P1509" i="36"/>
  <c r="P1508" i="36"/>
  <c r="P1507" i="36"/>
  <c r="P1506" i="36"/>
  <c r="P1505" i="36"/>
  <c r="P1504" i="36"/>
  <c r="P1503" i="36"/>
  <c r="P1502" i="36"/>
  <c r="P1501" i="36"/>
  <c r="P1500" i="36"/>
  <c r="P1499" i="36"/>
  <c r="P1498" i="36"/>
  <c r="P1497" i="36"/>
  <c r="P1496" i="36"/>
  <c r="P1495" i="36"/>
  <c r="P1494" i="36"/>
  <c r="P1493" i="36"/>
  <c r="P1492" i="36"/>
  <c r="P1491" i="36"/>
  <c r="P1490" i="36"/>
  <c r="P1489" i="36"/>
  <c r="P1488" i="36"/>
  <c r="P1487" i="36"/>
  <c r="P1486" i="36"/>
  <c r="P1485" i="36"/>
  <c r="P1484" i="36"/>
  <c r="P1483" i="36"/>
  <c r="P1482" i="36"/>
  <c r="P1481" i="36"/>
  <c r="P1480" i="36"/>
  <c r="P1479" i="36"/>
  <c r="P1478" i="36"/>
  <c r="P1477" i="36"/>
  <c r="P1476" i="36"/>
  <c r="P1475" i="36"/>
  <c r="P1474" i="36"/>
  <c r="P1473" i="36"/>
  <c r="P1472" i="36"/>
  <c r="P1471" i="36"/>
  <c r="P1470" i="36"/>
  <c r="P1469" i="36"/>
  <c r="P1468" i="36"/>
  <c r="P1467" i="36"/>
  <c r="P1466" i="36"/>
  <c r="P1465" i="36"/>
  <c r="P1464" i="36"/>
  <c r="P1463" i="36"/>
  <c r="P1462" i="36"/>
  <c r="P1461" i="36"/>
  <c r="P1460" i="36"/>
  <c r="P1459" i="36"/>
  <c r="P1458" i="36"/>
  <c r="P1457" i="36"/>
  <c r="P1456" i="36"/>
  <c r="P1455" i="36"/>
  <c r="P1454" i="36"/>
  <c r="P1453" i="36"/>
  <c r="P1452" i="36"/>
  <c r="P1451" i="36"/>
  <c r="P1450" i="36"/>
  <c r="P1449" i="36"/>
  <c r="P1448" i="36"/>
  <c r="P1447" i="36"/>
  <c r="P1446" i="36"/>
  <c r="P1445" i="36"/>
  <c r="P1444" i="36"/>
  <c r="P1443" i="36"/>
  <c r="P1442" i="36"/>
  <c r="P1441" i="36"/>
  <c r="P1440" i="36"/>
  <c r="P1439" i="36"/>
  <c r="P1438" i="36"/>
  <c r="P1437" i="36"/>
  <c r="P1436" i="36"/>
  <c r="P1435" i="36"/>
  <c r="P1434" i="36"/>
  <c r="P1433" i="36"/>
  <c r="P1432" i="36"/>
  <c r="P1431" i="36"/>
  <c r="P1430" i="36"/>
  <c r="P1429" i="36"/>
  <c r="P1428" i="36"/>
  <c r="P1427" i="36"/>
  <c r="P1426" i="36"/>
  <c r="P1425" i="36"/>
  <c r="P1424" i="36"/>
  <c r="P1423" i="36"/>
  <c r="P1422" i="36"/>
  <c r="P1421" i="36"/>
  <c r="P1420" i="36"/>
  <c r="P1419" i="36"/>
  <c r="P1418" i="36"/>
  <c r="P1417" i="36"/>
  <c r="P1416" i="36"/>
  <c r="P1415" i="36"/>
  <c r="P1414" i="36"/>
  <c r="P1413" i="36"/>
  <c r="P1412" i="36"/>
  <c r="P1411" i="36"/>
  <c r="P1410" i="36"/>
  <c r="P1409" i="36"/>
  <c r="P1408" i="36"/>
  <c r="P1407" i="36"/>
  <c r="P1406" i="36"/>
  <c r="P1405" i="36"/>
  <c r="P1404" i="36"/>
  <c r="P1403" i="36"/>
  <c r="P1402" i="36"/>
  <c r="P1401" i="36"/>
  <c r="P1400" i="36"/>
  <c r="P1399" i="36"/>
  <c r="P1398" i="36"/>
  <c r="P1397" i="36"/>
  <c r="P1396" i="36"/>
  <c r="P1395" i="36"/>
  <c r="P1394" i="36"/>
  <c r="P1393" i="36"/>
  <c r="P1392" i="36"/>
  <c r="P1391" i="36"/>
  <c r="P1390" i="36"/>
  <c r="P1389" i="36"/>
  <c r="P1388" i="36"/>
  <c r="P1387" i="36"/>
  <c r="P1386" i="36"/>
  <c r="P1385" i="36"/>
  <c r="P1384" i="36"/>
  <c r="P1383" i="36"/>
  <c r="P1382" i="36"/>
  <c r="P1381" i="36"/>
  <c r="P1380" i="36"/>
  <c r="P1379" i="36"/>
  <c r="P1378" i="36"/>
  <c r="P1377" i="36"/>
  <c r="P1376" i="36"/>
  <c r="P1375" i="36"/>
  <c r="P1374" i="36"/>
  <c r="P1373" i="36"/>
  <c r="P1372" i="36"/>
  <c r="P1371" i="36"/>
  <c r="P1370" i="36"/>
  <c r="P1369" i="36"/>
  <c r="P1368" i="36"/>
  <c r="P1367" i="36"/>
  <c r="P1366" i="36"/>
  <c r="P1365" i="36"/>
  <c r="P1364" i="36"/>
  <c r="P1363" i="36"/>
  <c r="P1362" i="36"/>
  <c r="P1361" i="36"/>
  <c r="P1360" i="36"/>
  <c r="P1359" i="36"/>
  <c r="P1358" i="36"/>
  <c r="P1357" i="36"/>
  <c r="P1356" i="36"/>
  <c r="P1355" i="36"/>
  <c r="P1354" i="36"/>
  <c r="P1353" i="36"/>
  <c r="P1352" i="36"/>
  <c r="P1351" i="36"/>
  <c r="P1350" i="36"/>
  <c r="P1349" i="36"/>
  <c r="P1348" i="36"/>
  <c r="P1347" i="36"/>
  <c r="P1346" i="36"/>
  <c r="P1345" i="36"/>
  <c r="P1344" i="36"/>
  <c r="P1343" i="36"/>
  <c r="P1342" i="36"/>
  <c r="P1341" i="36"/>
  <c r="P1340" i="36"/>
  <c r="P1339" i="36"/>
  <c r="P1338" i="36"/>
  <c r="P1337" i="36"/>
  <c r="P1336" i="36"/>
  <c r="P1335" i="36"/>
  <c r="P1334" i="36"/>
  <c r="P1333" i="36"/>
  <c r="P1332" i="36"/>
  <c r="P1331" i="36"/>
  <c r="P1330" i="36"/>
  <c r="P1329" i="36"/>
  <c r="P1328" i="36"/>
  <c r="P1327" i="36"/>
  <c r="P1326" i="36"/>
  <c r="P1325" i="36"/>
  <c r="P1324" i="36"/>
  <c r="P1323" i="36"/>
  <c r="P1322" i="36"/>
  <c r="P1321" i="36"/>
  <c r="P1320" i="36"/>
  <c r="P1319" i="36"/>
  <c r="P1318" i="36"/>
  <c r="P1317" i="36"/>
  <c r="P1316" i="36"/>
  <c r="P1315" i="36"/>
  <c r="P1314" i="36"/>
  <c r="P1313" i="36"/>
  <c r="P1312" i="36"/>
  <c r="P1311" i="36"/>
  <c r="P1310" i="36"/>
  <c r="P1309" i="36"/>
  <c r="P1308" i="36"/>
  <c r="P1307" i="36"/>
  <c r="P1306" i="36"/>
  <c r="P1305" i="36"/>
  <c r="P1304" i="36"/>
  <c r="P1303" i="36"/>
  <c r="P1302" i="36"/>
  <c r="P1301" i="36"/>
  <c r="P1300" i="36"/>
  <c r="P1299" i="36"/>
  <c r="P1298" i="36"/>
  <c r="P1297" i="36"/>
  <c r="P1296" i="36"/>
  <c r="P1295" i="36"/>
  <c r="P1294" i="36"/>
  <c r="P1293" i="36"/>
  <c r="P1292" i="36"/>
  <c r="P1291" i="36"/>
  <c r="P1290" i="36"/>
  <c r="P1289" i="36"/>
  <c r="P1288" i="36"/>
  <c r="P1287" i="36"/>
  <c r="P1286" i="36"/>
  <c r="P1285" i="36"/>
  <c r="P1284" i="36"/>
  <c r="P1283" i="36"/>
  <c r="P1282" i="36"/>
  <c r="P1281" i="36"/>
  <c r="P1280" i="36"/>
  <c r="P1279" i="36"/>
  <c r="P1278" i="36"/>
  <c r="P1277" i="36"/>
  <c r="P1276" i="36"/>
  <c r="P1275" i="36"/>
  <c r="P1274" i="36"/>
  <c r="P1273" i="36"/>
  <c r="P1272" i="36"/>
  <c r="P1271" i="36"/>
  <c r="P1270" i="36"/>
  <c r="P1269" i="36"/>
  <c r="P1268" i="36"/>
  <c r="P1267" i="36"/>
  <c r="P1266" i="36"/>
  <c r="P1265" i="36"/>
  <c r="P1264" i="36"/>
  <c r="P1263" i="36"/>
  <c r="P1262" i="36"/>
  <c r="P1261" i="36"/>
  <c r="P1260" i="36"/>
  <c r="P1259" i="36"/>
  <c r="P1258" i="36"/>
  <c r="P1257" i="36"/>
  <c r="P1256" i="36"/>
  <c r="P1255" i="36"/>
  <c r="P1254" i="36"/>
  <c r="P1253" i="36"/>
  <c r="P1252" i="36"/>
  <c r="P1251" i="36"/>
  <c r="P1250" i="36"/>
  <c r="P1249" i="36"/>
  <c r="P1248" i="36"/>
  <c r="P1247" i="36"/>
  <c r="P1246" i="36"/>
  <c r="P1245" i="36"/>
  <c r="P1244" i="36"/>
  <c r="P1243" i="36"/>
  <c r="P1242" i="36"/>
  <c r="P1241" i="36"/>
  <c r="P1240" i="36"/>
  <c r="P1239" i="36"/>
  <c r="P1238" i="36"/>
  <c r="P1237" i="36"/>
  <c r="P1236" i="36"/>
  <c r="P1235" i="36"/>
  <c r="P1234" i="36"/>
  <c r="P1233" i="36"/>
  <c r="P1232" i="36"/>
  <c r="P1231" i="36"/>
  <c r="P1230" i="36"/>
  <c r="P1229" i="36"/>
  <c r="P1228" i="36"/>
  <c r="P1227" i="36"/>
  <c r="P1226" i="36"/>
  <c r="P1225" i="36"/>
  <c r="P1224" i="36"/>
  <c r="P1223" i="36"/>
  <c r="P1222" i="36"/>
  <c r="P1221" i="36"/>
  <c r="P1220" i="36"/>
  <c r="P1219" i="36"/>
  <c r="P1218" i="36"/>
  <c r="P1217" i="36"/>
  <c r="P1216" i="36"/>
  <c r="P1215" i="36"/>
  <c r="P1214" i="36"/>
  <c r="P1213" i="36"/>
  <c r="P1212" i="36"/>
  <c r="P1211" i="36"/>
  <c r="P1210" i="36"/>
  <c r="P1209" i="36"/>
  <c r="P1208" i="36"/>
  <c r="P1207" i="36"/>
  <c r="P1206" i="36"/>
  <c r="P1205" i="36"/>
  <c r="P1204" i="36"/>
  <c r="P1203" i="36"/>
  <c r="P1202" i="36"/>
  <c r="P1201" i="36"/>
  <c r="P1200" i="36"/>
  <c r="P1199" i="36"/>
  <c r="P1198" i="36"/>
  <c r="P1197" i="36"/>
  <c r="P1196" i="36"/>
  <c r="P1195" i="36"/>
  <c r="P1194" i="36"/>
  <c r="P1193" i="36"/>
  <c r="P1192" i="36"/>
  <c r="P1191" i="36"/>
  <c r="P1190" i="36"/>
  <c r="P1189" i="36"/>
  <c r="P1188" i="36"/>
  <c r="P1187" i="36"/>
  <c r="P1186" i="36"/>
  <c r="P1185" i="36"/>
  <c r="P1184" i="36"/>
  <c r="P1183" i="36"/>
  <c r="P1182" i="36"/>
  <c r="P1181" i="36"/>
  <c r="P1180" i="36"/>
  <c r="P1179" i="36"/>
  <c r="P1178" i="36"/>
  <c r="P1177" i="36"/>
  <c r="P1176" i="36"/>
  <c r="P1175" i="36"/>
  <c r="P1174" i="36"/>
  <c r="P1173" i="36"/>
  <c r="P1172" i="36"/>
  <c r="P1171" i="36"/>
  <c r="P1170" i="36"/>
  <c r="P1169" i="36"/>
  <c r="P1168" i="36"/>
  <c r="P1167" i="36"/>
  <c r="P1166" i="36"/>
  <c r="P1165" i="36"/>
  <c r="P1164" i="36"/>
  <c r="P1163" i="36"/>
  <c r="P1162" i="36"/>
  <c r="P1161" i="36"/>
  <c r="P1160" i="36"/>
  <c r="P1159" i="36"/>
  <c r="P1158" i="36"/>
  <c r="P1157" i="36"/>
  <c r="P1156" i="36"/>
  <c r="P1155" i="36"/>
  <c r="P1154" i="36"/>
  <c r="P1153" i="36"/>
  <c r="P1152" i="36"/>
  <c r="P1151" i="36"/>
  <c r="P1150" i="36"/>
  <c r="P1149" i="36"/>
  <c r="P1148" i="36"/>
  <c r="P1147" i="36"/>
  <c r="P1146" i="36"/>
  <c r="P1145" i="36"/>
  <c r="P1144" i="36"/>
  <c r="P1143" i="36"/>
  <c r="P1142" i="36"/>
  <c r="P1141" i="36"/>
  <c r="P1140" i="36"/>
  <c r="P1139" i="36"/>
  <c r="P1138" i="36"/>
  <c r="P1137" i="36"/>
  <c r="P1136" i="36"/>
  <c r="P1135" i="36"/>
  <c r="P1134" i="36"/>
  <c r="P1133" i="36"/>
  <c r="P1132" i="36"/>
  <c r="P1131" i="36"/>
  <c r="P1130" i="36"/>
  <c r="P1129" i="36"/>
  <c r="P1128" i="36"/>
  <c r="P1127" i="36"/>
  <c r="P1126" i="36"/>
  <c r="P1125" i="36"/>
  <c r="P1124" i="36"/>
  <c r="P1123" i="36"/>
  <c r="P1122" i="36"/>
  <c r="P1121" i="36"/>
  <c r="P1120" i="36"/>
  <c r="P1119" i="36"/>
  <c r="P1118" i="36"/>
  <c r="P1117" i="36"/>
  <c r="P1116" i="36"/>
  <c r="P1115" i="36"/>
  <c r="P1114" i="36"/>
  <c r="P1113" i="36"/>
  <c r="P1112" i="36"/>
  <c r="P1111" i="36"/>
  <c r="P1110" i="36"/>
  <c r="P1109" i="36"/>
  <c r="P1108" i="36"/>
  <c r="P1107" i="36"/>
  <c r="P1106" i="36"/>
  <c r="P1105" i="36"/>
  <c r="P1104" i="36"/>
  <c r="P1103" i="36"/>
  <c r="P1102" i="36"/>
  <c r="P1101" i="36"/>
  <c r="P1100" i="36"/>
  <c r="P1099" i="36"/>
  <c r="P1098" i="36"/>
  <c r="P1097" i="36"/>
  <c r="P1096" i="36"/>
  <c r="P1095" i="36"/>
  <c r="P1094" i="36"/>
  <c r="P1093" i="36"/>
  <c r="P1092" i="36"/>
  <c r="P1091" i="36"/>
  <c r="P1090" i="36"/>
  <c r="P1089" i="36"/>
  <c r="P1088" i="36"/>
  <c r="P1087" i="36"/>
  <c r="P1086" i="36"/>
  <c r="P1085" i="36"/>
  <c r="P1084" i="36"/>
  <c r="P1083" i="36"/>
  <c r="P1082" i="36"/>
  <c r="P1081" i="36"/>
  <c r="P1080" i="36"/>
  <c r="P1079" i="36"/>
  <c r="P1078" i="36"/>
  <c r="P1077" i="36"/>
  <c r="P1076" i="36"/>
  <c r="P1075" i="36"/>
  <c r="P1074" i="36"/>
  <c r="P1073" i="36"/>
  <c r="P1072" i="36"/>
  <c r="P1071" i="36"/>
  <c r="P1070" i="36"/>
  <c r="P1069" i="36"/>
  <c r="P1068" i="36"/>
  <c r="P1067" i="36"/>
  <c r="P1066" i="36"/>
  <c r="P1065" i="36"/>
  <c r="P1064" i="36"/>
  <c r="P1063" i="36"/>
  <c r="P1062" i="36"/>
  <c r="P1061" i="36"/>
  <c r="P1060" i="36"/>
  <c r="P1059" i="36"/>
  <c r="P1058" i="36"/>
  <c r="P1057" i="36"/>
  <c r="P1056" i="36"/>
  <c r="P1055" i="36"/>
  <c r="P1054" i="36"/>
  <c r="P1053" i="36"/>
  <c r="P1052" i="36"/>
  <c r="P1051" i="36"/>
  <c r="P1050" i="36"/>
  <c r="P1049" i="36"/>
  <c r="P1048" i="36"/>
  <c r="P1047" i="36"/>
  <c r="P1046" i="36"/>
  <c r="P1045" i="36"/>
  <c r="P1044" i="36"/>
  <c r="P1043" i="36"/>
  <c r="P1042" i="36"/>
  <c r="P1041" i="36"/>
  <c r="P1040" i="36"/>
  <c r="P1039" i="36"/>
  <c r="P1038" i="36"/>
  <c r="P1037" i="36"/>
  <c r="P1036" i="36"/>
  <c r="P1035" i="36"/>
  <c r="P1034" i="36"/>
  <c r="P1033" i="36"/>
  <c r="P1032" i="36"/>
  <c r="P1031" i="36"/>
  <c r="P1030" i="36"/>
  <c r="P1029" i="36"/>
  <c r="P1028" i="36"/>
  <c r="P1027" i="36"/>
  <c r="P1026" i="36"/>
  <c r="P1025" i="36"/>
  <c r="P1024" i="36"/>
  <c r="P1023" i="36"/>
  <c r="P1022" i="36"/>
  <c r="P1021" i="36"/>
  <c r="P1020" i="36"/>
  <c r="P1019" i="36"/>
  <c r="P1018" i="36"/>
  <c r="P1017" i="36"/>
  <c r="P1016" i="36"/>
  <c r="P1015" i="36"/>
  <c r="P1014" i="36"/>
  <c r="P1013" i="36"/>
  <c r="P1012" i="36"/>
  <c r="P1011" i="36"/>
  <c r="P1010" i="36"/>
  <c r="P1009" i="36"/>
  <c r="P1008" i="36"/>
  <c r="P1007" i="36"/>
  <c r="P1006" i="36"/>
  <c r="P1005" i="36"/>
  <c r="P1004" i="36"/>
  <c r="P1003" i="36"/>
  <c r="P1002" i="36"/>
  <c r="P1001" i="36"/>
  <c r="P1000" i="36"/>
  <c r="P999" i="36"/>
  <c r="P998" i="36"/>
  <c r="P997" i="36"/>
  <c r="P996" i="36"/>
  <c r="P995" i="36"/>
  <c r="P994" i="36"/>
  <c r="P993" i="36"/>
  <c r="P992" i="36"/>
  <c r="P991" i="36"/>
  <c r="P990" i="36"/>
  <c r="P989" i="36"/>
  <c r="P988" i="36"/>
  <c r="P987" i="36"/>
  <c r="P986" i="36"/>
  <c r="P985" i="36"/>
  <c r="P984" i="36"/>
  <c r="P983" i="36"/>
  <c r="P982" i="36"/>
  <c r="P981" i="36"/>
  <c r="P980" i="36"/>
  <c r="P979" i="36"/>
  <c r="P978" i="36"/>
  <c r="P977" i="36"/>
  <c r="P976" i="36"/>
  <c r="P975" i="36"/>
  <c r="P974" i="36"/>
  <c r="P973" i="36"/>
  <c r="P972" i="36"/>
  <c r="P971" i="36"/>
  <c r="P970" i="36"/>
  <c r="P969" i="36"/>
  <c r="P968" i="36"/>
  <c r="P967" i="36"/>
  <c r="P966" i="36"/>
  <c r="P965" i="36"/>
  <c r="P964" i="36"/>
  <c r="P963" i="36"/>
  <c r="P962" i="36"/>
  <c r="P961" i="36"/>
  <c r="P960" i="36"/>
  <c r="P959" i="36"/>
  <c r="P958" i="36"/>
  <c r="P957" i="36"/>
  <c r="P956" i="36"/>
  <c r="P955" i="36"/>
  <c r="P954" i="36"/>
  <c r="P953" i="36"/>
  <c r="P952" i="36"/>
  <c r="P951" i="36"/>
  <c r="P950" i="36"/>
  <c r="P949" i="36"/>
  <c r="P948" i="36"/>
  <c r="P947" i="36"/>
  <c r="P946" i="36"/>
  <c r="P945" i="36"/>
  <c r="P944" i="36"/>
  <c r="P943" i="36"/>
  <c r="P942" i="36"/>
  <c r="P941" i="36"/>
  <c r="P940" i="36"/>
  <c r="P939" i="36"/>
  <c r="P938" i="36"/>
  <c r="P937" i="36"/>
  <c r="P936" i="36"/>
  <c r="P935" i="36"/>
  <c r="P934" i="36"/>
  <c r="P933" i="36"/>
  <c r="P932" i="36"/>
  <c r="P931" i="36"/>
  <c r="P930" i="36"/>
  <c r="P929" i="36"/>
  <c r="P928" i="36"/>
  <c r="P927" i="36"/>
  <c r="P926" i="36"/>
  <c r="P925" i="36"/>
  <c r="P924" i="36"/>
  <c r="P923" i="36"/>
  <c r="P922" i="36"/>
  <c r="P921" i="36"/>
  <c r="P920" i="36"/>
  <c r="P919" i="36"/>
  <c r="P918" i="36"/>
  <c r="P917" i="36"/>
  <c r="P916" i="36"/>
  <c r="P915" i="36"/>
  <c r="P914" i="36"/>
  <c r="P913" i="36"/>
  <c r="P912" i="36"/>
  <c r="P911" i="36"/>
  <c r="P910" i="36"/>
  <c r="P909" i="36"/>
  <c r="P908" i="36"/>
  <c r="P907" i="36"/>
  <c r="P906" i="36"/>
  <c r="P905" i="36"/>
  <c r="P904" i="36"/>
  <c r="P903" i="36"/>
  <c r="P902" i="36"/>
  <c r="P901" i="36"/>
  <c r="P900" i="36"/>
  <c r="P899" i="36"/>
  <c r="P898" i="36"/>
  <c r="P897" i="36"/>
  <c r="P896" i="36"/>
  <c r="P895" i="36"/>
  <c r="P894" i="36"/>
  <c r="P893" i="36"/>
  <c r="P892" i="36"/>
  <c r="P891" i="36"/>
  <c r="P890" i="36"/>
  <c r="P889" i="36"/>
  <c r="P888" i="36"/>
  <c r="P887" i="36"/>
  <c r="P886" i="36"/>
  <c r="P885" i="36"/>
  <c r="P884" i="36"/>
  <c r="P883" i="36"/>
  <c r="P882" i="36"/>
  <c r="P881" i="36"/>
  <c r="P880" i="36"/>
  <c r="P879" i="36"/>
  <c r="P878" i="36"/>
  <c r="P877" i="36"/>
  <c r="P876" i="36"/>
  <c r="P875" i="36"/>
  <c r="P874" i="36"/>
  <c r="P873" i="36"/>
  <c r="P872" i="36"/>
  <c r="P871" i="36"/>
  <c r="P870" i="36"/>
  <c r="P869" i="36"/>
  <c r="P868" i="36"/>
  <c r="P867" i="36"/>
  <c r="P866" i="36"/>
  <c r="P865" i="36"/>
  <c r="P864" i="36"/>
  <c r="P863" i="36"/>
  <c r="P862" i="36"/>
  <c r="P861" i="36"/>
  <c r="P860" i="36"/>
  <c r="P859" i="36"/>
  <c r="P858" i="36"/>
  <c r="P857" i="36"/>
  <c r="P856" i="36"/>
  <c r="P855" i="36"/>
  <c r="P854" i="36"/>
  <c r="P853" i="36"/>
  <c r="P852" i="36"/>
  <c r="P851" i="36"/>
  <c r="P850" i="36"/>
  <c r="P849" i="36"/>
  <c r="P848" i="36"/>
  <c r="P847" i="36"/>
  <c r="P846" i="36"/>
  <c r="P845" i="36"/>
  <c r="P844" i="36"/>
  <c r="P843" i="36"/>
  <c r="P842" i="36"/>
  <c r="P841" i="36"/>
  <c r="P840" i="36"/>
  <c r="P839" i="36"/>
  <c r="P838" i="36"/>
  <c r="P837" i="36"/>
  <c r="P836" i="36"/>
  <c r="P835" i="36"/>
  <c r="P834" i="36"/>
  <c r="P833" i="36"/>
  <c r="P832" i="36"/>
  <c r="P831" i="36"/>
  <c r="P830" i="36"/>
  <c r="P829" i="36"/>
  <c r="P828" i="36"/>
  <c r="P827" i="36"/>
  <c r="P826" i="36"/>
  <c r="P825" i="36"/>
  <c r="P824" i="36"/>
  <c r="P823" i="36"/>
  <c r="P822" i="36"/>
  <c r="P821" i="36"/>
  <c r="P820" i="36"/>
  <c r="P819" i="36"/>
  <c r="P818" i="36"/>
  <c r="P817" i="36"/>
  <c r="P816" i="36"/>
  <c r="P815" i="36"/>
  <c r="P814" i="36"/>
  <c r="P813" i="36"/>
  <c r="P812" i="36"/>
  <c r="P811" i="36"/>
  <c r="P810" i="36"/>
  <c r="P809" i="36"/>
  <c r="P808" i="36"/>
  <c r="P807" i="36"/>
  <c r="P806" i="36"/>
  <c r="P805" i="36"/>
  <c r="P804" i="36"/>
  <c r="P803" i="36"/>
  <c r="P802" i="36"/>
  <c r="P801" i="36"/>
  <c r="P800" i="36"/>
  <c r="P799" i="36"/>
  <c r="P798" i="36"/>
  <c r="P797" i="36"/>
  <c r="P796" i="36"/>
  <c r="P795" i="36"/>
  <c r="P794" i="36"/>
  <c r="P793" i="36"/>
  <c r="P792" i="36"/>
  <c r="P791" i="36"/>
  <c r="P790" i="36"/>
  <c r="P789" i="36"/>
  <c r="P788" i="36"/>
  <c r="P787" i="36"/>
  <c r="P786" i="36"/>
  <c r="P785" i="36"/>
  <c r="P784" i="36"/>
  <c r="P783" i="36"/>
  <c r="P782" i="36"/>
  <c r="P781" i="36"/>
  <c r="P780" i="36"/>
  <c r="P779" i="36"/>
  <c r="P778" i="36"/>
  <c r="P777" i="36"/>
  <c r="P776" i="36"/>
  <c r="P775" i="36"/>
  <c r="P774" i="36"/>
  <c r="P773" i="36"/>
  <c r="P772" i="36"/>
  <c r="P771" i="36"/>
  <c r="P770" i="36"/>
  <c r="P769" i="36"/>
  <c r="P768" i="36"/>
  <c r="P767" i="36"/>
  <c r="P766" i="36"/>
  <c r="P765" i="36"/>
  <c r="P764" i="36"/>
  <c r="P763" i="36"/>
  <c r="P762" i="36"/>
  <c r="P761" i="36"/>
  <c r="P760" i="36"/>
  <c r="P759" i="36"/>
  <c r="P758" i="36"/>
  <c r="P757" i="36"/>
  <c r="P756" i="36"/>
  <c r="P755" i="36"/>
  <c r="P754" i="36"/>
  <c r="P753" i="36"/>
  <c r="P752" i="36"/>
  <c r="P751" i="36"/>
  <c r="P750" i="36"/>
  <c r="P749" i="36"/>
  <c r="P748" i="36"/>
  <c r="P747" i="36"/>
  <c r="P746" i="36"/>
  <c r="P745" i="36"/>
  <c r="P744" i="36"/>
  <c r="P743" i="36"/>
  <c r="P742" i="36"/>
  <c r="P741" i="36"/>
  <c r="P740" i="36"/>
  <c r="P739" i="36"/>
  <c r="P738" i="36"/>
  <c r="P737" i="36"/>
  <c r="P736" i="36"/>
  <c r="P735" i="36"/>
  <c r="P734" i="36"/>
  <c r="P733" i="36"/>
  <c r="P732" i="36"/>
  <c r="P731" i="36"/>
  <c r="P730" i="36"/>
  <c r="P729" i="36"/>
  <c r="P728" i="36"/>
  <c r="P727" i="36"/>
  <c r="P726" i="36"/>
  <c r="P725" i="36"/>
  <c r="P724" i="36"/>
  <c r="P723" i="36"/>
  <c r="P722" i="36"/>
  <c r="P721" i="36"/>
  <c r="P720" i="36"/>
  <c r="P719" i="36"/>
  <c r="P718" i="36"/>
  <c r="P717" i="36"/>
  <c r="P716" i="36"/>
  <c r="P715" i="36"/>
  <c r="P714" i="36"/>
  <c r="P713" i="36"/>
  <c r="P712" i="36"/>
  <c r="P711" i="36"/>
  <c r="P710" i="36"/>
  <c r="P709" i="36"/>
  <c r="P708" i="36"/>
  <c r="P707" i="36"/>
  <c r="P706" i="36"/>
  <c r="P705" i="36"/>
  <c r="P704" i="36"/>
  <c r="P703" i="36"/>
  <c r="P702" i="36"/>
  <c r="P701" i="36"/>
  <c r="P700" i="36"/>
  <c r="P699" i="36"/>
  <c r="P698" i="36"/>
  <c r="P697" i="36"/>
  <c r="P696" i="36"/>
  <c r="P695" i="36"/>
  <c r="P694" i="36"/>
  <c r="P693" i="36"/>
  <c r="P692" i="36"/>
  <c r="P691" i="36"/>
  <c r="P690" i="36"/>
  <c r="P689" i="36"/>
  <c r="P688" i="36"/>
  <c r="P687" i="36"/>
  <c r="P686" i="36"/>
  <c r="P685" i="36"/>
  <c r="P684" i="36"/>
  <c r="P683" i="36"/>
  <c r="P682" i="36"/>
  <c r="P681" i="36"/>
  <c r="P680" i="36"/>
  <c r="P679" i="36"/>
  <c r="P678" i="36"/>
  <c r="P677" i="36"/>
  <c r="P676" i="36"/>
  <c r="P675" i="36"/>
  <c r="P674" i="36"/>
  <c r="P673" i="36"/>
  <c r="P672" i="36"/>
  <c r="P671" i="36"/>
  <c r="P670" i="36"/>
  <c r="P669" i="36"/>
  <c r="P668" i="36"/>
  <c r="P667" i="36"/>
  <c r="P666" i="36"/>
  <c r="P665" i="36"/>
  <c r="P664" i="36"/>
  <c r="P663" i="36"/>
  <c r="P662" i="36"/>
  <c r="P661" i="36"/>
  <c r="P660" i="36"/>
  <c r="P659" i="36"/>
  <c r="P658" i="36"/>
  <c r="P657" i="36"/>
  <c r="P656" i="36"/>
  <c r="P655" i="36"/>
  <c r="P654" i="36"/>
  <c r="P653" i="36"/>
  <c r="P652" i="36"/>
  <c r="P651" i="36"/>
  <c r="P650" i="36"/>
  <c r="P649" i="36"/>
  <c r="P648" i="36"/>
  <c r="P647" i="36"/>
  <c r="P646" i="36"/>
  <c r="P645" i="36"/>
  <c r="P644" i="36"/>
  <c r="P643" i="36"/>
  <c r="P642" i="36"/>
  <c r="P641" i="36"/>
  <c r="P640" i="36"/>
  <c r="P639" i="36"/>
  <c r="P638" i="36"/>
  <c r="P637" i="36"/>
  <c r="P636" i="36"/>
  <c r="P635" i="36"/>
  <c r="P634" i="36"/>
  <c r="P633" i="36"/>
  <c r="P632" i="36"/>
  <c r="P631" i="36"/>
  <c r="P630" i="36"/>
  <c r="P629" i="36"/>
  <c r="P628" i="36"/>
  <c r="P627" i="36"/>
  <c r="P626" i="36"/>
  <c r="P625" i="36"/>
  <c r="P624" i="36"/>
  <c r="P623" i="36"/>
  <c r="P622" i="36"/>
  <c r="P621" i="36"/>
  <c r="P620" i="36"/>
  <c r="P619" i="36"/>
  <c r="P618" i="36"/>
  <c r="P617" i="36"/>
  <c r="P616" i="36"/>
  <c r="P615" i="36"/>
  <c r="P614" i="36"/>
  <c r="P613" i="36"/>
  <c r="P612" i="36"/>
  <c r="P611" i="36"/>
  <c r="P610" i="36"/>
  <c r="P609" i="36"/>
  <c r="P608" i="36"/>
  <c r="P607" i="36"/>
  <c r="P606" i="36"/>
  <c r="P605" i="36"/>
  <c r="P604" i="36"/>
  <c r="P603" i="36"/>
  <c r="P602" i="36"/>
  <c r="P601" i="36"/>
  <c r="P600" i="36"/>
  <c r="P599" i="36"/>
  <c r="P598" i="36"/>
  <c r="P597" i="36"/>
  <c r="P596" i="36"/>
  <c r="P595" i="36"/>
  <c r="P594" i="36"/>
  <c r="P593" i="36"/>
  <c r="P592" i="36"/>
  <c r="P591" i="36"/>
  <c r="P590" i="36"/>
  <c r="P589" i="36"/>
  <c r="P588" i="36"/>
  <c r="P587" i="36"/>
  <c r="P586" i="36"/>
  <c r="P585" i="36"/>
  <c r="P584" i="36"/>
  <c r="P583" i="36"/>
  <c r="P582" i="36"/>
  <c r="P581" i="36"/>
  <c r="P580" i="36"/>
  <c r="P579" i="36"/>
  <c r="P578" i="36"/>
  <c r="P577" i="36"/>
  <c r="P576" i="36"/>
  <c r="P575" i="36"/>
  <c r="P574" i="36"/>
  <c r="P573" i="36"/>
  <c r="P572" i="36"/>
  <c r="P571" i="36"/>
  <c r="P570" i="36"/>
  <c r="P569" i="36"/>
  <c r="P568" i="36"/>
  <c r="P567" i="36"/>
  <c r="P566" i="36"/>
  <c r="P565" i="36"/>
  <c r="P564" i="36"/>
  <c r="P563" i="36"/>
  <c r="P562" i="36"/>
  <c r="P561" i="36"/>
  <c r="P560" i="36"/>
  <c r="P559" i="36"/>
  <c r="P558" i="36"/>
  <c r="P557" i="36"/>
  <c r="P556" i="36"/>
  <c r="P555" i="36"/>
  <c r="P554" i="36"/>
  <c r="P553" i="36"/>
  <c r="P552" i="36"/>
  <c r="P551" i="36"/>
  <c r="P550" i="36"/>
  <c r="P549" i="36"/>
  <c r="P548" i="36"/>
  <c r="P547" i="36"/>
  <c r="P546" i="36"/>
  <c r="P545" i="36"/>
  <c r="P544" i="36"/>
  <c r="P543" i="36"/>
  <c r="P542" i="36"/>
  <c r="P541" i="36"/>
  <c r="P540" i="36"/>
  <c r="P539" i="36"/>
  <c r="P538" i="36"/>
  <c r="P537" i="36"/>
  <c r="P536" i="36"/>
  <c r="P535" i="36"/>
  <c r="P534" i="36"/>
  <c r="P533" i="36"/>
  <c r="P532" i="36"/>
  <c r="P531" i="36"/>
  <c r="P530" i="36"/>
  <c r="P529" i="36"/>
  <c r="P528" i="36"/>
  <c r="P527" i="36"/>
  <c r="P526" i="36"/>
  <c r="P525" i="36"/>
  <c r="P524" i="36"/>
  <c r="P523" i="36"/>
  <c r="P522" i="36"/>
  <c r="P521" i="36"/>
  <c r="P520" i="36"/>
  <c r="P519" i="36"/>
  <c r="P518" i="36"/>
  <c r="P517" i="36"/>
  <c r="P516" i="36"/>
  <c r="P515" i="36"/>
  <c r="P514" i="36"/>
  <c r="P513" i="36"/>
  <c r="P512" i="36"/>
  <c r="P511" i="36"/>
  <c r="P510" i="36"/>
  <c r="P509" i="36"/>
  <c r="P508" i="36"/>
  <c r="P507" i="36"/>
  <c r="P506" i="36"/>
  <c r="P505" i="36"/>
  <c r="P504" i="36"/>
  <c r="P503" i="36"/>
  <c r="P502" i="36"/>
  <c r="P501" i="36"/>
  <c r="P500" i="36"/>
  <c r="P499" i="36"/>
  <c r="P498" i="36"/>
  <c r="P497" i="36"/>
  <c r="P496" i="36"/>
  <c r="P495" i="36"/>
  <c r="P494" i="36"/>
  <c r="P493" i="36"/>
  <c r="P492" i="36"/>
  <c r="P491" i="36"/>
  <c r="P490" i="36"/>
  <c r="P489" i="36"/>
  <c r="P488" i="36"/>
  <c r="P487" i="36"/>
  <c r="P486" i="36"/>
  <c r="P485" i="36"/>
  <c r="P484" i="36"/>
  <c r="P483" i="36"/>
  <c r="P482" i="36"/>
  <c r="P481" i="36"/>
  <c r="P480" i="36"/>
  <c r="P479" i="36"/>
  <c r="P478" i="36"/>
  <c r="P477" i="36"/>
  <c r="P476" i="36"/>
  <c r="P475" i="36"/>
  <c r="P474" i="36"/>
  <c r="P473" i="36"/>
  <c r="P472" i="36"/>
  <c r="P471" i="36"/>
  <c r="P470" i="36"/>
  <c r="P469" i="36"/>
  <c r="P468" i="36"/>
  <c r="P467" i="36"/>
  <c r="P466" i="36"/>
  <c r="P465" i="36"/>
  <c r="P464" i="36"/>
  <c r="P463" i="36"/>
  <c r="P462" i="36"/>
  <c r="P461" i="36"/>
  <c r="P460" i="36"/>
  <c r="P459" i="36"/>
  <c r="P458" i="36"/>
  <c r="P457" i="36"/>
  <c r="P456" i="36"/>
  <c r="P455" i="36"/>
  <c r="P454" i="36"/>
  <c r="P453" i="36"/>
  <c r="P452" i="36"/>
  <c r="P451" i="36"/>
  <c r="P450" i="36"/>
  <c r="P449" i="36"/>
  <c r="P448" i="36"/>
  <c r="P447" i="36"/>
  <c r="P446" i="36"/>
  <c r="P445" i="36"/>
  <c r="P444" i="36"/>
  <c r="P443" i="36"/>
  <c r="P442" i="36"/>
  <c r="P441" i="36"/>
  <c r="P440" i="36"/>
  <c r="P439" i="36"/>
  <c r="P438" i="36"/>
  <c r="P437" i="36"/>
  <c r="P436" i="36"/>
  <c r="P435" i="36"/>
  <c r="P434" i="36"/>
  <c r="P433" i="36"/>
  <c r="P432" i="36"/>
  <c r="P431" i="36"/>
  <c r="P430" i="36"/>
  <c r="P429" i="36"/>
  <c r="P428" i="36"/>
  <c r="P427" i="36"/>
  <c r="P426" i="36"/>
  <c r="P425" i="36"/>
  <c r="P424" i="36"/>
  <c r="P423" i="36"/>
  <c r="P422" i="36"/>
  <c r="P421" i="36"/>
  <c r="P420" i="36"/>
  <c r="P419" i="36"/>
  <c r="P418" i="36"/>
  <c r="P417" i="36"/>
  <c r="P416" i="36"/>
  <c r="P415" i="36"/>
  <c r="P414" i="36"/>
  <c r="P413" i="36"/>
  <c r="P412" i="36"/>
  <c r="P411" i="36"/>
  <c r="P410" i="36"/>
  <c r="P409" i="36"/>
  <c r="P408" i="36"/>
  <c r="P407" i="36"/>
  <c r="P406" i="36"/>
  <c r="P405" i="36"/>
  <c r="P404" i="36"/>
  <c r="P403" i="36"/>
  <c r="P402" i="36"/>
  <c r="P401" i="36"/>
  <c r="P400" i="36"/>
  <c r="P399" i="36"/>
  <c r="P398" i="36"/>
  <c r="P397" i="36"/>
  <c r="P396" i="36"/>
  <c r="P395" i="36"/>
  <c r="P394" i="36"/>
  <c r="P393" i="36"/>
  <c r="P392" i="36"/>
  <c r="P391" i="36"/>
  <c r="P390" i="36"/>
  <c r="P389" i="36"/>
  <c r="P388" i="36"/>
  <c r="P387" i="36"/>
  <c r="P386" i="36"/>
  <c r="P385" i="36"/>
  <c r="P384" i="36"/>
  <c r="P383" i="36"/>
  <c r="P382" i="36"/>
  <c r="P381" i="36"/>
  <c r="P380" i="36"/>
  <c r="P379" i="36"/>
  <c r="P378" i="36"/>
  <c r="P377" i="36"/>
  <c r="P376" i="36"/>
  <c r="P375" i="36"/>
  <c r="P374" i="36"/>
  <c r="P373" i="36"/>
  <c r="P372" i="36"/>
  <c r="P371" i="36"/>
  <c r="P370" i="36"/>
  <c r="P369" i="36"/>
  <c r="P368" i="36"/>
  <c r="P367" i="36"/>
  <c r="P366" i="36"/>
  <c r="P365" i="36"/>
  <c r="P364" i="36"/>
  <c r="P363" i="36"/>
  <c r="P362" i="36"/>
  <c r="P361" i="36"/>
  <c r="P360" i="36"/>
  <c r="P359" i="36"/>
  <c r="P358" i="36"/>
  <c r="P357" i="36"/>
  <c r="P356" i="36"/>
  <c r="P355" i="36"/>
  <c r="P354" i="36"/>
  <c r="P353" i="36"/>
  <c r="P352" i="36"/>
  <c r="P351" i="36"/>
  <c r="P350" i="36"/>
  <c r="P349" i="36"/>
  <c r="P348" i="36"/>
  <c r="P347" i="36"/>
  <c r="P346" i="36"/>
  <c r="P345" i="36"/>
  <c r="P344" i="36"/>
  <c r="P343" i="36"/>
  <c r="P342" i="36"/>
  <c r="P341" i="36"/>
  <c r="P340" i="36"/>
  <c r="P339" i="36"/>
  <c r="P338" i="36"/>
  <c r="P337" i="36"/>
  <c r="P336" i="36"/>
  <c r="P335" i="36"/>
  <c r="P334" i="36"/>
  <c r="P333" i="36"/>
  <c r="P332" i="36"/>
  <c r="P331" i="36"/>
  <c r="P330" i="36"/>
  <c r="P329" i="36"/>
  <c r="P328" i="36"/>
  <c r="P327" i="36"/>
  <c r="P326" i="36"/>
  <c r="P325" i="36"/>
  <c r="P324" i="36"/>
  <c r="P323" i="36"/>
  <c r="P322" i="36"/>
  <c r="P321" i="36"/>
  <c r="P320" i="36"/>
  <c r="P319" i="36"/>
  <c r="P318" i="36"/>
  <c r="P317" i="36"/>
  <c r="P316" i="36"/>
  <c r="P315" i="36"/>
  <c r="P314" i="36"/>
  <c r="P313" i="36"/>
  <c r="P312" i="36"/>
  <c r="P311" i="36"/>
  <c r="P310" i="36"/>
  <c r="P309" i="36"/>
  <c r="P308" i="36"/>
  <c r="P307" i="36"/>
  <c r="P306" i="36"/>
  <c r="P305" i="36"/>
  <c r="P304" i="36"/>
  <c r="P303" i="36"/>
  <c r="P302" i="36"/>
  <c r="P301" i="36"/>
  <c r="P300" i="36"/>
  <c r="P299" i="36"/>
  <c r="P298" i="36"/>
  <c r="P297" i="36"/>
  <c r="P296" i="36"/>
  <c r="P295" i="36"/>
  <c r="P294" i="36"/>
  <c r="P293" i="36"/>
  <c r="P292" i="36"/>
  <c r="P291" i="36"/>
  <c r="P290" i="36"/>
  <c r="P289" i="36"/>
  <c r="P288" i="36"/>
  <c r="P287" i="36"/>
  <c r="P286" i="36"/>
  <c r="P285" i="36"/>
  <c r="P284" i="36"/>
  <c r="P283" i="36"/>
  <c r="P282" i="36"/>
  <c r="P281" i="36"/>
  <c r="P280" i="36"/>
  <c r="P279" i="36"/>
  <c r="P278" i="36"/>
  <c r="P277" i="36"/>
  <c r="P276" i="36"/>
  <c r="P275" i="36"/>
  <c r="P274" i="36"/>
  <c r="P273" i="36"/>
  <c r="P272" i="36"/>
  <c r="P271" i="36"/>
  <c r="P270" i="36"/>
  <c r="P269" i="36"/>
  <c r="P268" i="36"/>
  <c r="P267" i="36"/>
  <c r="P266" i="36"/>
  <c r="P265" i="36"/>
  <c r="P264" i="36"/>
  <c r="P263" i="36"/>
  <c r="P262" i="36"/>
  <c r="P261" i="36"/>
  <c r="P260" i="36"/>
  <c r="P259" i="36"/>
  <c r="P258" i="36"/>
  <c r="P257" i="36"/>
  <c r="P256" i="36"/>
  <c r="P255" i="36"/>
  <c r="P254" i="36"/>
  <c r="P253" i="36"/>
  <c r="P252" i="36"/>
  <c r="P251" i="36"/>
  <c r="P250" i="36"/>
  <c r="P249" i="36"/>
  <c r="P248" i="36"/>
  <c r="P247" i="36"/>
  <c r="P246" i="36"/>
  <c r="P245" i="36"/>
  <c r="P244" i="36"/>
  <c r="P243" i="36"/>
  <c r="P242" i="36"/>
  <c r="P241" i="36"/>
  <c r="P240" i="36"/>
  <c r="P239" i="36"/>
  <c r="P238" i="36"/>
  <c r="P237" i="36"/>
  <c r="P236" i="36"/>
  <c r="P235" i="36"/>
  <c r="P234" i="36"/>
  <c r="P233" i="36"/>
  <c r="P232" i="36"/>
  <c r="P231" i="36"/>
  <c r="P230" i="36"/>
  <c r="P229" i="36"/>
  <c r="P228" i="36"/>
  <c r="P227" i="36"/>
  <c r="P226" i="36"/>
  <c r="P225" i="36"/>
  <c r="P224" i="36"/>
  <c r="P223" i="36"/>
  <c r="P222" i="36"/>
  <c r="P221" i="36"/>
  <c r="P220" i="36"/>
  <c r="P219" i="36"/>
  <c r="P218" i="36"/>
  <c r="P217" i="36"/>
  <c r="P216" i="36"/>
  <c r="P215" i="36"/>
  <c r="P214" i="36"/>
  <c r="P213" i="36"/>
  <c r="P212" i="36"/>
  <c r="P211" i="36"/>
  <c r="P210" i="36"/>
  <c r="P209" i="36"/>
  <c r="P208" i="36"/>
  <c r="P207" i="36"/>
  <c r="P206" i="36"/>
  <c r="P205" i="36"/>
  <c r="P204" i="36"/>
  <c r="P203" i="36"/>
  <c r="P202" i="36"/>
  <c r="P201" i="36"/>
  <c r="P200" i="36"/>
  <c r="P199" i="36"/>
  <c r="P198" i="36"/>
  <c r="P197" i="36"/>
  <c r="P196" i="36"/>
  <c r="P195" i="36"/>
  <c r="P194" i="36"/>
  <c r="P193" i="36"/>
  <c r="P192" i="36"/>
  <c r="P191" i="36"/>
  <c r="P190" i="36"/>
  <c r="P189" i="36"/>
  <c r="P188" i="36"/>
  <c r="P187" i="36"/>
  <c r="P186" i="36"/>
  <c r="P185" i="36"/>
  <c r="P184" i="36"/>
  <c r="P183" i="36"/>
  <c r="P182" i="36"/>
  <c r="P181" i="36"/>
  <c r="P180" i="36"/>
  <c r="P179" i="36"/>
  <c r="P178" i="36"/>
  <c r="P177" i="36"/>
  <c r="P176" i="36"/>
  <c r="P175" i="36"/>
  <c r="P174" i="36"/>
  <c r="P173" i="36"/>
  <c r="P172" i="36"/>
  <c r="P171" i="36"/>
  <c r="P170" i="36"/>
  <c r="P169" i="36"/>
  <c r="P168" i="36"/>
  <c r="P167" i="36"/>
  <c r="P166" i="36"/>
  <c r="P165" i="36"/>
  <c r="P164" i="36"/>
  <c r="P163" i="36"/>
  <c r="P162" i="36"/>
  <c r="P161" i="36"/>
  <c r="P160" i="36"/>
  <c r="P159" i="36"/>
  <c r="P158" i="36"/>
  <c r="P157" i="36"/>
  <c r="P156" i="36"/>
  <c r="P155" i="36"/>
  <c r="P154" i="36"/>
  <c r="P153" i="36"/>
  <c r="P152" i="36"/>
  <c r="P151" i="36"/>
  <c r="P150" i="36"/>
  <c r="P149" i="36"/>
  <c r="P148" i="36"/>
  <c r="P147" i="36"/>
  <c r="P146" i="36"/>
  <c r="P145" i="36"/>
  <c r="P144" i="36"/>
  <c r="P143" i="36"/>
  <c r="P142" i="36"/>
  <c r="P141" i="36"/>
  <c r="P140" i="36"/>
  <c r="P139" i="36"/>
  <c r="P138" i="36"/>
  <c r="P137" i="36"/>
  <c r="P136" i="36"/>
  <c r="P135" i="36"/>
  <c r="P134" i="36"/>
  <c r="P133" i="36"/>
  <c r="P132" i="36"/>
  <c r="P131" i="36"/>
  <c r="P130" i="36"/>
  <c r="P129" i="36"/>
  <c r="P128" i="36"/>
  <c r="P127" i="36"/>
  <c r="P126" i="36"/>
  <c r="P125" i="36"/>
  <c r="P124" i="36"/>
  <c r="P123" i="36"/>
  <c r="P122" i="36"/>
  <c r="P121" i="36"/>
  <c r="P120" i="36"/>
  <c r="P119" i="36"/>
  <c r="P118" i="36"/>
  <c r="P117" i="36"/>
  <c r="P116" i="36"/>
  <c r="P115" i="36"/>
  <c r="P114" i="36"/>
  <c r="P113" i="36"/>
  <c r="P112" i="36"/>
  <c r="P111" i="36"/>
  <c r="P110" i="36"/>
  <c r="P109" i="36"/>
  <c r="P108" i="36"/>
  <c r="P107" i="36"/>
  <c r="P106" i="36"/>
  <c r="P105" i="36"/>
  <c r="P104" i="36"/>
  <c r="P103" i="36"/>
  <c r="P102" i="36"/>
  <c r="P101" i="36"/>
  <c r="P100" i="36"/>
  <c r="P99" i="36"/>
  <c r="P98" i="36"/>
  <c r="P97" i="36"/>
  <c r="P96" i="36"/>
  <c r="P95" i="36"/>
  <c r="P94" i="36"/>
  <c r="P93" i="36"/>
  <c r="P92" i="36"/>
  <c r="P91" i="36"/>
  <c r="P90" i="36"/>
  <c r="P89" i="36"/>
  <c r="P88" i="36"/>
  <c r="P87" i="36"/>
  <c r="P86" i="36"/>
  <c r="P85" i="36"/>
  <c r="P84" i="36"/>
  <c r="P83" i="36"/>
  <c r="P82" i="36"/>
  <c r="P81" i="36"/>
  <c r="P80" i="36"/>
  <c r="P79" i="36"/>
  <c r="P78" i="36"/>
  <c r="P77" i="36"/>
  <c r="P76" i="36"/>
  <c r="P75" i="36"/>
  <c r="P74" i="36"/>
  <c r="P73" i="36"/>
  <c r="P72" i="36"/>
  <c r="P71" i="36"/>
  <c r="P70" i="36"/>
  <c r="P69" i="36"/>
  <c r="P68" i="36"/>
  <c r="P67" i="36"/>
  <c r="P66" i="36"/>
  <c r="P65" i="36"/>
  <c r="P64" i="36"/>
  <c r="P63" i="36"/>
  <c r="P62" i="36"/>
  <c r="P61" i="36"/>
  <c r="P60" i="36"/>
  <c r="P59" i="36"/>
  <c r="P58" i="36"/>
  <c r="P57" i="36"/>
  <c r="P56" i="36"/>
  <c r="P55" i="36"/>
  <c r="P54" i="36"/>
  <c r="P53" i="36"/>
  <c r="P52" i="36"/>
  <c r="P51" i="36"/>
  <c r="P50" i="36"/>
  <c r="P49" i="36"/>
  <c r="P48" i="36"/>
  <c r="P47" i="36"/>
  <c r="P46" i="36"/>
  <c r="P45" i="36"/>
  <c r="P44" i="36"/>
  <c r="P43" i="36"/>
  <c r="P42" i="36"/>
  <c r="P41" i="36"/>
  <c r="P40" i="36"/>
  <c r="P39" i="36"/>
  <c r="P38" i="36"/>
  <c r="P37" i="36"/>
  <c r="P36" i="36"/>
  <c r="P35" i="36"/>
  <c r="P34" i="36"/>
  <c r="P33" i="36"/>
  <c r="P32" i="36"/>
  <c r="P31" i="36"/>
  <c r="P30" i="36"/>
  <c r="P29" i="36"/>
  <c r="P28" i="36"/>
  <c r="P27" i="36"/>
  <c r="P26" i="36"/>
  <c r="P25" i="36"/>
  <c r="P24" i="36"/>
  <c r="P23" i="36"/>
  <c r="P22" i="36"/>
  <c r="P21" i="36"/>
  <c r="P20" i="36"/>
  <c r="P19" i="36"/>
  <c r="P18" i="36"/>
  <c r="P17" i="36"/>
  <c r="P16" i="36"/>
  <c r="P15" i="36"/>
  <c r="P14" i="36"/>
  <c r="P13" i="36"/>
  <c r="P12" i="36"/>
  <c r="P11" i="36"/>
  <c r="P10" i="36"/>
  <c r="P9" i="36"/>
  <c r="P8" i="36"/>
  <c r="P7" i="36"/>
  <c r="P6" i="36"/>
  <c r="P5" i="36"/>
  <c r="P4" i="36"/>
  <c r="P3" i="36"/>
  <c r="P2" i="36"/>
  <c r="A2" i="36"/>
  <c r="N3596" i="36"/>
  <c r="N3595" i="36"/>
  <c r="N3594" i="36"/>
  <c r="N3593" i="36"/>
  <c r="N3592" i="36"/>
  <c r="N3591" i="36"/>
  <c r="N3590" i="36"/>
  <c r="N3589" i="36"/>
  <c r="N3588" i="36"/>
  <c r="N3587" i="36"/>
  <c r="N3586" i="36"/>
  <c r="N3585" i="36"/>
  <c r="N3584" i="36"/>
  <c r="N3583" i="36"/>
  <c r="N3582" i="36"/>
  <c r="N3581" i="36"/>
  <c r="N3580" i="36"/>
  <c r="N3579" i="36"/>
  <c r="N3578" i="36"/>
  <c r="N3577" i="36"/>
  <c r="N3576" i="36"/>
  <c r="N3575" i="36"/>
  <c r="N3574" i="36"/>
  <c r="N3573" i="36"/>
  <c r="N3572" i="36"/>
  <c r="N3571" i="36"/>
  <c r="N3570" i="36"/>
  <c r="N3569" i="36"/>
  <c r="N3568" i="36"/>
  <c r="N3567" i="36"/>
  <c r="N3566" i="36"/>
  <c r="N3565" i="36"/>
  <c r="N3564" i="36"/>
  <c r="N3563" i="36"/>
  <c r="N3562" i="36"/>
  <c r="N3561" i="36"/>
  <c r="N3560" i="36"/>
  <c r="N3559" i="36"/>
  <c r="N3558" i="36"/>
  <c r="N3557" i="36"/>
  <c r="N3556" i="36"/>
  <c r="N3555" i="36"/>
  <c r="N3554" i="36"/>
  <c r="N3553" i="36"/>
  <c r="N3552" i="36"/>
  <c r="N3551" i="36"/>
  <c r="N3550" i="36"/>
  <c r="N3549" i="36"/>
  <c r="N3548" i="36"/>
  <c r="N3547" i="36"/>
  <c r="N3546" i="36"/>
  <c r="N3545" i="36"/>
  <c r="N3544" i="36"/>
  <c r="N3543" i="36"/>
  <c r="N3542" i="36"/>
  <c r="N3541" i="36"/>
  <c r="N3540" i="36"/>
  <c r="N3539" i="36"/>
  <c r="N3538" i="36"/>
  <c r="N3537" i="36"/>
  <c r="N3536" i="36"/>
  <c r="N3535" i="36"/>
  <c r="N3534" i="36"/>
  <c r="N3533" i="36"/>
  <c r="N3532" i="36"/>
  <c r="N3531" i="36"/>
  <c r="N3530" i="36"/>
  <c r="N3529" i="36"/>
  <c r="N3528" i="36"/>
  <c r="N3527" i="36"/>
  <c r="N3526" i="36"/>
  <c r="N3525" i="36"/>
  <c r="N3524" i="36"/>
  <c r="N3523" i="36"/>
  <c r="N3522" i="36"/>
  <c r="N3521" i="36"/>
  <c r="N3520" i="36"/>
  <c r="N3519" i="36"/>
  <c r="N3518" i="36"/>
  <c r="N3517" i="36"/>
  <c r="N3516" i="36"/>
  <c r="N3515" i="36"/>
  <c r="N3514" i="36"/>
  <c r="N3513" i="36"/>
  <c r="N3512" i="36"/>
  <c r="N3511" i="36"/>
  <c r="N3510" i="36"/>
  <c r="N3509" i="36"/>
  <c r="N3508" i="36"/>
  <c r="N3507" i="36"/>
  <c r="N3506" i="36"/>
  <c r="N3505" i="36"/>
  <c r="N3504" i="36"/>
  <c r="N3503" i="36"/>
  <c r="N3502" i="36"/>
  <c r="N3501" i="36"/>
  <c r="N3500" i="36"/>
  <c r="N3499" i="36"/>
  <c r="N3498" i="36"/>
  <c r="N3497" i="36"/>
  <c r="N3496" i="36"/>
  <c r="N3495" i="36"/>
  <c r="N3494" i="36"/>
  <c r="N3493" i="36"/>
  <c r="N3492" i="36"/>
  <c r="N3491" i="36"/>
  <c r="N3490" i="36"/>
  <c r="N3489" i="36"/>
  <c r="N3488" i="36"/>
  <c r="N3487" i="36"/>
  <c r="N3486" i="36"/>
  <c r="N3485" i="36"/>
  <c r="N3484" i="36"/>
  <c r="N3483" i="36"/>
  <c r="N3482" i="36"/>
  <c r="N3481" i="36"/>
  <c r="N3480" i="36"/>
  <c r="N3479" i="36"/>
  <c r="N3478" i="36"/>
  <c r="N3477" i="36"/>
  <c r="N3476" i="36"/>
  <c r="N3475" i="36"/>
  <c r="N3474" i="36"/>
  <c r="N3473" i="36"/>
  <c r="N3472" i="36"/>
  <c r="N3471" i="36"/>
  <c r="N3470" i="36"/>
  <c r="N3469" i="36"/>
  <c r="N3468" i="36"/>
  <c r="N3467" i="36"/>
  <c r="N3466" i="36"/>
  <c r="N3465" i="36"/>
  <c r="N3464" i="36"/>
  <c r="N3463" i="36"/>
  <c r="N3462" i="36"/>
  <c r="N3461" i="36"/>
  <c r="N3460" i="36"/>
  <c r="N3459" i="36"/>
  <c r="N3458" i="36"/>
  <c r="N3457" i="36"/>
  <c r="N3456" i="36"/>
  <c r="N3455" i="36"/>
  <c r="N3454" i="36"/>
  <c r="N3453" i="36"/>
  <c r="N3452" i="36"/>
  <c r="N3451" i="36"/>
  <c r="N3450" i="36"/>
  <c r="N3449" i="36"/>
  <c r="N3448" i="36"/>
  <c r="N3447" i="36"/>
  <c r="N3446" i="36"/>
  <c r="N3445" i="36"/>
  <c r="N3444" i="36"/>
  <c r="N3443" i="36"/>
  <c r="N3442" i="36"/>
  <c r="N3441" i="36"/>
  <c r="N3440" i="36"/>
  <c r="N3439" i="36"/>
  <c r="N3438" i="36"/>
  <c r="N3437" i="36"/>
  <c r="N3436" i="36"/>
  <c r="N3435" i="36"/>
  <c r="N3434" i="36"/>
  <c r="N3433" i="36"/>
  <c r="N3432" i="36"/>
  <c r="N3431" i="36"/>
  <c r="N3430" i="36"/>
  <c r="N3429" i="36"/>
  <c r="N3428" i="36"/>
  <c r="N3427" i="36"/>
  <c r="N3426" i="36"/>
  <c r="N3425" i="36"/>
  <c r="N3424" i="36"/>
  <c r="N3423" i="36"/>
  <c r="N3422" i="36"/>
  <c r="N3421" i="36"/>
  <c r="N3420" i="36"/>
  <c r="N3419" i="36"/>
  <c r="N3418" i="36"/>
  <c r="N3417" i="36"/>
  <c r="N3416" i="36"/>
  <c r="N3415" i="36"/>
  <c r="N3414" i="36"/>
  <c r="N3413" i="36"/>
  <c r="N3412" i="36"/>
  <c r="N3411" i="36"/>
  <c r="N3410" i="36"/>
  <c r="N3409" i="36"/>
  <c r="N3408" i="36"/>
  <c r="N3407" i="36"/>
  <c r="N3406" i="36"/>
  <c r="N3405" i="36"/>
  <c r="N3404" i="36"/>
  <c r="N3403" i="36"/>
  <c r="N3402" i="36"/>
  <c r="N3401" i="36"/>
  <c r="N3400" i="36"/>
  <c r="N3399" i="36"/>
  <c r="N3398" i="36"/>
  <c r="N3397" i="36"/>
  <c r="N3396" i="36"/>
  <c r="N3395" i="36"/>
  <c r="N3394" i="36"/>
  <c r="N3393" i="36"/>
  <c r="N3392" i="36"/>
  <c r="N3391" i="36"/>
  <c r="N3390" i="36"/>
  <c r="N3389" i="36"/>
  <c r="N3388" i="36"/>
  <c r="N3387" i="36"/>
  <c r="N3386" i="36"/>
  <c r="N3385" i="36"/>
  <c r="N3384" i="36"/>
  <c r="N3383" i="36"/>
  <c r="N3382" i="36"/>
  <c r="N3381" i="36"/>
  <c r="N3380" i="36"/>
  <c r="N3379" i="36"/>
  <c r="N3378" i="36"/>
  <c r="N3377" i="36"/>
  <c r="N3376" i="36"/>
  <c r="N3375" i="36"/>
  <c r="N3374" i="36"/>
  <c r="N3373" i="36"/>
  <c r="N3372" i="36"/>
  <c r="N3371" i="36"/>
  <c r="N3370" i="36"/>
  <c r="N3369" i="36"/>
  <c r="N3368" i="36"/>
  <c r="N3367" i="36"/>
  <c r="N3366" i="36"/>
  <c r="N3365" i="36"/>
  <c r="N3364" i="36"/>
  <c r="N3363" i="36"/>
  <c r="N3362" i="36"/>
  <c r="N3361" i="36"/>
  <c r="N3360" i="36"/>
  <c r="N3359" i="36"/>
  <c r="N3358" i="36"/>
  <c r="N3357" i="36"/>
  <c r="N3356" i="36"/>
  <c r="N3355" i="36"/>
  <c r="N3354" i="36"/>
  <c r="N3353" i="36"/>
  <c r="N3352" i="36"/>
  <c r="N3351" i="36"/>
  <c r="N3350" i="36"/>
  <c r="N3349" i="36"/>
  <c r="N3348" i="36"/>
  <c r="N3347" i="36"/>
  <c r="N3346" i="36"/>
  <c r="N3345" i="36"/>
  <c r="N3344" i="36"/>
  <c r="N3343" i="36"/>
  <c r="N3342" i="36"/>
  <c r="N3341" i="36"/>
  <c r="N3340" i="36"/>
  <c r="N3339" i="36"/>
  <c r="N3338" i="36"/>
  <c r="N3337" i="36"/>
  <c r="N3336" i="36"/>
  <c r="N3335" i="36"/>
  <c r="N3334" i="36"/>
  <c r="N3333" i="36"/>
  <c r="N3332" i="36"/>
  <c r="N3331" i="36"/>
  <c r="N3330" i="36"/>
  <c r="N3329" i="36"/>
  <c r="N3328" i="36"/>
  <c r="N3327" i="36"/>
  <c r="N3326" i="36"/>
  <c r="N3325" i="36"/>
  <c r="N3324" i="36"/>
  <c r="N3323" i="36"/>
  <c r="N3322" i="36"/>
  <c r="N3321" i="36"/>
  <c r="N3320" i="36"/>
  <c r="N3319" i="36"/>
  <c r="N3318" i="36"/>
  <c r="N3317" i="36"/>
  <c r="N3316" i="36"/>
  <c r="N3315" i="36"/>
  <c r="N3314" i="36"/>
  <c r="N3313" i="36"/>
  <c r="N3312" i="36"/>
  <c r="N3311" i="36"/>
  <c r="N3310" i="36"/>
  <c r="N3309" i="36"/>
  <c r="N3308" i="36"/>
  <c r="N3307" i="36"/>
  <c r="N3306" i="36"/>
  <c r="N3305" i="36"/>
  <c r="N3304" i="36"/>
  <c r="N3303" i="36"/>
  <c r="N3302" i="36"/>
  <c r="N3301" i="36"/>
  <c r="N3300" i="36"/>
  <c r="N3299" i="36"/>
  <c r="N3298" i="36"/>
  <c r="N3297" i="36"/>
  <c r="N3296" i="36"/>
  <c r="N3295" i="36"/>
  <c r="N3294" i="36"/>
  <c r="N3293" i="36"/>
  <c r="N3292" i="36"/>
  <c r="N3291" i="36"/>
  <c r="N3290" i="36"/>
  <c r="N3289" i="36"/>
  <c r="N3288" i="36"/>
  <c r="N3287" i="36"/>
  <c r="N3286" i="36"/>
  <c r="N3285" i="36"/>
  <c r="N3284" i="36"/>
  <c r="N3283" i="36"/>
  <c r="N3282" i="36"/>
  <c r="N3281" i="36"/>
  <c r="N3280" i="36"/>
  <c r="N3279" i="36"/>
  <c r="N3278" i="36"/>
  <c r="N3277" i="36"/>
  <c r="N3276" i="36"/>
  <c r="N3275" i="36"/>
  <c r="N3274" i="36"/>
  <c r="N3273" i="36"/>
  <c r="N3272" i="36"/>
  <c r="N3271" i="36"/>
  <c r="N3270" i="36"/>
  <c r="N3269" i="36"/>
  <c r="N3268" i="36"/>
  <c r="N3267" i="36"/>
  <c r="N3266" i="36"/>
  <c r="N3265" i="36"/>
  <c r="N3264" i="36"/>
  <c r="N3263" i="36"/>
  <c r="N3262" i="36"/>
  <c r="N3261" i="36"/>
  <c r="N3260" i="36"/>
  <c r="N3259" i="36"/>
  <c r="N3258" i="36"/>
  <c r="N3257" i="36"/>
  <c r="N3256" i="36"/>
  <c r="N3255" i="36"/>
  <c r="N3254" i="36"/>
  <c r="N3253" i="36"/>
  <c r="N3252" i="36"/>
  <c r="N3251" i="36"/>
  <c r="N3250" i="36"/>
  <c r="N3249" i="36"/>
  <c r="N3248" i="36"/>
  <c r="N3247" i="36"/>
  <c r="N3246" i="36"/>
  <c r="N3245" i="36"/>
  <c r="N3244" i="36"/>
  <c r="N3243" i="36"/>
  <c r="N3242" i="36"/>
  <c r="N3241" i="36"/>
  <c r="N3240" i="36"/>
  <c r="N3239" i="36"/>
  <c r="N3238" i="36"/>
  <c r="N3237" i="36"/>
  <c r="N3236" i="36"/>
  <c r="N3235" i="36"/>
  <c r="N3234" i="36"/>
  <c r="N3233" i="36"/>
  <c r="N3232" i="36"/>
  <c r="N3231" i="36"/>
  <c r="N3230" i="36"/>
  <c r="N3229" i="36"/>
  <c r="N3228" i="36"/>
  <c r="N3227" i="36"/>
  <c r="N3226" i="36"/>
  <c r="N3225" i="36"/>
  <c r="N3224" i="36"/>
  <c r="N3223" i="36"/>
  <c r="N3222" i="36"/>
  <c r="N3221" i="36"/>
  <c r="N3220" i="36"/>
  <c r="N3219" i="36"/>
  <c r="N3218" i="36"/>
  <c r="N3217" i="36"/>
  <c r="N3216" i="36"/>
  <c r="N3215" i="36"/>
  <c r="N3214" i="36"/>
  <c r="N3213" i="36"/>
  <c r="N3212" i="36"/>
  <c r="N3211" i="36"/>
  <c r="N3210" i="36"/>
  <c r="N3209" i="36"/>
  <c r="N3208" i="36"/>
  <c r="N3207" i="36"/>
  <c r="N3206" i="36"/>
  <c r="N3205" i="36"/>
  <c r="N3204" i="36"/>
  <c r="N3203" i="36"/>
  <c r="N3202" i="36"/>
  <c r="N3201" i="36"/>
  <c r="N3200" i="36"/>
  <c r="N3199" i="36"/>
  <c r="N3198" i="36"/>
  <c r="N3197" i="36"/>
  <c r="N3196" i="36"/>
  <c r="N3195" i="36"/>
  <c r="N3194" i="36"/>
  <c r="N3193" i="36"/>
  <c r="N3192" i="36"/>
  <c r="N3191" i="36"/>
  <c r="N3190" i="36"/>
  <c r="N3189" i="36"/>
  <c r="N3188" i="36"/>
  <c r="N3187" i="36"/>
  <c r="N3186" i="36"/>
  <c r="N3185" i="36"/>
  <c r="N3184" i="36"/>
  <c r="N3183" i="36"/>
  <c r="N3182" i="36"/>
  <c r="N3181" i="36"/>
  <c r="N3180" i="36"/>
  <c r="N3179" i="36"/>
  <c r="N3178" i="36"/>
  <c r="N3177" i="36"/>
  <c r="N3176" i="36"/>
  <c r="N3175" i="36"/>
  <c r="N3174" i="36"/>
  <c r="N3173" i="36"/>
  <c r="N3172" i="36"/>
  <c r="N3171" i="36"/>
  <c r="N3170" i="36"/>
  <c r="N3169" i="36"/>
  <c r="N3168" i="36"/>
  <c r="N3167" i="36"/>
  <c r="N3166" i="36"/>
  <c r="N3165" i="36"/>
  <c r="N3164" i="36"/>
  <c r="N3163" i="36"/>
  <c r="N3162" i="36"/>
  <c r="N3161" i="36"/>
  <c r="N3160" i="36"/>
  <c r="N3159" i="36"/>
  <c r="N3158" i="36"/>
  <c r="N3157" i="36"/>
  <c r="N3156" i="36"/>
  <c r="N3155" i="36"/>
  <c r="N3154" i="36"/>
  <c r="N3153" i="36"/>
  <c r="N3152" i="36"/>
  <c r="N3151" i="36"/>
  <c r="N3150" i="36"/>
  <c r="N3149" i="36"/>
  <c r="N3148" i="36"/>
  <c r="N3147" i="36"/>
  <c r="N3146" i="36"/>
  <c r="N3145" i="36"/>
  <c r="N3144" i="36"/>
  <c r="N3143" i="36"/>
  <c r="N3142" i="36"/>
  <c r="N3141" i="36"/>
  <c r="N3140" i="36"/>
  <c r="N3139" i="36"/>
  <c r="N3138" i="36"/>
  <c r="N3137" i="36"/>
  <c r="N3136" i="36"/>
  <c r="N3135" i="36"/>
  <c r="N3134" i="36"/>
  <c r="N3133" i="36"/>
  <c r="N3132" i="36"/>
  <c r="N3131" i="36"/>
  <c r="N3130" i="36"/>
  <c r="N3129" i="36"/>
  <c r="N3128" i="36"/>
  <c r="N3127" i="36"/>
  <c r="N3126" i="36"/>
  <c r="N3125" i="36"/>
  <c r="N3124" i="36"/>
  <c r="N3123" i="36"/>
  <c r="N3122" i="36"/>
  <c r="N3121" i="36"/>
  <c r="N3120" i="36"/>
  <c r="N3119" i="36"/>
  <c r="N3118" i="36"/>
  <c r="N3117" i="36"/>
  <c r="N3116" i="36"/>
  <c r="N3115" i="36"/>
  <c r="N3114" i="36"/>
  <c r="N3113" i="36"/>
  <c r="N3112" i="36"/>
  <c r="N3111" i="36"/>
  <c r="N3110" i="36"/>
  <c r="N3109" i="36"/>
  <c r="N3108" i="36"/>
  <c r="N3107" i="36"/>
  <c r="N3106" i="36"/>
  <c r="N3105" i="36"/>
  <c r="N3104" i="36"/>
  <c r="N3103" i="36"/>
  <c r="N3102" i="36"/>
  <c r="N3101" i="36"/>
  <c r="N3100" i="36"/>
  <c r="N3099" i="36"/>
  <c r="N3098" i="36"/>
  <c r="N3097" i="36"/>
  <c r="N3096" i="36"/>
  <c r="N3095" i="36"/>
  <c r="N3094" i="36"/>
  <c r="N3093" i="36"/>
  <c r="N3092" i="36"/>
  <c r="N3091" i="36"/>
  <c r="N3090" i="36"/>
  <c r="N3089" i="36"/>
  <c r="N3088" i="36"/>
  <c r="N3087" i="36"/>
  <c r="N3086" i="36"/>
  <c r="N3085" i="36"/>
  <c r="N3084" i="36"/>
  <c r="N3083" i="36"/>
  <c r="N3082" i="36"/>
  <c r="N3081" i="36"/>
  <c r="N3080" i="36"/>
  <c r="N3079" i="36"/>
  <c r="N3078" i="36"/>
  <c r="N3077" i="36"/>
  <c r="N3076" i="36"/>
  <c r="N3075" i="36"/>
  <c r="N3074" i="36"/>
  <c r="N3073" i="36"/>
  <c r="N3072" i="36"/>
  <c r="N3071" i="36"/>
  <c r="N3070" i="36"/>
  <c r="N3069" i="36"/>
  <c r="N3068" i="36"/>
  <c r="N3067" i="36"/>
  <c r="N3066" i="36"/>
  <c r="N3065" i="36"/>
  <c r="N3064" i="36"/>
  <c r="N3063" i="36"/>
  <c r="N3062" i="36"/>
  <c r="N3061" i="36"/>
  <c r="N3060" i="36"/>
  <c r="N3059" i="36"/>
  <c r="N3058" i="36"/>
  <c r="N3057" i="36"/>
  <c r="N3056" i="36"/>
  <c r="N3055" i="36"/>
  <c r="N3054" i="36"/>
  <c r="N3053" i="36"/>
  <c r="N3052" i="36"/>
  <c r="N3051" i="36"/>
  <c r="N3050" i="36"/>
  <c r="N3049" i="36"/>
  <c r="N3048" i="36"/>
  <c r="N3047" i="36"/>
  <c r="N3046" i="36"/>
  <c r="N3045" i="36"/>
  <c r="N3044" i="36"/>
  <c r="N3043" i="36"/>
  <c r="N3042" i="36"/>
  <c r="N3041" i="36"/>
  <c r="N3040" i="36"/>
  <c r="N3039" i="36"/>
  <c r="N3038" i="36"/>
  <c r="N3037" i="36"/>
  <c r="N3036" i="36"/>
  <c r="N3035" i="36"/>
  <c r="N3034" i="36"/>
  <c r="N3033" i="36"/>
  <c r="N3032" i="36"/>
  <c r="N3031" i="36"/>
  <c r="N3030" i="36"/>
  <c r="N3029" i="36"/>
  <c r="N3028" i="36"/>
  <c r="N3027" i="36"/>
  <c r="N3026" i="36"/>
  <c r="N3025" i="36"/>
  <c r="N3024" i="36"/>
  <c r="N3023" i="36"/>
  <c r="N3022" i="36"/>
  <c r="N3021" i="36"/>
  <c r="N3020" i="36"/>
  <c r="N3019" i="36"/>
  <c r="N3018" i="36"/>
  <c r="N3017" i="36"/>
  <c r="N3016" i="36"/>
  <c r="N3015" i="36"/>
  <c r="N3014" i="36"/>
  <c r="N3013" i="36"/>
  <c r="N3012" i="36"/>
  <c r="N3011" i="36"/>
  <c r="N3010" i="36"/>
  <c r="N3009" i="36"/>
  <c r="N3008" i="36"/>
  <c r="N3007" i="36"/>
  <c r="N3006" i="36"/>
  <c r="N3005" i="36"/>
  <c r="N3004" i="36"/>
  <c r="N3003" i="36"/>
  <c r="N3002" i="36"/>
  <c r="N3001" i="36"/>
  <c r="N3000" i="36"/>
  <c r="N2999" i="36"/>
  <c r="N2998" i="36"/>
  <c r="N2997" i="36"/>
  <c r="N2996" i="36"/>
  <c r="N2995" i="36"/>
  <c r="N2994" i="36"/>
  <c r="N2993" i="36"/>
  <c r="N2992" i="36"/>
  <c r="N2991" i="36"/>
  <c r="N2990" i="36"/>
  <c r="N2989" i="36"/>
  <c r="N2988" i="36"/>
  <c r="N2987" i="36"/>
  <c r="N2986" i="36"/>
  <c r="N2985" i="36"/>
  <c r="N2984" i="36"/>
  <c r="N2983" i="36"/>
  <c r="N2982" i="36"/>
  <c r="N2981" i="36"/>
  <c r="N2980" i="36"/>
  <c r="N2979" i="36"/>
  <c r="N2978" i="36"/>
  <c r="N2977" i="36"/>
  <c r="N2976" i="36"/>
  <c r="N2975" i="36"/>
  <c r="N2974" i="36"/>
  <c r="N2973" i="36"/>
  <c r="N2972" i="36"/>
  <c r="N2971" i="36"/>
  <c r="N2970" i="36"/>
  <c r="N2969" i="36"/>
  <c r="N2968" i="36"/>
  <c r="N2967" i="36"/>
  <c r="N2966" i="36"/>
  <c r="N2965" i="36"/>
  <c r="N2964" i="36"/>
  <c r="N2963" i="36"/>
  <c r="N2962" i="36"/>
  <c r="N2961" i="36"/>
  <c r="N2960" i="36"/>
  <c r="N2959" i="36"/>
  <c r="N2958" i="36"/>
  <c r="N2957" i="36"/>
  <c r="N2956" i="36"/>
  <c r="N2955" i="36"/>
  <c r="N2954" i="36"/>
  <c r="N2953" i="36"/>
  <c r="N2952" i="36"/>
  <c r="N2951" i="36"/>
  <c r="N2950" i="36"/>
  <c r="N2949" i="36"/>
  <c r="N2948" i="36"/>
  <c r="N2947" i="36"/>
  <c r="N2946" i="36"/>
  <c r="N2945" i="36"/>
  <c r="N2944" i="36"/>
  <c r="N2943" i="36"/>
  <c r="N2942" i="36"/>
  <c r="N2941" i="36"/>
  <c r="N2940" i="36"/>
  <c r="N2939" i="36"/>
  <c r="N2938" i="36"/>
  <c r="N2937" i="36"/>
  <c r="N2936" i="36"/>
  <c r="N2935" i="36"/>
  <c r="N2934" i="36"/>
  <c r="N2933" i="36"/>
  <c r="N2932" i="36"/>
  <c r="N2931" i="36"/>
  <c r="N2930" i="36"/>
  <c r="N2929" i="36"/>
  <c r="N2928" i="36"/>
  <c r="N2927" i="36"/>
  <c r="N2926" i="36"/>
  <c r="N2925" i="36"/>
  <c r="N2924" i="36"/>
  <c r="N2923" i="36"/>
  <c r="N2922" i="36"/>
  <c r="N2921" i="36"/>
  <c r="N2920" i="36"/>
  <c r="N2919" i="36"/>
  <c r="N2918" i="36"/>
  <c r="N2917" i="36"/>
  <c r="N2916" i="36"/>
  <c r="N2915" i="36"/>
  <c r="N2914" i="36"/>
  <c r="N2913" i="36"/>
  <c r="N2912" i="36"/>
  <c r="N2911" i="36"/>
  <c r="N2910" i="36"/>
  <c r="N2909" i="36"/>
  <c r="N2908" i="36"/>
  <c r="N2907" i="36"/>
  <c r="N2906" i="36"/>
  <c r="N2905" i="36"/>
  <c r="N2904" i="36"/>
  <c r="N2903" i="36"/>
  <c r="N2902" i="36"/>
  <c r="N2901" i="36"/>
  <c r="N2900" i="36"/>
  <c r="N2899" i="36"/>
  <c r="N2898" i="36"/>
  <c r="N2897" i="36"/>
  <c r="N2896" i="36"/>
  <c r="N2895" i="36"/>
  <c r="N2894" i="36"/>
  <c r="N2893" i="36"/>
  <c r="N2892" i="36"/>
  <c r="N2891" i="36"/>
  <c r="N2890" i="36"/>
  <c r="N2889" i="36"/>
  <c r="N2888" i="36"/>
  <c r="N2887" i="36"/>
  <c r="N2886" i="36"/>
  <c r="N2885" i="36"/>
  <c r="N2884" i="36"/>
  <c r="N2883" i="36"/>
  <c r="N2882" i="36"/>
  <c r="N2881" i="36"/>
  <c r="N2880" i="36"/>
  <c r="N2879" i="36"/>
  <c r="N2878" i="36"/>
  <c r="N2877" i="36"/>
  <c r="N2876" i="36"/>
  <c r="N2875" i="36"/>
  <c r="N2874" i="36"/>
  <c r="N2873" i="36"/>
  <c r="N2872" i="36"/>
  <c r="N2871" i="36"/>
  <c r="N2870" i="36"/>
  <c r="N2869" i="36"/>
  <c r="N2868" i="36"/>
  <c r="N2867" i="36"/>
  <c r="N2866" i="36"/>
  <c r="N2865" i="36"/>
  <c r="N2864" i="36"/>
  <c r="N2863" i="36"/>
  <c r="N2862" i="36"/>
  <c r="N2861" i="36"/>
  <c r="N2860" i="36"/>
  <c r="N2859" i="36"/>
  <c r="N2858" i="36"/>
  <c r="N2857" i="36"/>
  <c r="N2856" i="36"/>
  <c r="N2855" i="36"/>
  <c r="N2854" i="36"/>
  <c r="N2853" i="36"/>
  <c r="N2852" i="36"/>
  <c r="N2851" i="36"/>
  <c r="N2850" i="36"/>
  <c r="N2849" i="36"/>
  <c r="N2848" i="36"/>
  <c r="N2847" i="36"/>
  <c r="N2846" i="36"/>
  <c r="N2845" i="36"/>
  <c r="N2844" i="36"/>
  <c r="N2843" i="36"/>
  <c r="N2842" i="36"/>
  <c r="N2841" i="36"/>
  <c r="N2840" i="36"/>
  <c r="N2839" i="36"/>
  <c r="N2838" i="36"/>
  <c r="N2837" i="36"/>
  <c r="N2836" i="36"/>
  <c r="N2835" i="36"/>
  <c r="N2834" i="36"/>
  <c r="N2833" i="36"/>
  <c r="N2832" i="36"/>
  <c r="N2831" i="36"/>
  <c r="N2830" i="36"/>
  <c r="N2829" i="36"/>
  <c r="N2828" i="36"/>
  <c r="N2827" i="36"/>
  <c r="N2826" i="36"/>
  <c r="N2825" i="36"/>
  <c r="N2824" i="36"/>
  <c r="N2823" i="36"/>
  <c r="N2822" i="36"/>
  <c r="N2821" i="36"/>
  <c r="N2820" i="36"/>
  <c r="N2819" i="36"/>
  <c r="N2818" i="36"/>
  <c r="N2817" i="36"/>
  <c r="N2816" i="36"/>
  <c r="N2815" i="36"/>
  <c r="N2814" i="36"/>
  <c r="N2813" i="36"/>
  <c r="N2812" i="36"/>
  <c r="N2811" i="36"/>
  <c r="N2810" i="36"/>
  <c r="N2809" i="36"/>
  <c r="N2808" i="36"/>
  <c r="N2807" i="36"/>
  <c r="N2806" i="36"/>
  <c r="N2805" i="36"/>
  <c r="N2804" i="36"/>
  <c r="N2803" i="36"/>
  <c r="N2802" i="36"/>
  <c r="N2801" i="36"/>
  <c r="N2800" i="36"/>
  <c r="N2799" i="36"/>
  <c r="N2798" i="36"/>
  <c r="N2797" i="36"/>
  <c r="N2796" i="36"/>
  <c r="N2795" i="36"/>
  <c r="N2794" i="36"/>
  <c r="N2793" i="36"/>
  <c r="N2792" i="36"/>
  <c r="N2791" i="36"/>
  <c r="N2790" i="36"/>
  <c r="N2789" i="36"/>
  <c r="N2788" i="36"/>
  <c r="N2787" i="36"/>
  <c r="N2786" i="36"/>
  <c r="N2785" i="36"/>
  <c r="N2784" i="36"/>
  <c r="N2783" i="36"/>
  <c r="N2782" i="36"/>
  <c r="N2781" i="36"/>
  <c r="N2780" i="36"/>
  <c r="N2779" i="36"/>
  <c r="N2778" i="36"/>
  <c r="N2777" i="36"/>
  <c r="N2776" i="36"/>
  <c r="N2775" i="36"/>
  <c r="N2774" i="36"/>
  <c r="N2773" i="36"/>
  <c r="N2772" i="36"/>
  <c r="N2771" i="36"/>
  <c r="N2770" i="36"/>
  <c r="N2769" i="36"/>
  <c r="N2768" i="36"/>
  <c r="N2767" i="36"/>
  <c r="N2766" i="36"/>
  <c r="N2765" i="36"/>
  <c r="N2764" i="36"/>
  <c r="N2763" i="36"/>
  <c r="N2762" i="36"/>
  <c r="N2761" i="36"/>
  <c r="N2760" i="36"/>
  <c r="N2759" i="36"/>
  <c r="N2758" i="36"/>
  <c r="N2757" i="36"/>
  <c r="N2756" i="36"/>
  <c r="N2755" i="36"/>
  <c r="N2754" i="36"/>
  <c r="N2753" i="36"/>
  <c r="N2752" i="36"/>
  <c r="N2751" i="36"/>
  <c r="N2750" i="36"/>
  <c r="N2749" i="36"/>
  <c r="N2748" i="36"/>
  <c r="N2747" i="36"/>
  <c r="N2746" i="36"/>
  <c r="N2745" i="36"/>
  <c r="N2744" i="36"/>
  <c r="N2743" i="36"/>
  <c r="N2742" i="36"/>
  <c r="N2741" i="36"/>
  <c r="N2740" i="36"/>
  <c r="N2739" i="36"/>
  <c r="N2738" i="36"/>
  <c r="N2737" i="36"/>
  <c r="N2736" i="36"/>
  <c r="N2735" i="36"/>
  <c r="N2734" i="36"/>
  <c r="N2733" i="36"/>
  <c r="N2732" i="36"/>
  <c r="N2731" i="36"/>
  <c r="N2730" i="36"/>
  <c r="N2729" i="36"/>
  <c r="N2728" i="36"/>
  <c r="N2727" i="36"/>
  <c r="N2726" i="36"/>
  <c r="N2725" i="36"/>
  <c r="N2724" i="36"/>
  <c r="N2723" i="36"/>
  <c r="N2722" i="36"/>
  <c r="N2721" i="36"/>
  <c r="N2720" i="36"/>
  <c r="N2719" i="36"/>
  <c r="N2718" i="36"/>
  <c r="N2717" i="36"/>
  <c r="N2716" i="36"/>
  <c r="N2715" i="36"/>
  <c r="N2714" i="36"/>
  <c r="N2713" i="36"/>
  <c r="N2712" i="36"/>
  <c r="N2711" i="36"/>
  <c r="N2710" i="36"/>
  <c r="N2709" i="36"/>
  <c r="N2708" i="36"/>
  <c r="N2707" i="36"/>
  <c r="N2706" i="36"/>
  <c r="N2705" i="36"/>
  <c r="N2704" i="36"/>
  <c r="N2703" i="36"/>
  <c r="N2702" i="36"/>
  <c r="N2701" i="36"/>
  <c r="N2700" i="36"/>
  <c r="N2699" i="36"/>
  <c r="N2698" i="36"/>
  <c r="N2697" i="36"/>
  <c r="N2696" i="36"/>
  <c r="N2695" i="36"/>
  <c r="N2694" i="36"/>
  <c r="N2693" i="36"/>
  <c r="N2692" i="36"/>
  <c r="N2691" i="36"/>
  <c r="N2690" i="36"/>
  <c r="N2689" i="36"/>
  <c r="N2688" i="36"/>
  <c r="N2687" i="36"/>
  <c r="N2686" i="36"/>
  <c r="N2685" i="36"/>
  <c r="N2684" i="36"/>
  <c r="N2683" i="36"/>
  <c r="N2682" i="36"/>
  <c r="N2681" i="36"/>
  <c r="N2680" i="36"/>
  <c r="N2679" i="36"/>
  <c r="N2678" i="36"/>
  <c r="N2677" i="36"/>
  <c r="N2676" i="36"/>
  <c r="N2675" i="36"/>
  <c r="N2674" i="36"/>
  <c r="N2673" i="36"/>
  <c r="N2672" i="36"/>
  <c r="N2671" i="36"/>
  <c r="N2670" i="36"/>
  <c r="N2669" i="36"/>
  <c r="N2668" i="36"/>
  <c r="N2667" i="36"/>
  <c r="N2666" i="36"/>
  <c r="N2665" i="36"/>
  <c r="N2664" i="36"/>
  <c r="N2663" i="36"/>
  <c r="N2662" i="36"/>
  <c r="N2661" i="36"/>
  <c r="N2660" i="36"/>
  <c r="N2659" i="36"/>
  <c r="N2658" i="36"/>
  <c r="N2657" i="36"/>
  <c r="N2656" i="36"/>
  <c r="N2655" i="36"/>
  <c r="N2654" i="36"/>
  <c r="N2653" i="36"/>
  <c r="N2652" i="36"/>
  <c r="N2651" i="36"/>
  <c r="N2650" i="36"/>
  <c r="N2649" i="36"/>
  <c r="N2648" i="36"/>
  <c r="N2647" i="36"/>
  <c r="N2646" i="36"/>
  <c r="N2645" i="36"/>
  <c r="N2644" i="36"/>
  <c r="N2643" i="36"/>
  <c r="N2642" i="36"/>
  <c r="N2641" i="36"/>
  <c r="N2640" i="36"/>
  <c r="N2639" i="36"/>
  <c r="N2638" i="36"/>
  <c r="N2637" i="36"/>
  <c r="N2636" i="36"/>
  <c r="N2635" i="36"/>
  <c r="N2634" i="36"/>
  <c r="N2633" i="36"/>
  <c r="N2632" i="36"/>
  <c r="N2631" i="36"/>
  <c r="N2630" i="36"/>
  <c r="N2629" i="36"/>
  <c r="N2628" i="36"/>
  <c r="N2627" i="36"/>
  <c r="N2626" i="36"/>
  <c r="N2625" i="36"/>
  <c r="N2624" i="36"/>
  <c r="N2623" i="36"/>
  <c r="N2622" i="36"/>
  <c r="N2621" i="36"/>
  <c r="N2620" i="36"/>
  <c r="N2619" i="36"/>
  <c r="N2618" i="36"/>
  <c r="N2617" i="36"/>
  <c r="N2616" i="36"/>
  <c r="N2615" i="36"/>
  <c r="N2614" i="36"/>
  <c r="N2613" i="36"/>
  <c r="N2612" i="36"/>
  <c r="N2611" i="36"/>
  <c r="N2610" i="36"/>
  <c r="N2609" i="36"/>
  <c r="N2608" i="36"/>
  <c r="N2607" i="36"/>
  <c r="N2606" i="36"/>
  <c r="N2605" i="36"/>
  <c r="N2604" i="36"/>
  <c r="N2603" i="36"/>
  <c r="N2602" i="36"/>
  <c r="N2601" i="36"/>
  <c r="N2600" i="36"/>
  <c r="N2599" i="36"/>
  <c r="N2598" i="36"/>
  <c r="N2597" i="36"/>
  <c r="N2596" i="36"/>
  <c r="N2595" i="36"/>
  <c r="N2594" i="36"/>
  <c r="N2593" i="36"/>
  <c r="N2592" i="36"/>
  <c r="N2591" i="36"/>
  <c r="N2590" i="36"/>
  <c r="N2589" i="36"/>
  <c r="N2588" i="36"/>
  <c r="N2587" i="36"/>
  <c r="N2586" i="36"/>
  <c r="N2585" i="36"/>
  <c r="N2584" i="36"/>
  <c r="N2583" i="36"/>
  <c r="N2582" i="36"/>
  <c r="N2581" i="36"/>
  <c r="N2580" i="36"/>
  <c r="N2579" i="36"/>
  <c r="N2578" i="36"/>
  <c r="N2577" i="36"/>
  <c r="N2576" i="36"/>
  <c r="N2575" i="36"/>
  <c r="N2574" i="36"/>
  <c r="N2573" i="36"/>
  <c r="N2572" i="36"/>
  <c r="N2571" i="36"/>
  <c r="N2570" i="36"/>
  <c r="N2569" i="36"/>
  <c r="N2568" i="36"/>
  <c r="N2567" i="36"/>
  <c r="N2566" i="36"/>
  <c r="N2565" i="36"/>
  <c r="N2564" i="36"/>
  <c r="N2563" i="36"/>
  <c r="N2562" i="36"/>
  <c r="N2561" i="36"/>
  <c r="N2560" i="36"/>
  <c r="N2559" i="36"/>
  <c r="N2558" i="36"/>
  <c r="N2557" i="36"/>
  <c r="N2556" i="36"/>
  <c r="N2555" i="36"/>
  <c r="N2554" i="36"/>
  <c r="N2553" i="36"/>
  <c r="N2552" i="36"/>
  <c r="N2551" i="36"/>
  <c r="N2550" i="36"/>
  <c r="N2549" i="36"/>
  <c r="N2548" i="36"/>
  <c r="N2547" i="36"/>
  <c r="N2546" i="36"/>
  <c r="N2545" i="36"/>
  <c r="N2544" i="36"/>
  <c r="N2543" i="36"/>
  <c r="N2542" i="36"/>
  <c r="N2541" i="36"/>
  <c r="N2540" i="36"/>
  <c r="N2539" i="36"/>
  <c r="N2538" i="36"/>
  <c r="N2537" i="36"/>
  <c r="N2536" i="36"/>
  <c r="N2535" i="36"/>
  <c r="N2534" i="36"/>
  <c r="N2533" i="36"/>
  <c r="N2532" i="36"/>
  <c r="N2531" i="36"/>
  <c r="N2530" i="36"/>
  <c r="N2529" i="36"/>
  <c r="N2528" i="36"/>
  <c r="N2527" i="36"/>
  <c r="N2526" i="36"/>
  <c r="N2525" i="36"/>
  <c r="N2524" i="36"/>
  <c r="N2523" i="36"/>
  <c r="N2522" i="36"/>
  <c r="N2521" i="36"/>
  <c r="N2520" i="36"/>
  <c r="N2519" i="36"/>
  <c r="N2518" i="36"/>
  <c r="N2517" i="36"/>
  <c r="N2516" i="36"/>
  <c r="N2515" i="36"/>
  <c r="N2514" i="36"/>
  <c r="N2513" i="36"/>
  <c r="N2512" i="36"/>
  <c r="N2511" i="36"/>
  <c r="N2510" i="36"/>
  <c r="N2509" i="36"/>
  <c r="N2508" i="36"/>
  <c r="N2507" i="36"/>
  <c r="N2506" i="36"/>
  <c r="N2505" i="36"/>
  <c r="N2504" i="36"/>
  <c r="N2503" i="36"/>
  <c r="N2502" i="36"/>
  <c r="N2501" i="36"/>
  <c r="N2500" i="36"/>
  <c r="N2499" i="36"/>
  <c r="N2498" i="36"/>
  <c r="N2497" i="36"/>
  <c r="N2496" i="36"/>
  <c r="N2495" i="36"/>
  <c r="N2494" i="36"/>
  <c r="N2493" i="36"/>
  <c r="N2492" i="36"/>
  <c r="N2491" i="36"/>
  <c r="N2490" i="36"/>
  <c r="N2489" i="36"/>
  <c r="N2488" i="36"/>
  <c r="N2487" i="36"/>
  <c r="N2486" i="36"/>
  <c r="N2485" i="36"/>
  <c r="N2484" i="36"/>
  <c r="N2483" i="36"/>
  <c r="N2482" i="36"/>
  <c r="N2481" i="36"/>
  <c r="N2480" i="36"/>
  <c r="N2479" i="36"/>
  <c r="N2478" i="36"/>
  <c r="N2477" i="36"/>
  <c r="N2476" i="36"/>
  <c r="N2475" i="36"/>
  <c r="N2474" i="36"/>
  <c r="N2473" i="36"/>
  <c r="N2472" i="36"/>
  <c r="N2471" i="36"/>
  <c r="N2470" i="36"/>
  <c r="N2469" i="36"/>
  <c r="N2468" i="36"/>
  <c r="N2467" i="36"/>
  <c r="N2466" i="36"/>
  <c r="N2465" i="36"/>
  <c r="N2464" i="36"/>
  <c r="N2463" i="36"/>
  <c r="N2462" i="36"/>
  <c r="N2461" i="36"/>
  <c r="N2460" i="36"/>
  <c r="N2459" i="36"/>
  <c r="N2458" i="36"/>
  <c r="N2457" i="36"/>
  <c r="N2456" i="36"/>
  <c r="N2455" i="36"/>
  <c r="N2454" i="36"/>
  <c r="N2453" i="36"/>
  <c r="N2452" i="36"/>
  <c r="N2451" i="36"/>
  <c r="N2450" i="36"/>
  <c r="N2449" i="36"/>
  <c r="N2448" i="36"/>
  <c r="N2447" i="36"/>
  <c r="N2446" i="36"/>
  <c r="N2445" i="36"/>
  <c r="N2444" i="36"/>
  <c r="N2443" i="36"/>
  <c r="N2442" i="36"/>
  <c r="N2441" i="36"/>
  <c r="N2440" i="36"/>
  <c r="N2439" i="36"/>
  <c r="N2438" i="36"/>
  <c r="N2437" i="36"/>
  <c r="N2436" i="36"/>
  <c r="N2435" i="36"/>
  <c r="N2434" i="36"/>
  <c r="N2433" i="36"/>
  <c r="N2432" i="36"/>
  <c r="N2431" i="36"/>
  <c r="N2430" i="36"/>
  <c r="N2429" i="36"/>
  <c r="N2428" i="36"/>
  <c r="N2427" i="36"/>
  <c r="N2426" i="36"/>
  <c r="N2425" i="36"/>
  <c r="N2424" i="36"/>
  <c r="N2423" i="36"/>
  <c r="N2422" i="36"/>
  <c r="N2421" i="36"/>
  <c r="N2420" i="36"/>
  <c r="N2419" i="36"/>
  <c r="N2418" i="36"/>
  <c r="N2417" i="36"/>
  <c r="N2416" i="36"/>
  <c r="N2415" i="36"/>
  <c r="N2414" i="36"/>
  <c r="N2413" i="36"/>
  <c r="N2412" i="36"/>
  <c r="N2411" i="36"/>
  <c r="N2410" i="36"/>
  <c r="N2409" i="36"/>
  <c r="N2408" i="36"/>
  <c r="N2407" i="36"/>
  <c r="N2406" i="36"/>
  <c r="N2405" i="36"/>
  <c r="N2404" i="36"/>
  <c r="N2403" i="36"/>
  <c r="N2402" i="36"/>
  <c r="N2401" i="36"/>
  <c r="N2400" i="36"/>
  <c r="N2399" i="36"/>
  <c r="N2398" i="36"/>
  <c r="N2397" i="36"/>
  <c r="N2396" i="36"/>
  <c r="N2395" i="36"/>
  <c r="N2394" i="36"/>
  <c r="N2393" i="36"/>
  <c r="N2392" i="36"/>
  <c r="N2391" i="36"/>
  <c r="N2390" i="36"/>
  <c r="N2389" i="36"/>
  <c r="N2388" i="36"/>
  <c r="N2387" i="36"/>
  <c r="N2386" i="36"/>
  <c r="N2385" i="36"/>
  <c r="N2384" i="36"/>
  <c r="N2383" i="36"/>
  <c r="N2382" i="36"/>
  <c r="N2381" i="36"/>
  <c r="N2380" i="36"/>
  <c r="N2379" i="36"/>
  <c r="N2378" i="36"/>
  <c r="N2377" i="36"/>
  <c r="N2376" i="36"/>
  <c r="N2375" i="36"/>
  <c r="N2374" i="36"/>
  <c r="N2373" i="36"/>
  <c r="N2372" i="36"/>
  <c r="N2371" i="36"/>
  <c r="N2370" i="36"/>
  <c r="N2369" i="36"/>
  <c r="N2368" i="36"/>
  <c r="N2367" i="36"/>
  <c r="N2366" i="36"/>
  <c r="N2365" i="36"/>
  <c r="N2364" i="36"/>
  <c r="N2363" i="36"/>
  <c r="N2362" i="36"/>
  <c r="N2361" i="36"/>
  <c r="N2360" i="36"/>
  <c r="N2359" i="36"/>
  <c r="N2358" i="36"/>
  <c r="N2357" i="36"/>
  <c r="N2356" i="36"/>
  <c r="N2355" i="36"/>
  <c r="N2354" i="36"/>
  <c r="N2353" i="36"/>
  <c r="N2352" i="36"/>
  <c r="N2351" i="36"/>
  <c r="N2350" i="36"/>
  <c r="N2349" i="36"/>
  <c r="N2348" i="36"/>
  <c r="N2347" i="36"/>
  <c r="N2346" i="36"/>
  <c r="N2345" i="36"/>
  <c r="N2344" i="36"/>
  <c r="N2343" i="36"/>
  <c r="N2342" i="36"/>
  <c r="N2341" i="36"/>
  <c r="N2340" i="36"/>
  <c r="N2339" i="36"/>
  <c r="N2338" i="36"/>
  <c r="N2337" i="36"/>
  <c r="N2336" i="36"/>
  <c r="N2335" i="36"/>
  <c r="N2334" i="36"/>
  <c r="N2333" i="36"/>
  <c r="N2332" i="36"/>
  <c r="N2331" i="36"/>
  <c r="N2330" i="36"/>
  <c r="N2329" i="36"/>
  <c r="N2328" i="36"/>
  <c r="N2327" i="36"/>
  <c r="N2326" i="36"/>
  <c r="N2325" i="36"/>
  <c r="N2324" i="36"/>
  <c r="N2323" i="36"/>
  <c r="N2322" i="36"/>
  <c r="N2321" i="36"/>
  <c r="N2320" i="36"/>
  <c r="N2319" i="36"/>
  <c r="N2318" i="36"/>
  <c r="N2317" i="36"/>
  <c r="N2316" i="36"/>
  <c r="N2315" i="36"/>
  <c r="N2314" i="36"/>
  <c r="N2313" i="36"/>
  <c r="N2312" i="36"/>
  <c r="N2311" i="36"/>
  <c r="N2310" i="36"/>
  <c r="N2309" i="36"/>
  <c r="N2308" i="36"/>
  <c r="N2307" i="36"/>
  <c r="N2306" i="36"/>
  <c r="N2305" i="36"/>
  <c r="N2304" i="36"/>
  <c r="N2303" i="36"/>
  <c r="N2302" i="36"/>
  <c r="N2301" i="36"/>
  <c r="N2300" i="36"/>
  <c r="N2299" i="36"/>
  <c r="N2298" i="36"/>
  <c r="N2297" i="36"/>
  <c r="N2296" i="36"/>
  <c r="N2295" i="36"/>
  <c r="N2294" i="36"/>
  <c r="N2293" i="36"/>
  <c r="N2292" i="36"/>
  <c r="N2291" i="36"/>
  <c r="N2290" i="36"/>
  <c r="N2289" i="36"/>
  <c r="N2288" i="36"/>
  <c r="N2287" i="36"/>
  <c r="N2286" i="36"/>
  <c r="N2285" i="36"/>
  <c r="N2284" i="36"/>
  <c r="N2283" i="36"/>
  <c r="N2282" i="36"/>
  <c r="N2281" i="36"/>
  <c r="N2280" i="36"/>
  <c r="N2279" i="36"/>
  <c r="N2278" i="36"/>
  <c r="N2277" i="36"/>
  <c r="N2276" i="36"/>
  <c r="N2275" i="36"/>
  <c r="N2274" i="36"/>
  <c r="N2273" i="36"/>
  <c r="N2272" i="36"/>
  <c r="N2271" i="36"/>
  <c r="N2270" i="36"/>
  <c r="N2269" i="36"/>
  <c r="N2268" i="36"/>
  <c r="N2267" i="36"/>
  <c r="N2266" i="36"/>
  <c r="N2265" i="36"/>
  <c r="N2264" i="36"/>
  <c r="N2263" i="36"/>
  <c r="N2262" i="36"/>
  <c r="N2261" i="36"/>
  <c r="N2260" i="36"/>
  <c r="N2259" i="36"/>
  <c r="N2258" i="36"/>
  <c r="N2257" i="36"/>
  <c r="N2256" i="36"/>
  <c r="N2255" i="36"/>
  <c r="N2254" i="36"/>
  <c r="N2253" i="36"/>
  <c r="N2252" i="36"/>
  <c r="N2251" i="36"/>
  <c r="N2250" i="36"/>
  <c r="N2249" i="36"/>
  <c r="N2248" i="36"/>
  <c r="N2247" i="36"/>
  <c r="N2246" i="36"/>
  <c r="N2245" i="36"/>
  <c r="N2244" i="36"/>
  <c r="N2243" i="36"/>
  <c r="N2242" i="36"/>
  <c r="N2241" i="36"/>
  <c r="N2240" i="36"/>
  <c r="N2239" i="36"/>
  <c r="N2238" i="36"/>
  <c r="N2237" i="36"/>
  <c r="N2236" i="36"/>
  <c r="N2235" i="36"/>
  <c r="N2234" i="36"/>
  <c r="N2233" i="36"/>
  <c r="N2232" i="36"/>
  <c r="N2231" i="36"/>
  <c r="N2230" i="36"/>
  <c r="N2229" i="36"/>
  <c r="N2228" i="36"/>
  <c r="N2227" i="36"/>
  <c r="N2226" i="36"/>
  <c r="N2225" i="36"/>
  <c r="N2224" i="36"/>
  <c r="N2223" i="36"/>
  <c r="N2222" i="36"/>
  <c r="N2221" i="36"/>
  <c r="N2220" i="36"/>
  <c r="N2219" i="36"/>
  <c r="N2218" i="36"/>
  <c r="N2217" i="36"/>
  <c r="N2216" i="36"/>
  <c r="N2215" i="36"/>
  <c r="N2214" i="36"/>
  <c r="N2213" i="36"/>
  <c r="N2212" i="36"/>
  <c r="N2211" i="36"/>
  <c r="N2210" i="36"/>
  <c r="N2209" i="36"/>
  <c r="N2208" i="36"/>
  <c r="N2207" i="36"/>
  <c r="N2206" i="36"/>
  <c r="N2205" i="36"/>
  <c r="N2204" i="36"/>
  <c r="N2203" i="36"/>
  <c r="N2202" i="36"/>
  <c r="N2201" i="36"/>
  <c r="N2200" i="36"/>
  <c r="N2199" i="36"/>
  <c r="N2198" i="36"/>
  <c r="N2197" i="36"/>
  <c r="N2196" i="36"/>
  <c r="N2195" i="36"/>
  <c r="N2194" i="36"/>
  <c r="N2193" i="36"/>
  <c r="N2192" i="36"/>
  <c r="N2191" i="36"/>
  <c r="N2190" i="36"/>
  <c r="N2189" i="36"/>
  <c r="N2188" i="36"/>
  <c r="N2187" i="36"/>
  <c r="N2186" i="36"/>
  <c r="N2185" i="36"/>
  <c r="N2184" i="36"/>
  <c r="N2183" i="36"/>
  <c r="N2182" i="36"/>
  <c r="N2181" i="36"/>
  <c r="N2180" i="36"/>
  <c r="N2179" i="36"/>
  <c r="N2178" i="36"/>
  <c r="N2177" i="36"/>
  <c r="N2176" i="36"/>
  <c r="N2175" i="36"/>
  <c r="N2174" i="36"/>
  <c r="N2173" i="36"/>
  <c r="N2172" i="36"/>
  <c r="N2171" i="36"/>
  <c r="N2170" i="36"/>
  <c r="N2169" i="36"/>
  <c r="N2168" i="36"/>
  <c r="N2167" i="36"/>
  <c r="N2166" i="36"/>
  <c r="N2165" i="36"/>
  <c r="N2164" i="36"/>
  <c r="N2163" i="36"/>
  <c r="N2162" i="36"/>
  <c r="N2161" i="36"/>
  <c r="N2160" i="36"/>
  <c r="N2159" i="36"/>
  <c r="N2158" i="36"/>
  <c r="N2157" i="36"/>
  <c r="N2156" i="36"/>
  <c r="N2155" i="36"/>
  <c r="N2154" i="36"/>
  <c r="N2153" i="36"/>
  <c r="N2152" i="36"/>
  <c r="N2151" i="36"/>
  <c r="N2150" i="36"/>
  <c r="N2149" i="36"/>
  <c r="N2148" i="36"/>
  <c r="N2147" i="36"/>
  <c r="N2146" i="36"/>
  <c r="N2145" i="36"/>
  <c r="N2144" i="36"/>
  <c r="N2143" i="36"/>
  <c r="N2142" i="36"/>
  <c r="N2141" i="36"/>
  <c r="N2140" i="36"/>
  <c r="N2139" i="36"/>
  <c r="N2138" i="36"/>
  <c r="N2137" i="36"/>
  <c r="N2136" i="36"/>
  <c r="N2135" i="36"/>
  <c r="N2134" i="36"/>
  <c r="N2133" i="36"/>
  <c r="N2132" i="36"/>
  <c r="N2131" i="36"/>
  <c r="N2130" i="36"/>
  <c r="N2129" i="36"/>
  <c r="N2128" i="36"/>
  <c r="N2127" i="36"/>
  <c r="N2126" i="36"/>
  <c r="N2125" i="36"/>
  <c r="N2124" i="36"/>
  <c r="N2123" i="36"/>
  <c r="N2122" i="36"/>
  <c r="N2121" i="36"/>
  <c r="N2120" i="36"/>
  <c r="N2119" i="36"/>
  <c r="N2118" i="36"/>
  <c r="N2117" i="36"/>
  <c r="N2116" i="36"/>
  <c r="N2115" i="36"/>
  <c r="N2114" i="36"/>
  <c r="N2113" i="36"/>
  <c r="N2112" i="36"/>
  <c r="N2111" i="36"/>
  <c r="N2110" i="36"/>
  <c r="N2109" i="36"/>
  <c r="N2108" i="36"/>
  <c r="N2107" i="36"/>
  <c r="N2106" i="36"/>
  <c r="N2105" i="36"/>
  <c r="N2104" i="36"/>
  <c r="N2103" i="36"/>
  <c r="N2102" i="36"/>
  <c r="N2101" i="36"/>
  <c r="N2100" i="36"/>
  <c r="N2099" i="36"/>
  <c r="N2098" i="36"/>
  <c r="N2097" i="36"/>
  <c r="N2096" i="36"/>
  <c r="N2095" i="36"/>
  <c r="N2094" i="36"/>
  <c r="N2093" i="36"/>
  <c r="N2092" i="36"/>
  <c r="N2091" i="36"/>
  <c r="N2090" i="36"/>
  <c r="N2089" i="36"/>
  <c r="N2088" i="36"/>
  <c r="N2087" i="36"/>
  <c r="N2086" i="36"/>
  <c r="N2085" i="36"/>
  <c r="N2084" i="36"/>
  <c r="N2083" i="36"/>
  <c r="N2082" i="36"/>
  <c r="N2081" i="36"/>
  <c r="N2080" i="36"/>
  <c r="N2079" i="36"/>
  <c r="N2078" i="36"/>
  <c r="N2077" i="36"/>
  <c r="N2076" i="36"/>
  <c r="N2075" i="36"/>
  <c r="N2074" i="36"/>
  <c r="N2073" i="36"/>
  <c r="N2072" i="36"/>
  <c r="N2071" i="36"/>
  <c r="N2070" i="36"/>
  <c r="N2069" i="36"/>
  <c r="N2068" i="36"/>
  <c r="N2067" i="36"/>
  <c r="N2066" i="36"/>
  <c r="N2065" i="36"/>
  <c r="N2064" i="36"/>
  <c r="N2063" i="36"/>
  <c r="N2062" i="36"/>
  <c r="N2061" i="36"/>
  <c r="N2060" i="36"/>
  <c r="N2059" i="36"/>
  <c r="N2058" i="36"/>
  <c r="N2057" i="36"/>
  <c r="N2056" i="36"/>
  <c r="N2055" i="36"/>
  <c r="N2054" i="36"/>
  <c r="N2053" i="36"/>
  <c r="N2052" i="36"/>
  <c r="N2051" i="36"/>
  <c r="N2050" i="36"/>
  <c r="N2049" i="36"/>
  <c r="N2048" i="36"/>
  <c r="N2047" i="36"/>
  <c r="N2046" i="36"/>
  <c r="N2045" i="36"/>
  <c r="N2044" i="36"/>
  <c r="N2043" i="36"/>
  <c r="N2042" i="36"/>
  <c r="N2041" i="36"/>
  <c r="N2040" i="36"/>
  <c r="N2039" i="36"/>
  <c r="N2038" i="36"/>
  <c r="N2037" i="36"/>
  <c r="N2036" i="36"/>
  <c r="N2035" i="36"/>
  <c r="N2034" i="36"/>
  <c r="N2033" i="36"/>
  <c r="N2032" i="36"/>
  <c r="N2031" i="36"/>
  <c r="N2030" i="36"/>
  <c r="N2029" i="36"/>
  <c r="N2028" i="36"/>
  <c r="N2027" i="36"/>
  <c r="N2026" i="36"/>
  <c r="N2025" i="36"/>
  <c r="N2024" i="36"/>
  <c r="N2023" i="36"/>
  <c r="N2022" i="36"/>
  <c r="N2021" i="36"/>
  <c r="N2020" i="36"/>
  <c r="N2019" i="36"/>
  <c r="N2018" i="36"/>
  <c r="N2017" i="36"/>
  <c r="N2016" i="36"/>
  <c r="N2015" i="36"/>
  <c r="N2014" i="36"/>
  <c r="N2013" i="36"/>
  <c r="N2012" i="36"/>
  <c r="N2011" i="36"/>
  <c r="N2010" i="36"/>
  <c r="N2009" i="36"/>
  <c r="N2008" i="36"/>
  <c r="N2007" i="36"/>
  <c r="N2006" i="36"/>
  <c r="N2005" i="36"/>
  <c r="N2004" i="36"/>
  <c r="N2003" i="36"/>
  <c r="N2002" i="36"/>
  <c r="N2001" i="36"/>
  <c r="N2000" i="36"/>
  <c r="N1999" i="36"/>
  <c r="N1998" i="36"/>
  <c r="N1997" i="36"/>
  <c r="N1996" i="36"/>
  <c r="N1995" i="36"/>
  <c r="N1994" i="36"/>
  <c r="N1993" i="36"/>
  <c r="N1992" i="36"/>
  <c r="N1991" i="36"/>
  <c r="N1990" i="36"/>
  <c r="N1989" i="36"/>
  <c r="N1988" i="36"/>
  <c r="N1987" i="36"/>
  <c r="N1986" i="36"/>
  <c r="N1985" i="36"/>
  <c r="N1984" i="36"/>
  <c r="N1983" i="36"/>
  <c r="N1982" i="36"/>
  <c r="N1981" i="36"/>
  <c r="N1980" i="36"/>
  <c r="N1979" i="36"/>
  <c r="N1978" i="36"/>
  <c r="N1977" i="36"/>
  <c r="N1976" i="36"/>
  <c r="N1975" i="36"/>
  <c r="N1974" i="36"/>
  <c r="N1973" i="36"/>
  <c r="N1972" i="36"/>
  <c r="N1971" i="36"/>
  <c r="N1970" i="36"/>
  <c r="N1969" i="36"/>
  <c r="N1968" i="36"/>
  <c r="N1967" i="36"/>
  <c r="N1966" i="36"/>
  <c r="N1965" i="36"/>
  <c r="N1964" i="36"/>
  <c r="N1963" i="36"/>
  <c r="N1962" i="36"/>
  <c r="N1961" i="36"/>
  <c r="N1960" i="36"/>
  <c r="N1959" i="36"/>
  <c r="N1958" i="36"/>
  <c r="N1957" i="36"/>
  <c r="N1956" i="36"/>
  <c r="N1955" i="36"/>
  <c r="N1954" i="36"/>
  <c r="N1953" i="36"/>
  <c r="N1952" i="36"/>
  <c r="N1951" i="36"/>
  <c r="N1950" i="36"/>
  <c r="N1949" i="36"/>
  <c r="N1948" i="36"/>
  <c r="N1947" i="36"/>
  <c r="N1946" i="36"/>
  <c r="N1945" i="36"/>
  <c r="N1944" i="36"/>
  <c r="N1943" i="36"/>
  <c r="N1942" i="36"/>
  <c r="N1941" i="36"/>
  <c r="N1940" i="36"/>
  <c r="N1939" i="36"/>
  <c r="N1938" i="36"/>
  <c r="N1937" i="36"/>
  <c r="N1936" i="36"/>
  <c r="N1935" i="36"/>
  <c r="N1934" i="36"/>
  <c r="N1933" i="36"/>
  <c r="N1932" i="36"/>
  <c r="N1931" i="36"/>
  <c r="N1930" i="36"/>
  <c r="N1929" i="36"/>
  <c r="N1928" i="36"/>
  <c r="N1927" i="36"/>
  <c r="N1926" i="36"/>
  <c r="N1925" i="36"/>
  <c r="N1924" i="36"/>
  <c r="N1923" i="36"/>
  <c r="N1922" i="36"/>
  <c r="N1921" i="36"/>
  <c r="N1920" i="36"/>
  <c r="N1919" i="36"/>
  <c r="N1918" i="36"/>
  <c r="N1917" i="36"/>
  <c r="N1916" i="36"/>
  <c r="N1915" i="36"/>
  <c r="N1914" i="36"/>
  <c r="N1913" i="36"/>
  <c r="N1912" i="36"/>
  <c r="N1911" i="36"/>
  <c r="N1910" i="36"/>
  <c r="N1909" i="36"/>
  <c r="N1908" i="36"/>
  <c r="N1907" i="36"/>
  <c r="N1906" i="36"/>
  <c r="N1905" i="36"/>
  <c r="N1904" i="36"/>
  <c r="N1903" i="36"/>
  <c r="N1902" i="36"/>
  <c r="N1901" i="36"/>
  <c r="N1900" i="36"/>
  <c r="N1899" i="36"/>
  <c r="N1898" i="36"/>
  <c r="N1897" i="36"/>
  <c r="N1896" i="36"/>
  <c r="N1895" i="36"/>
  <c r="N1894" i="36"/>
  <c r="N1893" i="36"/>
  <c r="N1892" i="36"/>
  <c r="N1891" i="36"/>
  <c r="N1890" i="36"/>
  <c r="N1889" i="36"/>
  <c r="N1888" i="36"/>
  <c r="N1887" i="36"/>
  <c r="N1886" i="36"/>
  <c r="N1885" i="36"/>
  <c r="N1884" i="36"/>
  <c r="N1883" i="36"/>
  <c r="N1882" i="36"/>
  <c r="N1881" i="36"/>
  <c r="N1880" i="36"/>
  <c r="N1879" i="36"/>
  <c r="N1878" i="36"/>
  <c r="N1877" i="36"/>
  <c r="N1876" i="36"/>
  <c r="N1875" i="36"/>
  <c r="N1874" i="36"/>
  <c r="N1873" i="36"/>
  <c r="N1872" i="36"/>
  <c r="N1871" i="36"/>
  <c r="N1870" i="36"/>
  <c r="N1869" i="36"/>
  <c r="N1868" i="36"/>
  <c r="N1867" i="36"/>
  <c r="N1866" i="36"/>
  <c r="N1865" i="36"/>
  <c r="N1864" i="36"/>
  <c r="N1863" i="36"/>
  <c r="N1862" i="36"/>
  <c r="N1861" i="36"/>
  <c r="N1860" i="36"/>
  <c r="N1859" i="36"/>
  <c r="N1858" i="36"/>
  <c r="N1857" i="36"/>
  <c r="N1856" i="36"/>
  <c r="N1855" i="36"/>
  <c r="N1854" i="36"/>
  <c r="N1853" i="36"/>
  <c r="N1852" i="36"/>
  <c r="N1851" i="36"/>
  <c r="N1850" i="36"/>
  <c r="N1849" i="36"/>
  <c r="N1848" i="36"/>
  <c r="N1847" i="36"/>
  <c r="N1846" i="36"/>
  <c r="N1845" i="36"/>
  <c r="N1844" i="36"/>
  <c r="N1843" i="36"/>
  <c r="N1842" i="36"/>
  <c r="N1841" i="36"/>
  <c r="N1840" i="36"/>
  <c r="N1839" i="36"/>
  <c r="N1838" i="36"/>
  <c r="N1837" i="36"/>
  <c r="N1836" i="36"/>
  <c r="N1835" i="36"/>
  <c r="N1834" i="36"/>
  <c r="N1833" i="36"/>
  <c r="N1832" i="36"/>
  <c r="N1831" i="36"/>
  <c r="N1830" i="36"/>
  <c r="N1829" i="36"/>
  <c r="N1828" i="36"/>
  <c r="N1827" i="36"/>
  <c r="N1826" i="36"/>
  <c r="N1825" i="36"/>
  <c r="N1824" i="36"/>
  <c r="N1823" i="36"/>
  <c r="N1822" i="36"/>
  <c r="N1821" i="36"/>
  <c r="N1820" i="36"/>
  <c r="N1819" i="36"/>
  <c r="N1818" i="36"/>
  <c r="N1817" i="36"/>
  <c r="N1816" i="36"/>
  <c r="N1815" i="36"/>
  <c r="N1814" i="36"/>
  <c r="N1813" i="36"/>
  <c r="N1812" i="36"/>
  <c r="N1811" i="36"/>
  <c r="N1810" i="36"/>
  <c r="N1809" i="36"/>
  <c r="N1808" i="36"/>
  <c r="N1807" i="36"/>
  <c r="N1806" i="36"/>
  <c r="N1805" i="36"/>
  <c r="N1804" i="36"/>
  <c r="N1803" i="36"/>
  <c r="N1802" i="36"/>
  <c r="N1801" i="36"/>
  <c r="N1800" i="36"/>
  <c r="N1799" i="36"/>
  <c r="N1798" i="36"/>
  <c r="N1797" i="36"/>
  <c r="N1796" i="36"/>
  <c r="N1795" i="36"/>
  <c r="N1794" i="36"/>
  <c r="N1793" i="36"/>
  <c r="N1792" i="36"/>
  <c r="N1791" i="36"/>
  <c r="N1790" i="36"/>
  <c r="N1789" i="36"/>
  <c r="N1788" i="36"/>
  <c r="N1787" i="36"/>
  <c r="N1786" i="36"/>
  <c r="N1785" i="36"/>
  <c r="N1784" i="36"/>
  <c r="N1783" i="36"/>
  <c r="N1782" i="36"/>
  <c r="N1781" i="36"/>
  <c r="N1780" i="36"/>
  <c r="N1779" i="36"/>
  <c r="N1778" i="36"/>
  <c r="N1777" i="36"/>
  <c r="N1776" i="36"/>
  <c r="N1775" i="36"/>
  <c r="N1774" i="36"/>
  <c r="N1773" i="36"/>
  <c r="N1772" i="36"/>
  <c r="N1771" i="36"/>
  <c r="N1770" i="36"/>
  <c r="N1769" i="36"/>
  <c r="N1768" i="36"/>
  <c r="N1767" i="36"/>
  <c r="N1766" i="36"/>
  <c r="N1765" i="36"/>
  <c r="N1764" i="36"/>
  <c r="N1763" i="36"/>
  <c r="N1762" i="36"/>
  <c r="N1761" i="36"/>
  <c r="N1760" i="36"/>
  <c r="N1759" i="36"/>
  <c r="N1758" i="36"/>
  <c r="N1757" i="36"/>
  <c r="N1756" i="36"/>
  <c r="N1755" i="36"/>
  <c r="N1754" i="36"/>
  <c r="N1753" i="36"/>
  <c r="N1752" i="36"/>
  <c r="N1751" i="36"/>
  <c r="N1750" i="36"/>
  <c r="N1749" i="36"/>
  <c r="N1748" i="36"/>
  <c r="N1747" i="36"/>
  <c r="N1746" i="36"/>
  <c r="N1745" i="36"/>
  <c r="N1744" i="36"/>
  <c r="N1743" i="36"/>
  <c r="N1742" i="36"/>
  <c r="N1741" i="36"/>
  <c r="N1740" i="36"/>
  <c r="N1739" i="36"/>
  <c r="N1738" i="36"/>
  <c r="N1737" i="36"/>
  <c r="N1736" i="36"/>
  <c r="N1735" i="36"/>
  <c r="N1734" i="36"/>
  <c r="N1733" i="36"/>
  <c r="N1732" i="36"/>
  <c r="N1731" i="36"/>
  <c r="N1730" i="36"/>
  <c r="N1729" i="36"/>
  <c r="N1728" i="36"/>
  <c r="N1727" i="36"/>
  <c r="N1726" i="36"/>
  <c r="N1725" i="36"/>
  <c r="N1724" i="36"/>
  <c r="N1723" i="36"/>
  <c r="N1722" i="36"/>
  <c r="N1721" i="36"/>
  <c r="N1720" i="36"/>
  <c r="N1719" i="36"/>
  <c r="N1718" i="36"/>
  <c r="N1717" i="36"/>
  <c r="N1716" i="36"/>
  <c r="N1715" i="36"/>
  <c r="N1714" i="36"/>
  <c r="N1713" i="36"/>
  <c r="N1712" i="36"/>
  <c r="N1711" i="36"/>
  <c r="N1710" i="36"/>
  <c r="N1709" i="36"/>
  <c r="N1708" i="36"/>
  <c r="N1707" i="36"/>
  <c r="N1706" i="36"/>
  <c r="N1705" i="36"/>
  <c r="N1704" i="36"/>
  <c r="N1703" i="36"/>
  <c r="N1702" i="36"/>
  <c r="N1701" i="36"/>
  <c r="N1700" i="36"/>
  <c r="N1699" i="36"/>
  <c r="N1698" i="36"/>
  <c r="N1697" i="36"/>
  <c r="N1696" i="36"/>
  <c r="N1695" i="36"/>
  <c r="N1694" i="36"/>
  <c r="N1693" i="36"/>
  <c r="N1692" i="36"/>
  <c r="N1691" i="36"/>
  <c r="N1690" i="36"/>
  <c r="N1689" i="36"/>
  <c r="N1688" i="36"/>
  <c r="N1687" i="36"/>
  <c r="N1686" i="36"/>
  <c r="N1685" i="36"/>
  <c r="N1684" i="36"/>
  <c r="N1683" i="36"/>
  <c r="N1682" i="36"/>
  <c r="N1681" i="36"/>
  <c r="N1680" i="36"/>
  <c r="N1679" i="36"/>
  <c r="N1678" i="36"/>
  <c r="N1677" i="36"/>
  <c r="N1676" i="36"/>
  <c r="N1675" i="36"/>
  <c r="N1674" i="36"/>
  <c r="N1673" i="36"/>
  <c r="N1672" i="36"/>
  <c r="N1671" i="36"/>
  <c r="N1670" i="36"/>
  <c r="N1669" i="36"/>
  <c r="N1668" i="36"/>
  <c r="N1667" i="36"/>
  <c r="N1666" i="36"/>
  <c r="N1665" i="36"/>
  <c r="N1664" i="36"/>
  <c r="N1663" i="36"/>
  <c r="N1662" i="36"/>
  <c r="N1661" i="36"/>
  <c r="N1660" i="36"/>
  <c r="N1659" i="36"/>
  <c r="N1658" i="36"/>
  <c r="N1657" i="36"/>
  <c r="N1656" i="36"/>
  <c r="N1655" i="36"/>
  <c r="N1654" i="36"/>
  <c r="N1653" i="36"/>
  <c r="N1652" i="36"/>
  <c r="N1651" i="36"/>
  <c r="N1650" i="36"/>
  <c r="N1649" i="36"/>
  <c r="N1648" i="36"/>
  <c r="N1647" i="36"/>
  <c r="N1646" i="36"/>
  <c r="N1645" i="36"/>
  <c r="N1644" i="36"/>
  <c r="N1643" i="36"/>
  <c r="N1642" i="36"/>
  <c r="N1641" i="36"/>
  <c r="N1640" i="36"/>
  <c r="N1639" i="36"/>
  <c r="N1638" i="36"/>
  <c r="N1637" i="36"/>
  <c r="N1636" i="36"/>
  <c r="N1635" i="36"/>
  <c r="N1634" i="36"/>
  <c r="N1633" i="36"/>
  <c r="N1632" i="36"/>
  <c r="N1631" i="36"/>
  <c r="N1630" i="36"/>
  <c r="N1629" i="36"/>
  <c r="N1628" i="36"/>
  <c r="N1627" i="36"/>
  <c r="N1626" i="36"/>
  <c r="N1625" i="36"/>
  <c r="N1624" i="36"/>
  <c r="N1623" i="36"/>
  <c r="N1622" i="36"/>
  <c r="N1621" i="36"/>
  <c r="N1620" i="36"/>
  <c r="N1619" i="36"/>
  <c r="N1618" i="36"/>
  <c r="N1617" i="36"/>
  <c r="N1616" i="36"/>
  <c r="N1615" i="36"/>
  <c r="N1614" i="36"/>
  <c r="N1613" i="36"/>
  <c r="N1612" i="36"/>
  <c r="N1611" i="36"/>
  <c r="N1610" i="36"/>
  <c r="N1609" i="36"/>
  <c r="N1608" i="36"/>
  <c r="N1607" i="36"/>
  <c r="N1606" i="36"/>
  <c r="N1605" i="36"/>
  <c r="N1604" i="36"/>
  <c r="N1603" i="36"/>
  <c r="N1602" i="36"/>
  <c r="N1601" i="36"/>
  <c r="N1600" i="36"/>
  <c r="N1599" i="36"/>
  <c r="N1598" i="36"/>
  <c r="N1597" i="36"/>
  <c r="N1596" i="36"/>
  <c r="N1595" i="36"/>
  <c r="N1594" i="36"/>
  <c r="N1593" i="36"/>
  <c r="N1592" i="36"/>
  <c r="N1591" i="36"/>
  <c r="N1590" i="36"/>
  <c r="N1589" i="36"/>
  <c r="N1588" i="36"/>
  <c r="N1587" i="36"/>
  <c r="N1586" i="36"/>
  <c r="N1585" i="36"/>
  <c r="N1584" i="36"/>
  <c r="N1583" i="36"/>
  <c r="N1582" i="36"/>
  <c r="N1581" i="36"/>
  <c r="N1580" i="36"/>
  <c r="N1579" i="36"/>
  <c r="N1578" i="36"/>
  <c r="N1577" i="36"/>
  <c r="N1576" i="36"/>
  <c r="N1575" i="36"/>
  <c r="N1574" i="36"/>
  <c r="N1573" i="36"/>
  <c r="N1572" i="36"/>
  <c r="N1571" i="36"/>
  <c r="N1570" i="36"/>
  <c r="N1569" i="36"/>
  <c r="N1568" i="36"/>
  <c r="N1567" i="36"/>
  <c r="N1566" i="36"/>
  <c r="N1565" i="36"/>
  <c r="N1564" i="36"/>
  <c r="N1563" i="36"/>
  <c r="N1562" i="36"/>
  <c r="N1561" i="36"/>
  <c r="N1560" i="36"/>
  <c r="N1559" i="36"/>
  <c r="N1558" i="36"/>
  <c r="N1557" i="36"/>
  <c r="N1556" i="36"/>
  <c r="N1555" i="36"/>
  <c r="N1554" i="36"/>
  <c r="N1553" i="36"/>
  <c r="N1552" i="36"/>
  <c r="N1551" i="36"/>
  <c r="N1550" i="36"/>
  <c r="N1549" i="36"/>
  <c r="N1548" i="36"/>
  <c r="N1547" i="36"/>
  <c r="N1546" i="36"/>
  <c r="N1545" i="36"/>
  <c r="N1544" i="36"/>
  <c r="N1543" i="36"/>
  <c r="N1542" i="36"/>
  <c r="N1541" i="36"/>
  <c r="N1540" i="36"/>
  <c r="N1539" i="36"/>
  <c r="N1538" i="36"/>
  <c r="N1537" i="36"/>
  <c r="N1536" i="36"/>
  <c r="N1535" i="36"/>
  <c r="N1534" i="36"/>
  <c r="N1533" i="36"/>
  <c r="N1532" i="36"/>
  <c r="N1531" i="36"/>
  <c r="N1530" i="36"/>
  <c r="N1529" i="36"/>
  <c r="N1528" i="36"/>
  <c r="N1527" i="36"/>
  <c r="N1526" i="36"/>
  <c r="N1525" i="36"/>
  <c r="N1524" i="36"/>
  <c r="N1523" i="36"/>
  <c r="N1522" i="36"/>
  <c r="N1521" i="36"/>
  <c r="N1520" i="36"/>
  <c r="N1519" i="36"/>
  <c r="N1518" i="36"/>
  <c r="N1517" i="36"/>
  <c r="N1516" i="36"/>
  <c r="N1515" i="36"/>
  <c r="N1514" i="36"/>
  <c r="N1513" i="36"/>
  <c r="N1512" i="36"/>
  <c r="N1511" i="36"/>
  <c r="N1510" i="36"/>
  <c r="N1509" i="36"/>
  <c r="N1508" i="36"/>
  <c r="N1507" i="36"/>
  <c r="N1506" i="36"/>
  <c r="N1505" i="36"/>
  <c r="N1504" i="36"/>
  <c r="N1503" i="36"/>
  <c r="N1502" i="36"/>
  <c r="N1501" i="36"/>
  <c r="N1500" i="36"/>
  <c r="N1499" i="36"/>
  <c r="N1498" i="36"/>
  <c r="N1497" i="36"/>
  <c r="N1496" i="36"/>
  <c r="N1495" i="36"/>
  <c r="N1494" i="36"/>
  <c r="N1493" i="36"/>
  <c r="N1492" i="36"/>
  <c r="N1491" i="36"/>
  <c r="N1490" i="36"/>
  <c r="N1489" i="36"/>
  <c r="N1488" i="36"/>
  <c r="N1487" i="36"/>
  <c r="N1486" i="36"/>
  <c r="N1485" i="36"/>
  <c r="N1484" i="36"/>
  <c r="N1483" i="36"/>
  <c r="N1482" i="36"/>
  <c r="N1481" i="36"/>
  <c r="N1480" i="36"/>
  <c r="N1479" i="36"/>
  <c r="N1478" i="36"/>
  <c r="N1477" i="36"/>
  <c r="N1476" i="36"/>
  <c r="N1475" i="36"/>
  <c r="N1474" i="36"/>
  <c r="N1473" i="36"/>
  <c r="N1472" i="36"/>
  <c r="N1471" i="36"/>
  <c r="N1470" i="36"/>
  <c r="N1469" i="36"/>
  <c r="N1468" i="36"/>
  <c r="N1467" i="36"/>
  <c r="N1466" i="36"/>
  <c r="N1465" i="36"/>
  <c r="N1464" i="36"/>
  <c r="N1463" i="36"/>
  <c r="N1462" i="36"/>
  <c r="N1461" i="36"/>
  <c r="N1460" i="36"/>
  <c r="N1459" i="36"/>
  <c r="N1458" i="36"/>
  <c r="N1457" i="36"/>
  <c r="N1456" i="36"/>
  <c r="N1455" i="36"/>
  <c r="N1454" i="36"/>
  <c r="N1453" i="36"/>
  <c r="N1452" i="36"/>
  <c r="N1451" i="36"/>
  <c r="N1450" i="36"/>
  <c r="N1449" i="36"/>
  <c r="N1448" i="36"/>
  <c r="N1447" i="36"/>
  <c r="N1446" i="36"/>
  <c r="N1445" i="36"/>
  <c r="N1444" i="36"/>
  <c r="N1443" i="36"/>
  <c r="N1442" i="36"/>
  <c r="N1441" i="36"/>
  <c r="N1440" i="36"/>
  <c r="N1439" i="36"/>
  <c r="N1438" i="36"/>
  <c r="N1437" i="36"/>
  <c r="N1436" i="36"/>
  <c r="N1435" i="36"/>
  <c r="N1434" i="36"/>
  <c r="N1433" i="36"/>
  <c r="N1432" i="36"/>
  <c r="N1431" i="36"/>
  <c r="N1430" i="36"/>
  <c r="N1429" i="36"/>
  <c r="N1428" i="36"/>
  <c r="N1427" i="36"/>
  <c r="N1426" i="36"/>
  <c r="N1425" i="36"/>
  <c r="N1424" i="36"/>
  <c r="N1423" i="36"/>
  <c r="N1422" i="36"/>
  <c r="N1421" i="36"/>
  <c r="N1420" i="36"/>
  <c r="N1419" i="36"/>
  <c r="N1418" i="36"/>
  <c r="N1417" i="36"/>
  <c r="N1416" i="36"/>
  <c r="N1415" i="36"/>
  <c r="N1414" i="36"/>
  <c r="N1413" i="36"/>
  <c r="N1412" i="36"/>
  <c r="N1411" i="36"/>
  <c r="N1410" i="36"/>
  <c r="N1409" i="36"/>
  <c r="N1408" i="36"/>
  <c r="N1407" i="36"/>
  <c r="N1406" i="36"/>
  <c r="N1405" i="36"/>
  <c r="N1404" i="36"/>
  <c r="N1403" i="36"/>
  <c r="N1402" i="36"/>
  <c r="N1401" i="36"/>
  <c r="N1400" i="36"/>
  <c r="N1399" i="36"/>
  <c r="N1398" i="36"/>
  <c r="N1397" i="36"/>
  <c r="N1396" i="36"/>
  <c r="N1395" i="36"/>
  <c r="N1394" i="36"/>
  <c r="N1393" i="36"/>
  <c r="N1392" i="36"/>
  <c r="N1391" i="36"/>
  <c r="N1390" i="36"/>
  <c r="N1389" i="36"/>
  <c r="N1388" i="36"/>
  <c r="N1387" i="36"/>
  <c r="N1386" i="36"/>
  <c r="N1385" i="36"/>
  <c r="N1384" i="36"/>
  <c r="N1383" i="36"/>
  <c r="N1382" i="36"/>
  <c r="N1381" i="36"/>
  <c r="N1380" i="36"/>
  <c r="N1379" i="36"/>
  <c r="N1378" i="36"/>
  <c r="N1377" i="36"/>
  <c r="N1376" i="36"/>
  <c r="N1375" i="36"/>
  <c r="N1374" i="36"/>
  <c r="N1373" i="36"/>
  <c r="N1372" i="36"/>
  <c r="N1371" i="36"/>
  <c r="N1370" i="36"/>
  <c r="N1369" i="36"/>
  <c r="N1368" i="36"/>
  <c r="N1367" i="36"/>
  <c r="N1366" i="36"/>
  <c r="N1365" i="36"/>
  <c r="N1364" i="36"/>
  <c r="N1363" i="36"/>
  <c r="N1362" i="36"/>
  <c r="N1361" i="36"/>
  <c r="N1360" i="36"/>
  <c r="N1359" i="36"/>
  <c r="N1358" i="36"/>
  <c r="N1357" i="36"/>
  <c r="N1356" i="36"/>
  <c r="N1355" i="36"/>
  <c r="N1354" i="36"/>
  <c r="N1353" i="36"/>
  <c r="N1352" i="36"/>
  <c r="N1351" i="36"/>
  <c r="N1350" i="36"/>
  <c r="N1349" i="36"/>
  <c r="N1348" i="36"/>
  <c r="N1347" i="36"/>
  <c r="N1346" i="36"/>
  <c r="N1345" i="36"/>
  <c r="N1344" i="36"/>
  <c r="N1343" i="36"/>
  <c r="N1342" i="36"/>
  <c r="N1341" i="36"/>
  <c r="N1340" i="36"/>
  <c r="N1339" i="36"/>
  <c r="N1338" i="36"/>
  <c r="N1337" i="36"/>
  <c r="N1336" i="36"/>
  <c r="N1335" i="36"/>
  <c r="N1334" i="36"/>
  <c r="N1333" i="36"/>
  <c r="N1332" i="36"/>
  <c r="N1331" i="36"/>
  <c r="N1330" i="36"/>
  <c r="N1329" i="36"/>
  <c r="N1328" i="36"/>
  <c r="N1327" i="36"/>
  <c r="N1326" i="36"/>
  <c r="N1325" i="36"/>
  <c r="N1324" i="36"/>
  <c r="N1323" i="36"/>
  <c r="N1322" i="36"/>
  <c r="N1321" i="36"/>
  <c r="N1320" i="36"/>
  <c r="N1319" i="36"/>
  <c r="N1318" i="36"/>
  <c r="N1317" i="36"/>
  <c r="N1316" i="36"/>
  <c r="N1315" i="36"/>
  <c r="N1314" i="36"/>
  <c r="N1313" i="36"/>
  <c r="N1312" i="36"/>
  <c r="N1311" i="36"/>
  <c r="N1310" i="36"/>
  <c r="N1309" i="36"/>
  <c r="N1308" i="36"/>
  <c r="N1307" i="36"/>
  <c r="N1306" i="36"/>
  <c r="N1305" i="36"/>
  <c r="N1304" i="36"/>
  <c r="N1303" i="36"/>
  <c r="N1302" i="36"/>
  <c r="N1301" i="36"/>
  <c r="N1300" i="36"/>
  <c r="N1299" i="36"/>
  <c r="N1298" i="36"/>
  <c r="N1297" i="36"/>
  <c r="N1296" i="36"/>
  <c r="N1295" i="36"/>
  <c r="N1294" i="36"/>
  <c r="N1293" i="36"/>
  <c r="N1292" i="36"/>
  <c r="N1291" i="36"/>
  <c r="N1290" i="36"/>
  <c r="N1289" i="36"/>
  <c r="N1288" i="36"/>
  <c r="N1287" i="36"/>
  <c r="N1286" i="36"/>
  <c r="N1285" i="36"/>
  <c r="N1284" i="36"/>
  <c r="N1283" i="36"/>
  <c r="N1282" i="36"/>
  <c r="N1281" i="36"/>
  <c r="N1280" i="36"/>
  <c r="N1279" i="36"/>
  <c r="N1278" i="36"/>
  <c r="N1277" i="36"/>
  <c r="N1276" i="36"/>
  <c r="N1275" i="36"/>
  <c r="N1274" i="36"/>
  <c r="N1273" i="36"/>
  <c r="N1272" i="36"/>
  <c r="N1271" i="36"/>
  <c r="N1270" i="36"/>
  <c r="N1269" i="36"/>
  <c r="N1268" i="36"/>
  <c r="N1267" i="36"/>
  <c r="N1266" i="36"/>
  <c r="N1265" i="36"/>
  <c r="N1264" i="36"/>
  <c r="N1263" i="36"/>
  <c r="N1262" i="36"/>
  <c r="N1261" i="36"/>
  <c r="N1260" i="36"/>
  <c r="N1259" i="36"/>
  <c r="N1258" i="36"/>
  <c r="N1257" i="36"/>
  <c r="N1256" i="36"/>
  <c r="N1255" i="36"/>
  <c r="N1254" i="36"/>
  <c r="N1253" i="36"/>
  <c r="N1252" i="36"/>
  <c r="N1251" i="36"/>
  <c r="N1250" i="36"/>
  <c r="N1249" i="36"/>
  <c r="N1248" i="36"/>
  <c r="N1247" i="36"/>
  <c r="N1246" i="36"/>
  <c r="N1245" i="36"/>
  <c r="N1244" i="36"/>
  <c r="N1243" i="36"/>
  <c r="N1242" i="36"/>
  <c r="N1241" i="36"/>
  <c r="N1240" i="36"/>
  <c r="N1239" i="36"/>
  <c r="N1238" i="36"/>
  <c r="N1237" i="36"/>
  <c r="N1236" i="36"/>
  <c r="N1235" i="36"/>
  <c r="N1234" i="36"/>
  <c r="N1233" i="36"/>
  <c r="N1232" i="36"/>
  <c r="N1231" i="36"/>
  <c r="N1230" i="36"/>
  <c r="N1229" i="36"/>
  <c r="N1228" i="36"/>
  <c r="N1227" i="36"/>
  <c r="N1226" i="36"/>
  <c r="N1225" i="36"/>
  <c r="N1224" i="36"/>
  <c r="N1223" i="36"/>
  <c r="N1222" i="36"/>
  <c r="N1221" i="36"/>
  <c r="N1220" i="36"/>
  <c r="N1219" i="36"/>
  <c r="N1218" i="36"/>
  <c r="N1217" i="36"/>
  <c r="N1216" i="36"/>
  <c r="N1215" i="36"/>
  <c r="N1214" i="36"/>
  <c r="N1213" i="36"/>
  <c r="N1212" i="36"/>
  <c r="N1211" i="36"/>
  <c r="N1210" i="36"/>
  <c r="N1209" i="36"/>
  <c r="N1208" i="36"/>
  <c r="N1207" i="36"/>
  <c r="N1206" i="36"/>
  <c r="N1205" i="36"/>
  <c r="N1204" i="36"/>
  <c r="N1203" i="36"/>
  <c r="N1202" i="36"/>
  <c r="N1201" i="36"/>
  <c r="N1200" i="36"/>
  <c r="N1199" i="36"/>
  <c r="N1198" i="36"/>
  <c r="N1197" i="36"/>
  <c r="N1196" i="36"/>
  <c r="N1195" i="36"/>
  <c r="N1194" i="36"/>
  <c r="N1193" i="36"/>
  <c r="N1192" i="36"/>
  <c r="N1191" i="36"/>
  <c r="N1190" i="36"/>
  <c r="N1189" i="36"/>
  <c r="N1188" i="36"/>
  <c r="N1187" i="36"/>
  <c r="N1186" i="36"/>
  <c r="N1185" i="36"/>
  <c r="N1184" i="36"/>
  <c r="N1183" i="36"/>
  <c r="N1182" i="36"/>
  <c r="N1181" i="36"/>
  <c r="N1180" i="36"/>
  <c r="N1179" i="36"/>
  <c r="N1178" i="36"/>
  <c r="N1177" i="36"/>
  <c r="N1176" i="36"/>
  <c r="N1175" i="36"/>
  <c r="N1174" i="36"/>
  <c r="N1173" i="36"/>
  <c r="N1172" i="36"/>
  <c r="N1171" i="36"/>
  <c r="N1170" i="36"/>
  <c r="N1169" i="36"/>
  <c r="N1168" i="36"/>
  <c r="N1167" i="36"/>
  <c r="N1166" i="36"/>
  <c r="N1165" i="36"/>
  <c r="N1164" i="36"/>
  <c r="N1163" i="36"/>
  <c r="N1162" i="36"/>
  <c r="N1161" i="36"/>
  <c r="N1160" i="36"/>
  <c r="N1159" i="36"/>
  <c r="N1158" i="36"/>
  <c r="N1157" i="36"/>
  <c r="N1156" i="36"/>
  <c r="N1155" i="36"/>
  <c r="N1154" i="36"/>
  <c r="N1153" i="36"/>
  <c r="N1152" i="36"/>
  <c r="N1151" i="36"/>
  <c r="N1150" i="36"/>
  <c r="N1149" i="36"/>
  <c r="N1148" i="36"/>
  <c r="N1147" i="36"/>
  <c r="N1146" i="36"/>
  <c r="N1145" i="36"/>
  <c r="N1144" i="36"/>
  <c r="N1143" i="36"/>
  <c r="N1142" i="36"/>
  <c r="N1141" i="36"/>
  <c r="N1140" i="36"/>
  <c r="N1139" i="36"/>
  <c r="N1138" i="36"/>
  <c r="N1137" i="36"/>
  <c r="N1136" i="36"/>
  <c r="N1135" i="36"/>
  <c r="N1134" i="36"/>
  <c r="N1133" i="36"/>
  <c r="N1132" i="36"/>
  <c r="N1131" i="36"/>
  <c r="N1130" i="36"/>
  <c r="N1129" i="36"/>
  <c r="N1128" i="36"/>
  <c r="N1127" i="36"/>
  <c r="N1126" i="36"/>
  <c r="N1125" i="36"/>
  <c r="N1124" i="36"/>
  <c r="N1123" i="36"/>
  <c r="N1122" i="36"/>
  <c r="N1121" i="36"/>
  <c r="N1120" i="36"/>
  <c r="N1119" i="36"/>
  <c r="N1118" i="36"/>
  <c r="N1117" i="36"/>
  <c r="N1116" i="36"/>
  <c r="N1115" i="36"/>
  <c r="N1114" i="36"/>
  <c r="N1113" i="36"/>
  <c r="N1112" i="36"/>
  <c r="N1111" i="36"/>
  <c r="N1110" i="36"/>
  <c r="N1109" i="36"/>
  <c r="N1108" i="36"/>
  <c r="N1107" i="36"/>
  <c r="N1106" i="36"/>
  <c r="N1105" i="36"/>
  <c r="N1104" i="36"/>
  <c r="N1103" i="36"/>
  <c r="N1102" i="36"/>
  <c r="N1101" i="36"/>
  <c r="N1100" i="36"/>
  <c r="N1099" i="36"/>
  <c r="N1098" i="36"/>
  <c r="N1097" i="36"/>
  <c r="N1096" i="36"/>
  <c r="N1095" i="36"/>
  <c r="N1094" i="36"/>
  <c r="N1093" i="36"/>
  <c r="N1092" i="36"/>
  <c r="N1091" i="36"/>
  <c r="N1090" i="36"/>
  <c r="N1089" i="36"/>
  <c r="N1088" i="36"/>
  <c r="N1087" i="36"/>
  <c r="N1086" i="36"/>
  <c r="N1085" i="36"/>
  <c r="N1084" i="36"/>
  <c r="N1083" i="36"/>
  <c r="N1082" i="36"/>
  <c r="N1081" i="36"/>
  <c r="N1080" i="36"/>
  <c r="N1079" i="36"/>
  <c r="N1078" i="36"/>
  <c r="N1077" i="36"/>
  <c r="N1076" i="36"/>
  <c r="N1075" i="36"/>
  <c r="N1074" i="36"/>
  <c r="N1073" i="36"/>
  <c r="N1072" i="36"/>
  <c r="N1071" i="36"/>
  <c r="N1070" i="36"/>
  <c r="N1069" i="36"/>
  <c r="N1068" i="36"/>
  <c r="N1067" i="36"/>
  <c r="N1066" i="36"/>
  <c r="N1065" i="36"/>
  <c r="N1064" i="36"/>
  <c r="N1063" i="36"/>
  <c r="N1062" i="36"/>
  <c r="N1061" i="36"/>
  <c r="N1060" i="36"/>
  <c r="N1059" i="36"/>
  <c r="N1058" i="36"/>
  <c r="N1057" i="36"/>
  <c r="N1056" i="36"/>
  <c r="N1055" i="36"/>
  <c r="N1054" i="36"/>
  <c r="N1053" i="36"/>
  <c r="N1052" i="36"/>
  <c r="N1051" i="36"/>
  <c r="N1050" i="36"/>
  <c r="N1049" i="36"/>
  <c r="N1048" i="36"/>
  <c r="N1047" i="36"/>
  <c r="N1046" i="36"/>
  <c r="N1045" i="36"/>
  <c r="N1044" i="36"/>
  <c r="N1043" i="36"/>
  <c r="N1042" i="36"/>
  <c r="N1041" i="36"/>
  <c r="N1040" i="36"/>
  <c r="N1039" i="36"/>
  <c r="N1038" i="36"/>
  <c r="N1037" i="36"/>
  <c r="N1036" i="36"/>
  <c r="N1035" i="36"/>
  <c r="N1034" i="36"/>
  <c r="N1033" i="36"/>
  <c r="N1032" i="36"/>
  <c r="N1031" i="36"/>
  <c r="N1030" i="36"/>
  <c r="N1029" i="36"/>
  <c r="N1028" i="36"/>
  <c r="N1027" i="36"/>
  <c r="N1026" i="36"/>
  <c r="N1025" i="36"/>
  <c r="N1024" i="36"/>
  <c r="N1023" i="36"/>
  <c r="N1022" i="36"/>
  <c r="N1021" i="36"/>
  <c r="N1020" i="36"/>
  <c r="N1019" i="36"/>
  <c r="N1018" i="36"/>
  <c r="N1017" i="36"/>
  <c r="N1016" i="36"/>
  <c r="N1015" i="36"/>
  <c r="N1014" i="36"/>
  <c r="N1013" i="36"/>
  <c r="N1012" i="36"/>
  <c r="N1011" i="36"/>
  <c r="N1010" i="36"/>
  <c r="N1009" i="36"/>
  <c r="N1008" i="36"/>
  <c r="N1007" i="36"/>
  <c r="N1006" i="36"/>
  <c r="N1005" i="36"/>
  <c r="N1004" i="36"/>
  <c r="N1003" i="36"/>
  <c r="N1002" i="36"/>
  <c r="N1001" i="36"/>
  <c r="N1000" i="36"/>
  <c r="N999" i="36"/>
  <c r="N998" i="36"/>
  <c r="N997" i="36"/>
  <c r="N996" i="36"/>
  <c r="N995" i="36"/>
  <c r="N994" i="36"/>
  <c r="N993" i="36"/>
  <c r="N992" i="36"/>
  <c r="N991" i="36"/>
  <c r="N990" i="36"/>
  <c r="N989" i="36"/>
  <c r="N988" i="36"/>
  <c r="N987" i="36"/>
  <c r="N986" i="36"/>
  <c r="N985" i="36"/>
  <c r="N984" i="36"/>
  <c r="N983" i="36"/>
  <c r="N982" i="36"/>
  <c r="N981" i="36"/>
  <c r="N980" i="36"/>
  <c r="N979" i="36"/>
  <c r="N978" i="36"/>
  <c r="N977" i="36"/>
  <c r="N976" i="36"/>
  <c r="N975" i="36"/>
  <c r="N974" i="36"/>
  <c r="N973" i="36"/>
  <c r="N972" i="36"/>
  <c r="N971" i="36"/>
  <c r="N970" i="36"/>
  <c r="N969" i="36"/>
  <c r="N968" i="36"/>
  <c r="N967" i="36"/>
  <c r="N966" i="36"/>
  <c r="N965" i="36"/>
  <c r="N964" i="36"/>
  <c r="N963" i="36"/>
  <c r="N962" i="36"/>
  <c r="N961" i="36"/>
  <c r="N960" i="36"/>
  <c r="N959" i="36"/>
  <c r="N958" i="36"/>
  <c r="N957" i="36"/>
  <c r="N956" i="36"/>
  <c r="N955" i="36"/>
  <c r="N954" i="36"/>
  <c r="N953" i="36"/>
  <c r="N952" i="36"/>
  <c r="N951" i="36"/>
  <c r="N950" i="36"/>
  <c r="N949" i="36"/>
  <c r="N948" i="36"/>
  <c r="N947" i="36"/>
  <c r="N946" i="36"/>
  <c r="N945" i="36"/>
  <c r="N944" i="36"/>
  <c r="N943" i="36"/>
  <c r="N942" i="36"/>
  <c r="N941" i="36"/>
  <c r="N940" i="36"/>
  <c r="N939" i="36"/>
  <c r="N938" i="36"/>
  <c r="N937" i="36"/>
  <c r="N936" i="36"/>
  <c r="N935" i="36"/>
  <c r="N934" i="36"/>
  <c r="N933" i="36"/>
  <c r="N932" i="36"/>
  <c r="N931" i="36"/>
  <c r="N930" i="36"/>
  <c r="N929" i="36"/>
  <c r="N928" i="36"/>
  <c r="N927" i="36"/>
  <c r="N926" i="36"/>
  <c r="N925" i="36"/>
  <c r="N924" i="36"/>
  <c r="N923" i="36"/>
  <c r="N922" i="36"/>
  <c r="N921" i="36"/>
  <c r="N920" i="36"/>
  <c r="N919" i="36"/>
  <c r="N918" i="36"/>
  <c r="N917" i="36"/>
  <c r="N916" i="36"/>
  <c r="N915" i="36"/>
  <c r="N914" i="36"/>
  <c r="N913" i="36"/>
  <c r="N912" i="36"/>
  <c r="N911" i="36"/>
  <c r="N910" i="36"/>
  <c r="N909" i="36"/>
  <c r="N908" i="36"/>
  <c r="N907" i="36"/>
  <c r="N906" i="36"/>
  <c r="N905" i="36"/>
  <c r="N904" i="36"/>
  <c r="N903" i="36"/>
  <c r="N902" i="36"/>
  <c r="N901" i="36"/>
  <c r="N900" i="36"/>
  <c r="N899" i="36"/>
  <c r="N898" i="36"/>
  <c r="N897" i="36"/>
  <c r="N896" i="36"/>
  <c r="N895" i="36"/>
  <c r="N894" i="36"/>
  <c r="N893" i="36"/>
  <c r="N892" i="36"/>
  <c r="N891" i="36"/>
  <c r="N890" i="36"/>
  <c r="N889" i="36"/>
  <c r="N888" i="36"/>
  <c r="N887" i="36"/>
  <c r="N886" i="36"/>
  <c r="N885" i="36"/>
  <c r="N884" i="36"/>
  <c r="N883" i="36"/>
  <c r="N882" i="36"/>
  <c r="N881" i="36"/>
  <c r="N880" i="36"/>
  <c r="N879" i="36"/>
  <c r="N878" i="36"/>
  <c r="N877" i="36"/>
  <c r="N876" i="36"/>
  <c r="N875" i="36"/>
  <c r="N874" i="36"/>
  <c r="N873" i="36"/>
  <c r="N872" i="36"/>
  <c r="N871" i="36"/>
  <c r="N870" i="36"/>
  <c r="N869" i="36"/>
  <c r="N868" i="36"/>
  <c r="N867" i="36"/>
  <c r="N866" i="36"/>
  <c r="N865" i="36"/>
  <c r="N864" i="36"/>
  <c r="N863" i="36"/>
  <c r="N862" i="36"/>
  <c r="N861" i="36"/>
  <c r="N860" i="36"/>
  <c r="N859" i="36"/>
  <c r="N858" i="36"/>
  <c r="N857" i="36"/>
  <c r="N856" i="36"/>
  <c r="N855" i="36"/>
  <c r="N854" i="36"/>
  <c r="N853" i="36"/>
  <c r="N852" i="36"/>
  <c r="N851" i="36"/>
  <c r="N850" i="36"/>
  <c r="N849" i="36"/>
  <c r="N848" i="36"/>
  <c r="N847" i="36"/>
  <c r="N846" i="36"/>
  <c r="N845" i="36"/>
  <c r="N844" i="36"/>
  <c r="N843" i="36"/>
  <c r="N842" i="36"/>
  <c r="N841" i="36"/>
  <c r="N840" i="36"/>
  <c r="N839" i="36"/>
  <c r="N838" i="36"/>
  <c r="N837" i="36"/>
  <c r="N836" i="36"/>
  <c r="N835" i="36"/>
  <c r="N834" i="36"/>
  <c r="N833" i="36"/>
  <c r="N832" i="36"/>
  <c r="N831" i="36"/>
  <c r="N830" i="36"/>
  <c r="N829" i="36"/>
  <c r="N828" i="36"/>
  <c r="N827" i="36"/>
  <c r="N826" i="36"/>
  <c r="N825" i="36"/>
  <c r="N824" i="36"/>
  <c r="N823" i="36"/>
  <c r="N822" i="36"/>
  <c r="N821" i="36"/>
  <c r="N820" i="36"/>
  <c r="N819" i="36"/>
  <c r="N818" i="36"/>
  <c r="N817" i="36"/>
  <c r="N816" i="36"/>
  <c r="N815" i="36"/>
  <c r="N814" i="36"/>
  <c r="N813" i="36"/>
  <c r="N812" i="36"/>
  <c r="N811" i="36"/>
  <c r="N810" i="36"/>
  <c r="N809" i="36"/>
  <c r="N808" i="36"/>
  <c r="N807" i="36"/>
  <c r="N806" i="36"/>
  <c r="N805" i="36"/>
  <c r="N804" i="36"/>
  <c r="N803" i="36"/>
  <c r="N802" i="36"/>
  <c r="N801" i="36"/>
  <c r="N800" i="36"/>
  <c r="N799" i="36"/>
  <c r="N798" i="36"/>
  <c r="N797" i="36"/>
  <c r="N796" i="36"/>
  <c r="N795" i="36"/>
  <c r="N794" i="36"/>
  <c r="N793" i="36"/>
  <c r="N792" i="36"/>
  <c r="N791" i="36"/>
  <c r="N790" i="36"/>
  <c r="N789" i="36"/>
  <c r="N788" i="36"/>
  <c r="N787" i="36"/>
  <c r="N786" i="36"/>
  <c r="N785" i="36"/>
  <c r="N784" i="36"/>
  <c r="N783" i="36"/>
  <c r="N782" i="36"/>
  <c r="N781" i="36"/>
  <c r="N780" i="36"/>
  <c r="N779" i="36"/>
  <c r="N778" i="36"/>
  <c r="N777" i="36"/>
  <c r="N776" i="36"/>
  <c r="N775" i="36"/>
  <c r="N774" i="36"/>
  <c r="N773" i="36"/>
  <c r="N772" i="36"/>
  <c r="N771" i="36"/>
  <c r="N770" i="36"/>
  <c r="N769" i="36"/>
  <c r="N768" i="36"/>
  <c r="N767" i="36"/>
  <c r="N766" i="36"/>
  <c r="N765" i="36"/>
  <c r="N764" i="36"/>
  <c r="N763" i="36"/>
  <c r="N762" i="36"/>
  <c r="N761" i="36"/>
  <c r="N760" i="36"/>
  <c r="N759" i="36"/>
  <c r="N758" i="36"/>
  <c r="N757" i="36"/>
  <c r="N756" i="36"/>
  <c r="N755" i="36"/>
  <c r="N754" i="36"/>
  <c r="N753" i="36"/>
  <c r="N752" i="36"/>
  <c r="N751" i="36"/>
  <c r="N750" i="36"/>
  <c r="N749" i="36"/>
  <c r="N748" i="36"/>
  <c r="N747" i="36"/>
  <c r="N746" i="36"/>
  <c r="N745" i="36"/>
  <c r="N744" i="36"/>
  <c r="N743" i="36"/>
  <c r="N742" i="36"/>
  <c r="N741" i="36"/>
  <c r="N740" i="36"/>
  <c r="N739" i="36"/>
  <c r="N738" i="36"/>
  <c r="N737" i="36"/>
  <c r="N736" i="36"/>
  <c r="N735" i="36"/>
  <c r="N734" i="36"/>
  <c r="N733" i="36"/>
  <c r="N732" i="36"/>
  <c r="N731" i="36"/>
  <c r="N730" i="36"/>
  <c r="N729" i="36"/>
  <c r="N728" i="36"/>
  <c r="N727" i="36"/>
  <c r="N726" i="36"/>
  <c r="N725" i="36"/>
  <c r="N724" i="36"/>
  <c r="N723" i="36"/>
  <c r="N722" i="36"/>
  <c r="N721" i="36"/>
  <c r="N720" i="36"/>
  <c r="N719" i="36"/>
  <c r="N718" i="36"/>
  <c r="N717" i="36"/>
  <c r="N716" i="36"/>
  <c r="N715" i="36"/>
  <c r="N714" i="36"/>
  <c r="N713" i="36"/>
  <c r="N712" i="36"/>
  <c r="N711" i="36"/>
  <c r="N710" i="36"/>
  <c r="N709" i="36"/>
  <c r="N708" i="36"/>
  <c r="N707" i="36"/>
  <c r="N706" i="36"/>
  <c r="N705" i="36"/>
  <c r="N704" i="36"/>
  <c r="N703" i="36"/>
  <c r="N702" i="36"/>
  <c r="N701" i="36"/>
  <c r="N700" i="36"/>
  <c r="N699" i="36"/>
  <c r="N698" i="36"/>
  <c r="N697" i="36"/>
  <c r="N696" i="36"/>
  <c r="N695" i="36"/>
  <c r="N694" i="36"/>
  <c r="N693" i="36"/>
  <c r="N692" i="36"/>
  <c r="N691" i="36"/>
  <c r="N690" i="36"/>
  <c r="N689" i="36"/>
  <c r="N688" i="36"/>
  <c r="N687" i="36"/>
  <c r="N686" i="36"/>
  <c r="N685" i="36"/>
  <c r="N684" i="36"/>
  <c r="N683" i="36"/>
  <c r="N682" i="36"/>
  <c r="N681" i="36"/>
  <c r="N680" i="36"/>
  <c r="N679" i="36"/>
  <c r="N678" i="36"/>
  <c r="N677" i="36"/>
  <c r="N676" i="36"/>
  <c r="N675" i="36"/>
  <c r="N674" i="36"/>
  <c r="N673" i="36"/>
  <c r="N672" i="36"/>
  <c r="N671" i="36"/>
  <c r="N670" i="36"/>
  <c r="N669" i="36"/>
  <c r="N668" i="36"/>
  <c r="N667" i="36"/>
  <c r="N666" i="36"/>
  <c r="N665" i="36"/>
  <c r="N664" i="36"/>
  <c r="N663" i="36"/>
  <c r="N662" i="36"/>
  <c r="N661" i="36"/>
  <c r="N660" i="36"/>
  <c r="N659" i="36"/>
  <c r="N658" i="36"/>
  <c r="N657" i="36"/>
  <c r="N656" i="36"/>
  <c r="N655" i="36"/>
  <c r="N654" i="36"/>
  <c r="N653" i="36"/>
  <c r="N652" i="36"/>
  <c r="N651" i="36"/>
  <c r="N650" i="36"/>
  <c r="N649" i="36"/>
  <c r="N648" i="36"/>
  <c r="N647" i="36"/>
  <c r="N646" i="36"/>
  <c r="N645" i="36"/>
  <c r="N644" i="36"/>
  <c r="N643" i="36"/>
  <c r="N642" i="36"/>
  <c r="N641" i="36"/>
  <c r="N640" i="36"/>
  <c r="N639" i="36"/>
  <c r="N638" i="36"/>
  <c r="N637" i="36"/>
  <c r="N636" i="36"/>
  <c r="N635" i="36"/>
  <c r="N634" i="36"/>
  <c r="N633" i="36"/>
  <c r="N632" i="36"/>
  <c r="N631" i="36"/>
  <c r="N630" i="36"/>
  <c r="N629" i="36"/>
  <c r="N628" i="36"/>
  <c r="N627" i="36"/>
  <c r="N626" i="36"/>
  <c r="N625" i="36"/>
  <c r="N624" i="36"/>
  <c r="N623" i="36"/>
  <c r="N622" i="36"/>
  <c r="N621" i="36"/>
  <c r="N620" i="36"/>
  <c r="N619" i="36"/>
  <c r="N618" i="36"/>
  <c r="N617" i="36"/>
  <c r="N616" i="36"/>
  <c r="N615" i="36"/>
  <c r="N614" i="36"/>
  <c r="N613" i="36"/>
  <c r="N612" i="36"/>
  <c r="N611" i="36"/>
  <c r="N610" i="36"/>
  <c r="N609" i="36"/>
  <c r="N608" i="36"/>
  <c r="N607" i="36"/>
  <c r="N606" i="36"/>
  <c r="N605" i="36"/>
  <c r="N604" i="36"/>
  <c r="N603" i="36"/>
  <c r="N602" i="36"/>
  <c r="N601" i="36"/>
  <c r="N600" i="36"/>
  <c r="N599" i="36"/>
  <c r="N598" i="36"/>
  <c r="N597" i="36"/>
  <c r="N596" i="36"/>
  <c r="N595" i="36"/>
  <c r="N594" i="36"/>
  <c r="N593" i="36"/>
  <c r="N592" i="36"/>
  <c r="N591" i="36"/>
  <c r="N590" i="36"/>
  <c r="N589" i="36"/>
  <c r="N588" i="36"/>
  <c r="N587" i="36"/>
  <c r="N586" i="36"/>
  <c r="N585" i="36"/>
  <c r="N584" i="36"/>
  <c r="N583" i="36"/>
  <c r="N582" i="36"/>
  <c r="N581" i="36"/>
  <c r="N580" i="36"/>
  <c r="N579" i="36"/>
  <c r="N578" i="36"/>
  <c r="N577" i="36"/>
  <c r="N576" i="36"/>
  <c r="N575" i="36"/>
  <c r="N574" i="36"/>
  <c r="N573" i="36"/>
  <c r="N572" i="36"/>
  <c r="N571" i="36"/>
  <c r="N570" i="36"/>
  <c r="N569" i="36"/>
  <c r="N568" i="36"/>
  <c r="N567" i="36"/>
  <c r="N566" i="36"/>
  <c r="N565" i="36"/>
  <c r="N564" i="36"/>
  <c r="N563" i="36"/>
  <c r="N562" i="36"/>
  <c r="N561" i="36"/>
  <c r="N560" i="36"/>
  <c r="N559" i="36"/>
  <c r="N558" i="36"/>
  <c r="N557" i="36"/>
  <c r="N556" i="36"/>
  <c r="N555" i="36"/>
  <c r="N554" i="36"/>
  <c r="N553" i="36"/>
  <c r="N552" i="36"/>
  <c r="N551" i="36"/>
  <c r="N550" i="36"/>
  <c r="N549" i="36"/>
  <c r="N548" i="36"/>
  <c r="N547" i="36"/>
  <c r="N546" i="36"/>
  <c r="N545" i="36"/>
  <c r="N544" i="36"/>
  <c r="N543" i="36"/>
  <c r="N542" i="36"/>
  <c r="N541" i="36"/>
  <c r="N540" i="36"/>
  <c r="N539" i="36"/>
  <c r="N538" i="36"/>
  <c r="N537" i="36"/>
  <c r="N536" i="36"/>
  <c r="N535" i="36"/>
  <c r="N534" i="36"/>
  <c r="N533" i="36"/>
  <c r="N532" i="36"/>
  <c r="N531" i="36"/>
  <c r="N530" i="36"/>
  <c r="N529" i="36"/>
  <c r="N528" i="36"/>
  <c r="N527" i="36"/>
  <c r="N526" i="36"/>
  <c r="N525" i="36"/>
  <c r="N524" i="36"/>
  <c r="N523" i="36"/>
  <c r="N522" i="36"/>
  <c r="N521" i="36"/>
  <c r="N520" i="36"/>
  <c r="N519" i="36"/>
  <c r="N518" i="36"/>
  <c r="N517" i="36"/>
  <c r="N516" i="36"/>
  <c r="N515" i="36"/>
  <c r="N514" i="36"/>
  <c r="N513" i="36"/>
  <c r="N512" i="36"/>
  <c r="N511" i="36"/>
  <c r="N510" i="36"/>
  <c r="N509" i="36"/>
  <c r="N508" i="36"/>
  <c r="N507" i="36"/>
  <c r="N506" i="36"/>
  <c r="N505" i="36"/>
  <c r="N504" i="36"/>
  <c r="N503" i="36"/>
  <c r="N502" i="36"/>
  <c r="N501" i="36"/>
  <c r="N500" i="36"/>
  <c r="N499" i="36"/>
  <c r="N498" i="36"/>
  <c r="N497" i="36"/>
  <c r="N496" i="36"/>
  <c r="N495" i="36"/>
  <c r="N494" i="36"/>
  <c r="N493" i="36"/>
  <c r="N492" i="36"/>
  <c r="N491" i="36"/>
  <c r="N490" i="36"/>
  <c r="N489" i="36"/>
  <c r="N488" i="36"/>
  <c r="N487" i="36"/>
  <c r="N486" i="36"/>
  <c r="N485" i="36"/>
  <c r="N484" i="36"/>
  <c r="N483" i="36"/>
  <c r="N482" i="36"/>
  <c r="N481" i="36"/>
  <c r="N480" i="36"/>
  <c r="N479" i="36"/>
  <c r="N478" i="36"/>
  <c r="N477" i="36"/>
  <c r="N476" i="36"/>
  <c r="N475" i="36"/>
  <c r="N474" i="36"/>
  <c r="N473" i="36"/>
  <c r="N472" i="36"/>
  <c r="N471" i="36"/>
  <c r="N470" i="36"/>
  <c r="N469" i="36"/>
  <c r="N468" i="36"/>
  <c r="N467" i="36"/>
  <c r="N466" i="36"/>
  <c r="N465" i="36"/>
  <c r="N464" i="36"/>
  <c r="N463" i="36"/>
  <c r="N462" i="36"/>
  <c r="N461" i="36"/>
  <c r="N460" i="36"/>
  <c r="N459" i="36"/>
  <c r="N458" i="36"/>
  <c r="N457" i="36"/>
  <c r="N456" i="36"/>
  <c r="N455" i="36"/>
  <c r="N454" i="36"/>
  <c r="N453" i="36"/>
  <c r="N452" i="36"/>
  <c r="N451" i="36"/>
  <c r="N450" i="36"/>
  <c r="N449" i="36"/>
  <c r="N448" i="36"/>
  <c r="N447" i="36"/>
  <c r="N446" i="36"/>
  <c r="N445" i="36"/>
  <c r="N444" i="36"/>
  <c r="N443" i="36"/>
  <c r="N442" i="36"/>
  <c r="N441" i="36"/>
  <c r="N440" i="36"/>
  <c r="N439" i="36"/>
  <c r="N438" i="36"/>
  <c r="N437" i="36"/>
  <c r="N436" i="36"/>
  <c r="N435" i="36"/>
  <c r="N434" i="36"/>
  <c r="N433" i="36"/>
  <c r="N432" i="36"/>
  <c r="N431" i="36"/>
  <c r="N430" i="36"/>
  <c r="N429" i="36"/>
  <c r="N428" i="36"/>
  <c r="N427" i="36"/>
  <c r="N426" i="36"/>
  <c r="N425" i="36"/>
  <c r="N424" i="36"/>
  <c r="N423" i="36"/>
  <c r="N422" i="36"/>
  <c r="N421" i="36"/>
  <c r="N420" i="36"/>
  <c r="N419" i="36"/>
  <c r="N418" i="36"/>
  <c r="N417" i="36"/>
  <c r="N416" i="36"/>
  <c r="N415" i="36"/>
  <c r="N414" i="36"/>
  <c r="N413" i="36"/>
  <c r="N412" i="36"/>
  <c r="N411" i="36"/>
  <c r="N410" i="36"/>
  <c r="N409" i="36"/>
  <c r="N408" i="36"/>
  <c r="N407" i="36"/>
  <c r="N406" i="36"/>
  <c r="N405" i="36"/>
  <c r="N404" i="36"/>
  <c r="N403" i="36"/>
  <c r="N402" i="36"/>
  <c r="N401" i="36"/>
  <c r="N400" i="36"/>
  <c r="N399" i="36"/>
  <c r="N398" i="36"/>
  <c r="N397" i="36"/>
  <c r="N396" i="36"/>
  <c r="N395" i="36"/>
  <c r="N394" i="36"/>
  <c r="N393" i="36"/>
  <c r="N392" i="36"/>
  <c r="N391" i="36"/>
  <c r="N390" i="36"/>
  <c r="N389" i="36"/>
  <c r="N388" i="36"/>
  <c r="N387" i="36"/>
  <c r="N386" i="36"/>
  <c r="N385" i="36"/>
  <c r="N384" i="36"/>
  <c r="N383" i="36"/>
  <c r="N382" i="36"/>
  <c r="N381" i="36"/>
  <c r="N380" i="36"/>
  <c r="N379" i="36"/>
  <c r="N378" i="36"/>
  <c r="N377" i="36"/>
  <c r="N376" i="36"/>
  <c r="N375" i="36"/>
  <c r="N374" i="36"/>
  <c r="N373" i="36"/>
  <c r="N372" i="36"/>
  <c r="N371" i="36"/>
  <c r="N370" i="36"/>
  <c r="N369" i="36"/>
  <c r="N368" i="36"/>
  <c r="N367" i="36"/>
  <c r="N366" i="36"/>
  <c r="N365" i="36"/>
  <c r="N364" i="36"/>
  <c r="N363" i="36"/>
  <c r="N362" i="36"/>
  <c r="N361" i="36"/>
  <c r="N360" i="36"/>
  <c r="N359" i="36"/>
  <c r="N358" i="36"/>
  <c r="N357" i="36"/>
  <c r="N356" i="36"/>
  <c r="N355" i="36"/>
  <c r="N354" i="36"/>
  <c r="N353" i="36"/>
  <c r="N352" i="36"/>
  <c r="N351" i="36"/>
  <c r="N350" i="36"/>
  <c r="N349" i="36"/>
  <c r="N348" i="36"/>
  <c r="N347" i="36"/>
  <c r="N346" i="36"/>
  <c r="N345" i="36"/>
  <c r="N344" i="36"/>
  <c r="N343" i="36"/>
  <c r="N342" i="36"/>
  <c r="N341" i="36"/>
  <c r="N340" i="36"/>
  <c r="N339" i="36"/>
  <c r="N338" i="36"/>
  <c r="N337" i="36"/>
  <c r="N336" i="36"/>
  <c r="N335" i="36"/>
  <c r="N334" i="36"/>
  <c r="N333" i="36"/>
  <c r="N332" i="36"/>
  <c r="N331" i="36"/>
  <c r="N330" i="36"/>
  <c r="N329" i="36"/>
  <c r="N328" i="36"/>
  <c r="N327" i="36"/>
  <c r="N326" i="36"/>
  <c r="N325" i="36"/>
  <c r="N324" i="36"/>
  <c r="N323" i="36"/>
  <c r="N322" i="36"/>
  <c r="N321" i="36"/>
  <c r="N320" i="36"/>
  <c r="N319" i="36"/>
  <c r="N318" i="36"/>
  <c r="N317" i="36"/>
  <c r="N316" i="36"/>
  <c r="N315" i="36"/>
  <c r="N314" i="36"/>
  <c r="N313" i="36"/>
  <c r="N312" i="36"/>
  <c r="N311" i="36"/>
  <c r="N310" i="36"/>
  <c r="N309" i="36"/>
  <c r="N308" i="36"/>
  <c r="N307" i="36"/>
  <c r="N306" i="36"/>
  <c r="N305" i="36"/>
  <c r="N304" i="36"/>
  <c r="N303" i="36"/>
  <c r="N302" i="36"/>
  <c r="N301" i="36"/>
  <c r="N300" i="36"/>
  <c r="N299" i="36"/>
  <c r="N298" i="36"/>
  <c r="N297" i="36"/>
  <c r="N296" i="36"/>
  <c r="N295" i="36"/>
  <c r="N294" i="36"/>
  <c r="N293" i="36"/>
  <c r="N292" i="36"/>
  <c r="N291" i="36"/>
  <c r="N290" i="36"/>
  <c r="N289" i="36"/>
  <c r="N288" i="36"/>
  <c r="N287" i="36"/>
  <c r="N286" i="36"/>
  <c r="N285" i="36"/>
  <c r="N284" i="36"/>
  <c r="N283" i="36"/>
  <c r="N282" i="36"/>
  <c r="N281" i="36"/>
  <c r="N280" i="36"/>
  <c r="N279" i="36"/>
  <c r="N278" i="36"/>
  <c r="N277" i="36"/>
  <c r="N276" i="36"/>
  <c r="N275" i="36"/>
  <c r="N274" i="36"/>
  <c r="N273" i="36"/>
  <c r="N272" i="36"/>
  <c r="N271" i="36"/>
  <c r="N270" i="36"/>
  <c r="N269" i="36"/>
  <c r="N268" i="36"/>
  <c r="N267" i="36"/>
  <c r="N266" i="36"/>
  <c r="N265" i="36"/>
  <c r="N264" i="36"/>
  <c r="N263" i="36"/>
  <c r="N262" i="36"/>
  <c r="N261" i="36"/>
  <c r="N260" i="36"/>
  <c r="N259" i="36"/>
  <c r="N258" i="36"/>
  <c r="N257" i="36"/>
  <c r="N256" i="36"/>
  <c r="N255" i="36"/>
  <c r="N254" i="36"/>
  <c r="N253" i="36"/>
  <c r="N252" i="36"/>
  <c r="N251" i="36"/>
  <c r="N250" i="36"/>
  <c r="N249" i="36"/>
  <c r="N248" i="36"/>
  <c r="N247" i="36"/>
  <c r="N246" i="36"/>
  <c r="N245" i="36"/>
  <c r="N244" i="36"/>
  <c r="N243" i="36"/>
  <c r="N242" i="36"/>
  <c r="N241" i="36"/>
  <c r="N240" i="36"/>
  <c r="N239" i="36"/>
  <c r="N238" i="36"/>
  <c r="N237" i="36"/>
  <c r="N236" i="36"/>
  <c r="N235" i="36"/>
  <c r="N234" i="36"/>
  <c r="N233" i="36"/>
  <c r="N232" i="36"/>
  <c r="N231" i="36"/>
  <c r="N230" i="36"/>
  <c r="N229" i="36"/>
  <c r="N228" i="36"/>
  <c r="N227" i="36"/>
  <c r="N226" i="36"/>
  <c r="N225" i="36"/>
  <c r="N224" i="36"/>
  <c r="N223" i="36"/>
  <c r="N222" i="36"/>
  <c r="N221" i="36"/>
  <c r="N220" i="36"/>
  <c r="N219" i="36"/>
  <c r="N218" i="36"/>
  <c r="N217" i="36"/>
  <c r="N216" i="36"/>
  <c r="N215" i="36"/>
  <c r="N214" i="36"/>
  <c r="N213" i="36"/>
  <c r="N212" i="36"/>
  <c r="N211" i="36"/>
  <c r="N210" i="36"/>
  <c r="N209" i="36"/>
  <c r="N208" i="36"/>
  <c r="N207" i="36"/>
  <c r="N206" i="36"/>
  <c r="N205" i="36"/>
  <c r="N204" i="36"/>
  <c r="N203" i="36"/>
  <c r="N202" i="36"/>
  <c r="N201" i="36"/>
  <c r="N200" i="36"/>
  <c r="N199" i="36"/>
  <c r="N198" i="36"/>
  <c r="N197" i="36"/>
  <c r="N196" i="36"/>
  <c r="N195" i="36"/>
  <c r="N194" i="36"/>
  <c r="N193" i="36"/>
  <c r="N192" i="36"/>
  <c r="N191" i="36"/>
  <c r="N190" i="36"/>
  <c r="N189" i="36"/>
  <c r="N188" i="36"/>
  <c r="N187" i="36"/>
  <c r="N186" i="36"/>
  <c r="N185" i="36"/>
  <c r="N184" i="36"/>
  <c r="N183" i="36"/>
  <c r="N182" i="36"/>
  <c r="N181" i="36"/>
  <c r="N180" i="36"/>
  <c r="N179" i="36"/>
  <c r="N178" i="36"/>
  <c r="N177" i="36"/>
  <c r="N176" i="36"/>
  <c r="N175" i="36"/>
  <c r="N174" i="36"/>
  <c r="N173" i="36"/>
  <c r="N172" i="36"/>
  <c r="N171" i="36"/>
  <c r="N170" i="36"/>
  <c r="N169" i="36"/>
  <c r="N168" i="36"/>
  <c r="N167" i="36"/>
  <c r="N166" i="36"/>
  <c r="N165" i="36"/>
  <c r="N164" i="36"/>
  <c r="N163" i="36"/>
  <c r="N162" i="36"/>
  <c r="N161" i="36"/>
  <c r="N160" i="36"/>
  <c r="N159" i="36"/>
  <c r="N158" i="36"/>
  <c r="N157" i="36"/>
  <c r="N156" i="36"/>
  <c r="N155" i="36"/>
  <c r="N154" i="36"/>
  <c r="N153" i="36"/>
  <c r="N152" i="36"/>
  <c r="N151" i="36"/>
  <c r="N150" i="36"/>
  <c r="N149" i="36"/>
  <c r="N148" i="36"/>
  <c r="N147" i="36"/>
  <c r="N146" i="36"/>
  <c r="N145" i="36"/>
  <c r="N144" i="36"/>
  <c r="N143" i="36"/>
  <c r="N142" i="36"/>
  <c r="N141" i="36"/>
  <c r="N140" i="36"/>
  <c r="N139" i="36"/>
  <c r="N138" i="36"/>
  <c r="N137" i="36"/>
  <c r="N136" i="36"/>
  <c r="N135" i="36"/>
  <c r="N134" i="36"/>
  <c r="N133" i="36"/>
  <c r="N132" i="36"/>
  <c r="N131" i="36"/>
  <c r="N130" i="36"/>
  <c r="N129" i="36"/>
  <c r="N128" i="36"/>
  <c r="N127" i="36"/>
  <c r="N126" i="36"/>
  <c r="N125" i="36"/>
  <c r="N124" i="36"/>
  <c r="N123" i="36"/>
  <c r="N122" i="36"/>
  <c r="N121" i="36"/>
  <c r="N120" i="36"/>
  <c r="N119" i="36"/>
  <c r="N118" i="36"/>
  <c r="N117" i="36"/>
  <c r="N116" i="36"/>
  <c r="N115" i="36"/>
  <c r="N114" i="36"/>
  <c r="N113" i="36"/>
  <c r="N112" i="36"/>
  <c r="N111" i="36"/>
  <c r="N110" i="36"/>
  <c r="N109" i="36"/>
  <c r="N108" i="36"/>
  <c r="N107" i="36"/>
  <c r="N106" i="36"/>
  <c r="N105" i="36"/>
  <c r="N104" i="36"/>
  <c r="N103" i="36"/>
  <c r="N102" i="36"/>
  <c r="N101" i="36"/>
  <c r="N100" i="36"/>
  <c r="N99" i="36"/>
  <c r="N98" i="36"/>
  <c r="N97" i="36"/>
  <c r="N96" i="36"/>
  <c r="N95" i="36"/>
  <c r="N94" i="36"/>
  <c r="N93" i="36"/>
  <c r="N92" i="36"/>
  <c r="N91" i="36"/>
  <c r="N90" i="36"/>
  <c r="N89" i="36"/>
  <c r="N88" i="36"/>
  <c r="N87" i="36"/>
  <c r="N86" i="36"/>
  <c r="N85" i="36"/>
  <c r="N84" i="36"/>
  <c r="N83" i="36"/>
  <c r="N82" i="36"/>
  <c r="N81" i="36"/>
  <c r="N80" i="36"/>
  <c r="N79" i="36"/>
  <c r="N78" i="36"/>
  <c r="N77" i="36"/>
  <c r="N76" i="36"/>
  <c r="N75" i="36"/>
  <c r="N74" i="36"/>
  <c r="N73" i="36"/>
  <c r="N72" i="36"/>
  <c r="N71" i="36"/>
  <c r="N70" i="36"/>
  <c r="N69" i="36"/>
  <c r="N68" i="36"/>
  <c r="N67" i="36"/>
  <c r="N66" i="36"/>
  <c r="N65" i="36"/>
  <c r="N64" i="36"/>
  <c r="N63" i="36"/>
  <c r="N62" i="36"/>
  <c r="N61" i="36"/>
  <c r="N60" i="36"/>
  <c r="N59" i="36"/>
  <c r="N58" i="36"/>
  <c r="N57" i="36"/>
  <c r="N56" i="36"/>
  <c r="N55" i="36"/>
  <c r="N54" i="36"/>
  <c r="N53" i="36"/>
  <c r="N52" i="36"/>
  <c r="N51" i="36"/>
  <c r="N50" i="36"/>
  <c r="N49" i="36"/>
  <c r="N48" i="36"/>
  <c r="N47" i="36"/>
  <c r="N46" i="36"/>
  <c r="N45" i="36"/>
  <c r="N44" i="36"/>
  <c r="N43" i="36"/>
  <c r="N42" i="36"/>
  <c r="N41" i="36"/>
  <c r="N40" i="36"/>
  <c r="N39" i="36"/>
  <c r="N38" i="36"/>
  <c r="N37" i="36"/>
  <c r="N36" i="36"/>
  <c r="N35" i="36"/>
  <c r="N34" i="36"/>
  <c r="N33" i="36"/>
  <c r="N32" i="36"/>
  <c r="N31" i="36"/>
  <c r="N30" i="36"/>
  <c r="N29" i="36"/>
  <c r="N28" i="36"/>
  <c r="N27" i="36"/>
  <c r="N26" i="36"/>
  <c r="N25" i="36"/>
  <c r="N24" i="36"/>
  <c r="N23" i="36"/>
  <c r="N22" i="36"/>
  <c r="N21" i="36"/>
  <c r="N20" i="36"/>
  <c r="N19" i="36"/>
  <c r="N18" i="36"/>
  <c r="N17" i="36"/>
  <c r="N16" i="36"/>
  <c r="N15" i="36"/>
  <c r="N14" i="36"/>
  <c r="N13" i="36"/>
  <c r="N12" i="36"/>
  <c r="N11" i="36"/>
  <c r="N10" i="36"/>
  <c r="N9" i="36"/>
  <c r="N8" i="36"/>
  <c r="N7" i="36"/>
  <c r="N6" i="36"/>
  <c r="N5" i="36"/>
  <c r="N4" i="36"/>
  <c r="N3" i="36"/>
  <c r="N2" i="36"/>
  <c r="B3596" i="36"/>
  <c r="A3596" i="36"/>
  <c r="B3595" i="36"/>
  <c r="A3595" i="36"/>
  <c r="B3594" i="36"/>
  <c r="A3594" i="36"/>
  <c r="B3593" i="36"/>
  <c r="A3593" i="36"/>
  <c r="B3592" i="36"/>
  <c r="A3592" i="36"/>
  <c r="B3591" i="36"/>
  <c r="A3591" i="36"/>
  <c r="B3590" i="36"/>
  <c r="A3590" i="36"/>
  <c r="B3589" i="36"/>
  <c r="A3589" i="36"/>
  <c r="B3588" i="36"/>
  <c r="A3588" i="36"/>
  <c r="B3587" i="36"/>
  <c r="A3587" i="36"/>
  <c r="B3586" i="36"/>
  <c r="A3586" i="36"/>
  <c r="B3585" i="36"/>
  <c r="A3585" i="36"/>
  <c r="B3584" i="36"/>
  <c r="A3584" i="36"/>
  <c r="B3583" i="36"/>
  <c r="A3583" i="36"/>
  <c r="B3582" i="36"/>
  <c r="A3582" i="36"/>
  <c r="B3581" i="36"/>
  <c r="A3581" i="36"/>
  <c r="B3580" i="36"/>
  <c r="A3580" i="36"/>
  <c r="B3579" i="36"/>
  <c r="A3579" i="36"/>
  <c r="B3578" i="36"/>
  <c r="A3578" i="36"/>
  <c r="B3577" i="36"/>
  <c r="A3577" i="36"/>
  <c r="B3576" i="36"/>
  <c r="A3576" i="36"/>
  <c r="B3575" i="36"/>
  <c r="A3575" i="36"/>
  <c r="B3574" i="36"/>
  <c r="A3574" i="36"/>
  <c r="B3573" i="36"/>
  <c r="A3573" i="36"/>
  <c r="B3572" i="36"/>
  <c r="A3572" i="36"/>
  <c r="B3571" i="36"/>
  <c r="A3571" i="36"/>
  <c r="B3570" i="36"/>
  <c r="A3570" i="36"/>
  <c r="B3569" i="36"/>
  <c r="A3569" i="36"/>
  <c r="B3568" i="36"/>
  <c r="A3568" i="36"/>
  <c r="B3567" i="36"/>
  <c r="A3567" i="36"/>
  <c r="B3566" i="36"/>
  <c r="A3566" i="36"/>
  <c r="B3565" i="36"/>
  <c r="A3565" i="36"/>
  <c r="B3564" i="36"/>
  <c r="A3564" i="36"/>
  <c r="B3563" i="36"/>
  <c r="A3563" i="36"/>
  <c r="B3562" i="36"/>
  <c r="A3562" i="36"/>
  <c r="B3561" i="36"/>
  <c r="A3561" i="36"/>
  <c r="B3560" i="36"/>
  <c r="A3560" i="36"/>
  <c r="B3559" i="36"/>
  <c r="A3559" i="36"/>
  <c r="B3558" i="36"/>
  <c r="A3558" i="36"/>
  <c r="B3557" i="36"/>
  <c r="A3557" i="36"/>
  <c r="B3556" i="36"/>
  <c r="A3556" i="36"/>
  <c r="B3555" i="36"/>
  <c r="A3555" i="36"/>
  <c r="B3554" i="36"/>
  <c r="A3554" i="36"/>
  <c r="B3553" i="36"/>
  <c r="A3553" i="36"/>
  <c r="B3552" i="36"/>
  <c r="A3552" i="36"/>
  <c r="B3551" i="36"/>
  <c r="A3551" i="36"/>
  <c r="B3550" i="36"/>
  <c r="A3550" i="36"/>
  <c r="B3549" i="36"/>
  <c r="A3549" i="36"/>
  <c r="B3548" i="36"/>
  <c r="A3548" i="36"/>
  <c r="B3547" i="36"/>
  <c r="A3547" i="36"/>
  <c r="B3546" i="36"/>
  <c r="A3546" i="36"/>
  <c r="B3545" i="36"/>
  <c r="A3545" i="36"/>
  <c r="B3544" i="36"/>
  <c r="A3544" i="36"/>
  <c r="B3543" i="36"/>
  <c r="A3543" i="36"/>
  <c r="B3542" i="36"/>
  <c r="A3542" i="36"/>
  <c r="B3541" i="36"/>
  <c r="A3541" i="36"/>
  <c r="B3540" i="36"/>
  <c r="A3540" i="36"/>
  <c r="B3539" i="36"/>
  <c r="A3539" i="36"/>
  <c r="B3538" i="36"/>
  <c r="A3538" i="36"/>
  <c r="B3537" i="36"/>
  <c r="A3537" i="36"/>
  <c r="B3536" i="36"/>
  <c r="A3536" i="36"/>
  <c r="B3535" i="36"/>
  <c r="A3535" i="36"/>
  <c r="B3534" i="36"/>
  <c r="A3534" i="36"/>
  <c r="B3533" i="36"/>
  <c r="A3533" i="36"/>
  <c r="B3532" i="36"/>
  <c r="A3532" i="36"/>
  <c r="B3531" i="36"/>
  <c r="A3531" i="36"/>
  <c r="B3530" i="36"/>
  <c r="A3530" i="36"/>
  <c r="B3529" i="36"/>
  <c r="A3529" i="36"/>
  <c r="B3528" i="36"/>
  <c r="A3528" i="36"/>
  <c r="B3527" i="36"/>
  <c r="A3527" i="36"/>
  <c r="B3526" i="36"/>
  <c r="A3526" i="36"/>
  <c r="B3525" i="36"/>
  <c r="A3525" i="36"/>
  <c r="B3524" i="36"/>
  <c r="A3524" i="36"/>
  <c r="B3523" i="36"/>
  <c r="A3523" i="36"/>
  <c r="B3522" i="36"/>
  <c r="A3522" i="36"/>
  <c r="B3521" i="36"/>
  <c r="A3521" i="36"/>
  <c r="B3520" i="36"/>
  <c r="A3520" i="36"/>
  <c r="B3519" i="36"/>
  <c r="A3519" i="36"/>
  <c r="B3518" i="36"/>
  <c r="A3518" i="36"/>
  <c r="B3517" i="36"/>
  <c r="A3517" i="36"/>
  <c r="B3516" i="36"/>
  <c r="A3516" i="36"/>
  <c r="B3515" i="36"/>
  <c r="A3515" i="36"/>
  <c r="B3514" i="36"/>
  <c r="A3514" i="36"/>
  <c r="B3513" i="36"/>
  <c r="A3513" i="36"/>
  <c r="B3512" i="36"/>
  <c r="A3512" i="36"/>
  <c r="B3511" i="36"/>
  <c r="A3511" i="36"/>
  <c r="B3510" i="36"/>
  <c r="A3510" i="36"/>
  <c r="B3509" i="36"/>
  <c r="A3509" i="36"/>
  <c r="B3508" i="36"/>
  <c r="A3508" i="36"/>
  <c r="B3507" i="36"/>
  <c r="A3507" i="36"/>
  <c r="B3506" i="36"/>
  <c r="A3506" i="36"/>
  <c r="B3505" i="36"/>
  <c r="A3505" i="36"/>
  <c r="B3504" i="36"/>
  <c r="A3504" i="36"/>
  <c r="B3503" i="36"/>
  <c r="A3503" i="36"/>
  <c r="B3502" i="36"/>
  <c r="A3502" i="36"/>
  <c r="B3501" i="36"/>
  <c r="A3501" i="36"/>
  <c r="B3500" i="36"/>
  <c r="A3500" i="36"/>
  <c r="B3499" i="36"/>
  <c r="A3499" i="36"/>
  <c r="B3498" i="36"/>
  <c r="A3498" i="36"/>
  <c r="B3497" i="36"/>
  <c r="A3497" i="36"/>
  <c r="B3496" i="36"/>
  <c r="A3496" i="36"/>
  <c r="B3495" i="36"/>
  <c r="A3495" i="36"/>
  <c r="B3494" i="36"/>
  <c r="A3494" i="36"/>
  <c r="B3493" i="36"/>
  <c r="A3493" i="36"/>
  <c r="B3492" i="36"/>
  <c r="A3492" i="36"/>
  <c r="B3491" i="36"/>
  <c r="A3491" i="36"/>
  <c r="B3490" i="36"/>
  <c r="A3490" i="36"/>
  <c r="B3489" i="36"/>
  <c r="A3489" i="36"/>
  <c r="B3488" i="36"/>
  <c r="A3488" i="36"/>
  <c r="B3487" i="36"/>
  <c r="A3487" i="36"/>
  <c r="B3486" i="36"/>
  <c r="A3486" i="36"/>
  <c r="B3485" i="36"/>
  <c r="A3485" i="36"/>
  <c r="B3484" i="36"/>
  <c r="A3484" i="36"/>
  <c r="B3483" i="36"/>
  <c r="A3483" i="36"/>
  <c r="B3482" i="36"/>
  <c r="A3482" i="36"/>
  <c r="B3481" i="36"/>
  <c r="A3481" i="36"/>
  <c r="B3480" i="36"/>
  <c r="A3480" i="36"/>
  <c r="B3479" i="36"/>
  <c r="A3479" i="36"/>
  <c r="B3478" i="36"/>
  <c r="A3478" i="36"/>
  <c r="B3477" i="36"/>
  <c r="A3477" i="36"/>
  <c r="B3476" i="36"/>
  <c r="A3476" i="36"/>
  <c r="B3475" i="36"/>
  <c r="A3475" i="36"/>
  <c r="B3474" i="36"/>
  <c r="A3474" i="36"/>
  <c r="B3473" i="36"/>
  <c r="A3473" i="36"/>
  <c r="B3472" i="36"/>
  <c r="A3472" i="36"/>
  <c r="B3471" i="36"/>
  <c r="A3471" i="36"/>
  <c r="B3470" i="36"/>
  <c r="A3470" i="36"/>
  <c r="B3469" i="36"/>
  <c r="A3469" i="36"/>
  <c r="B3468" i="36"/>
  <c r="A3468" i="36"/>
  <c r="B3467" i="36"/>
  <c r="A3467" i="36"/>
  <c r="B3466" i="36"/>
  <c r="A3466" i="36"/>
  <c r="B3465" i="36"/>
  <c r="A3465" i="36"/>
  <c r="B3464" i="36"/>
  <c r="A3464" i="36"/>
  <c r="B3463" i="36"/>
  <c r="A3463" i="36"/>
  <c r="B3462" i="36"/>
  <c r="A3462" i="36"/>
  <c r="B3461" i="36"/>
  <c r="A3461" i="36"/>
  <c r="B3460" i="36"/>
  <c r="A3460" i="36"/>
  <c r="B3459" i="36"/>
  <c r="A3459" i="36"/>
  <c r="B3458" i="36"/>
  <c r="A3458" i="36"/>
  <c r="B3457" i="36"/>
  <c r="A3457" i="36"/>
  <c r="B3456" i="36"/>
  <c r="A3456" i="36"/>
  <c r="B3455" i="36"/>
  <c r="A3455" i="36"/>
  <c r="B3454" i="36"/>
  <c r="A3454" i="36"/>
  <c r="B3453" i="36"/>
  <c r="A3453" i="36"/>
  <c r="B3452" i="36"/>
  <c r="A3452" i="36"/>
  <c r="B3451" i="36"/>
  <c r="A3451" i="36"/>
  <c r="B3450" i="36"/>
  <c r="A3450" i="36"/>
  <c r="B3449" i="36"/>
  <c r="A3449" i="36"/>
  <c r="B3448" i="36"/>
  <c r="A3448" i="36"/>
  <c r="B3447" i="36"/>
  <c r="A3447" i="36"/>
  <c r="B3446" i="36"/>
  <c r="A3446" i="36"/>
  <c r="B3445" i="36"/>
  <c r="A3445" i="36"/>
  <c r="B3444" i="36"/>
  <c r="A3444" i="36"/>
  <c r="B3443" i="36"/>
  <c r="A3443" i="36"/>
  <c r="B3442" i="36"/>
  <c r="A3442" i="36"/>
  <c r="B3441" i="36"/>
  <c r="A3441" i="36"/>
  <c r="B3440" i="36"/>
  <c r="A3440" i="36"/>
  <c r="B3439" i="36"/>
  <c r="A3439" i="36"/>
  <c r="B3438" i="36"/>
  <c r="A3438" i="36"/>
  <c r="B3437" i="36"/>
  <c r="A3437" i="36"/>
  <c r="B3436" i="36"/>
  <c r="A3436" i="36"/>
  <c r="B3435" i="36"/>
  <c r="A3435" i="36"/>
  <c r="B3434" i="36"/>
  <c r="A3434" i="36"/>
  <c r="B3433" i="36"/>
  <c r="A3433" i="36"/>
  <c r="B3432" i="36"/>
  <c r="A3432" i="36"/>
  <c r="B3431" i="36"/>
  <c r="A3431" i="36"/>
  <c r="B3430" i="36"/>
  <c r="A3430" i="36"/>
  <c r="B3429" i="36"/>
  <c r="A3429" i="36"/>
  <c r="B3428" i="36"/>
  <c r="A3428" i="36"/>
  <c r="B3427" i="36"/>
  <c r="A3427" i="36"/>
  <c r="B3426" i="36"/>
  <c r="A3426" i="36"/>
  <c r="B3425" i="36"/>
  <c r="A3425" i="36"/>
  <c r="B3424" i="36"/>
  <c r="A3424" i="36"/>
  <c r="B3423" i="36"/>
  <c r="A3423" i="36"/>
  <c r="B3422" i="36"/>
  <c r="A3422" i="36"/>
  <c r="B3421" i="36"/>
  <c r="A3421" i="36"/>
  <c r="B3420" i="36"/>
  <c r="A3420" i="36"/>
  <c r="B3419" i="36"/>
  <c r="A3419" i="36"/>
  <c r="B3418" i="36"/>
  <c r="A3418" i="36"/>
  <c r="B3417" i="36"/>
  <c r="A3417" i="36"/>
  <c r="B3416" i="36"/>
  <c r="A3416" i="36"/>
  <c r="B3415" i="36"/>
  <c r="A3415" i="36"/>
  <c r="B3414" i="36"/>
  <c r="A3414" i="36"/>
  <c r="B3413" i="36"/>
  <c r="A3413" i="36"/>
  <c r="B3412" i="36"/>
  <c r="A3412" i="36"/>
  <c r="B3411" i="36"/>
  <c r="A3411" i="36"/>
  <c r="B3410" i="36"/>
  <c r="A3410" i="36"/>
  <c r="B3409" i="36"/>
  <c r="A3409" i="36"/>
  <c r="B3408" i="36"/>
  <c r="A3408" i="36"/>
  <c r="B3407" i="36"/>
  <c r="A3407" i="36"/>
  <c r="B3406" i="36"/>
  <c r="A3406" i="36"/>
  <c r="B3405" i="36"/>
  <c r="A3405" i="36"/>
  <c r="B3404" i="36"/>
  <c r="A3404" i="36"/>
  <c r="B3403" i="36"/>
  <c r="A3403" i="36"/>
  <c r="B3402" i="36"/>
  <c r="A3402" i="36"/>
  <c r="B3401" i="36"/>
  <c r="A3401" i="36"/>
  <c r="B3400" i="36"/>
  <c r="A3400" i="36"/>
  <c r="B3399" i="36"/>
  <c r="A3399" i="36"/>
  <c r="B3398" i="36"/>
  <c r="A3398" i="36"/>
  <c r="B3397" i="36"/>
  <c r="A3397" i="36"/>
  <c r="B3396" i="36"/>
  <c r="A3396" i="36"/>
  <c r="B3395" i="36"/>
  <c r="A3395" i="36"/>
  <c r="B3394" i="36"/>
  <c r="A3394" i="36"/>
  <c r="B3393" i="36"/>
  <c r="A3393" i="36"/>
  <c r="B3392" i="36"/>
  <c r="A3392" i="36"/>
  <c r="B3391" i="36"/>
  <c r="A3391" i="36"/>
  <c r="B3390" i="36"/>
  <c r="A3390" i="36"/>
  <c r="B3389" i="36"/>
  <c r="A3389" i="36"/>
  <c r="B3388" i="36"/>
  <c r="A3388" i="36"/>
  <c r="B3387" i="36"/>
  <c r="A3387" i="36"/>
  <c r="B3386" i="36"/>
  <c r="A3386" i="36"/>
  <c r="B3385" i="36"/>
  <c r="A3385" i="36"/>
  <c r="B3384" i="36"/>
  <c r="A3384" i="36"/>
  <c r="B3383" i="36"/>
  <c r="A3383" i="36"/>
  <c r="B3382" i="36"/>
  <c r="A3382" i="36"/>
  <c r="B3381" i="36"/>
  <c r="A3381" i="36"/>
  <c r="B3380" i="36"/>
  <c r="A3380" i="36"/>
  <c r="B3379" i="36"/>
  <c r="A3379" i="36"/>
  <c r="B3378" i="36"/>
  <c r="A3378" i="36"/>
  <c r="B3377" i="36"/>
  <c r="A3377" i="36"/>
  <c r="B3376" i="36"/>
  <c r="A3376" i="36"/>
  <c r="B3375" i="36"/>
  <c r="A3375" i="36"/>
  <c r="B3374" i="36"/>
  <c r="A3374" i="36"/>
  <c r="B3373" i="36"/>
  <c r="A3373" i="36"/>
  <c r="B3372" i="36"/>
  <c r="A3372" i="36"/>
  <c r="B3371" i="36"/>
  <c r="A3371" i="36"/>
  <c r="B3370" i="36"/>
  <c r="A3370" i="36"/>
  <c r="B3369" i="36"/>
  <c r="A3369" i="36"/>
  <c r="B3368" i="36"/>
  <c r="A3368" i="36"/>
  <c r="B3367" i="36"/>
  <c r="A3367" i="36"/>
  <c r="B3366" i="36"/>
  <c r="A3366" i="36"/>
  <c r="B3365" i="36"/>
  <c r="A3365" i="36"/>
  <c r="B3364" i="36"/>
  <c r="A3364" i="36"/>
  <c r="B3363" i="36"/>
  <c r="A3363" i="36"/>
  <c r="B3362" i="36"/>
  <c r="A3362" i="36"/>
  <c r="B3361" i="36"/>
  <c r="A3361" i="36"/>
  <c r="B3360" i="36"/>
  <c r="A3360" i="36"/>
  <c r="B3359" i="36"/>
  <c r="A3359" i="36"/>
  <c r="B3358" i="36"/>
  <c r="A3358" i="36"/>
  <c r="B3357" i="36"/>
  <c r="A3357" i="36"/>
  <c r="B3356" i="36"/>
  <c r="A3356" i="36"/>
  <c r="B3355" i="36"/>
  <c r="A3355" i="36"/>
  <c r="B3354" i="36"/>
  <c r="A3354" i="36"/>
  <c r="B3353" i="36"/>
  <c r="A3353" i="36"/>
  <c r="B3352" i="36"/>
  <c r="A3352" i="36"/>
  <c r="B3351" i="36"/>
  <c r="A3351" i="36"/>
  <c r="B3350" i="36"/>
  <c r="A3350" i="36"/>
  <c r="B3349" i="36"/>
  <c r="A3349" i="36"/>
  <c r="B3348" i="36"/>
  <c r="A3348" i="36"/>
  <c r="B3347" i="36"/>
  <c r="A3347" i="36"/>
  <c r="B3346" i="36"/>
  <c r="A3346" i="36"/>
  <c r="B3345" i="36"/>
  <c r="A3345" i="36"/>
  <c r="B3344" i="36"/>
  <c r="A3344" i="36"/>
  <c r="B3343" i="36"/>
  <c r="A3343" i="36"/>
  <c r="B3342" i="36"/>
  <c r="A3342" i="36"/>
  <c r="B3341" i="36"/>
  <c r="A3341" i="36"/>
  <c r="B3340" i="36"/>
  <c r="A3340" i="36"/>
  <c r="B3339" i="36"/>
  <c r="A3339" i="36"/>
  <c r="B3338" i="36"/>
  <c r="A3338" i="36"/>
  <c r="B3337" i="36"/>
  <c r="A3337" i="36"/>
  <c r="B3336" i="36"/>
  <c r="A3336" i="36"/>
  <c r="B3335" i="36"/>
  <c r="A3335" i="36"/>
  <c r="B3334" i="36"/>
  <c r="A3334" i="36"/>
  <c r="B3333" i="36"/>
  <c r="A3333" i="36"/>
  <c r="B3332" i="36"/>
  <c r="A3332" i="36"/>
  <c r="B3331" i="36"/>
  <c r="A3331" i="36"/>
  <c r="B3330" i="36"/>
  <c r="A3330" i="36"/>
  <c r="B3329" i="36"/>
  <c r="A3329" i="36"/>
  <c r="B3328" i="36"/>
  <c r="A3328" i="36"/>
  <c r="B3327" i="36"/>
  <c r="A3327" i="36"/>
  <c r="B3326" i="36"/>
  <c r="A3326" i="36"/>
  <c r="B3325" i="36"/>
  <c r="A3325" i="36"/>
  <c r="B3324" i="36"/>
  <c r="A3324" i="36"/>
  <c r="B3323" i="36"/>
  <c r="A3323" i="36"/>
  <c r="B3322" i="36"/>
  <c r="A3322" i="36"/>
  <c r="B3321" i="36"/>
  <c r="A3321" i="36"/>
  <c r="B3320" i="36"/>
  <c r="A3320" i="36"/>
  <c r="B3319" i="36"/>
  <c r="A3319" i="36"/>
  <c r="B3318" i="36"/>
  <c r="A3318" i="36"/>
  <c r="B3317" i="36"/>
  <c r="A3317" i="36"/>
  <c r="B3316" i="36"/>
  <c r="A3316" i="36"/>
  <c r="B3315" i="36"/>
  <c r="A3315" i="36"/>
  <c r="B3314" i="36"/>
  <c r="A3314" i="36"/>
  <c r="B3313" i="36"/>
  <c r="A3313" i="36"/>
  <c r="B3312" i="36"/>
  <c r="A3312" i="36"/>
  <c r="B3311" i="36"/>
  <c r="A3311" i="36"/>
  <c r="B3310" i="36"/>
  <c r="A3310" i="36"/>
  <c r="B3309" i="36"/>
  <c r="A3309" i="36"/>
  <c r="B3308" i="36"/>
  <c r="A3308" i="36"/>
  <c r="B3307" i="36"/>
  <c r="A3307" i="36"/>
  <c r="B3306" i="36"/>
  <c r="A3306" i="36"/>
  <c r="B3305" i="36"/>
  <c r="A3305" i="36"/>
  <c r="B3304" i="36"/>
  <c r="A3304" i="36"/>
  <c r="B3303" i="36"/>
  <c r="A3303" i="36"/>
  <c r="B3302" i="36"/>
  <c r="A3302" i="36"/>
  <c r="B3301" i="36"/>
  <c r="A3301" i="36"/>
  <c r="B3300" i="36"/>
  <c r="A3300" i="36"/>
  <c r="B3299" i="36"/>
  <c r="A3299" i="36"/>
  <c r="B3298" i="36"/>
  <c r="A3298" i="36"/>
  <c r="B3297" i="36"/>
  <c r="A3297" i="36"/>
  <c r="B3296" i="36"/>
  <c r="A3296" i="36"/>
  <c r="B3295" i="36"/>
  <c r="A3295" i="36"/>
  <c r="B3294" i="36"/>
  <c r="A3294" i="36"/>
  <c r="B3293" i="36"/>
  <c r="A3293" i="36"/>
  <c r="B3292" i="36"/>
  <c r="A3292" i="36"/>
  <c r="B3291" i="36"/>
  <c r="A3291" i="36"/>
  <c r="B3290" i="36"/>
  <c r="A3290" i="36"/>
  <c r="B3289" i="36"/>
  <c r="A3289" i="36"/>
  <c r="B3288" i="36"/>
  <c r="A3288" i="36"/>
  <c r="B3287" i="36"/>
  <c r="A3287" i="36"/>
  <c r="B3286" i="36"/>
  <c r="A3286" i="36"/>
  <c r="B3285" i="36"/>
  <c r="A3285" i="36"/>
  <c r="B3284" i="36"/>
  <c r="A3284" i="36"/>
  <c r="B3283" i="36"/>
  <c r="A3283" i="36"/>
  <c r="B3282" i="36"/>
  <c r="A3282" i="36"/>
  <c r="B3281" i="36"/>
  <c r="A3281" i="36"/>
  <c r="B3280" i="36"/>
  <c r="A3280" i="36"/>
  <c r="B3279" i="36"/>
  <c r="A3279" i="36"/>
  <c r="B3278" i="36"/>
  <c r="A3278" i="36"/>
  <c r="B3277" i="36"/>
  <c r="A3277" i="36"/>
  <c r="B3276" i="36"/>
  <c r="A3276" i="36"/>
  <c r="B3275" i="36"/>
  <c r="A3275" i="36"/>
  <c r="B3274" i="36"/>
  <c r="A3274" i="36"/>
  <c r="B3273" i="36"/>
  <c r="A3273" i="36"/>
  <c r="B3272" i="36"/>
  <c r="A3272" i="36"/>
  <c r="B3271" i="36"/>
  <c r="A3271" i="36"/>
  <c r="B3270" i="36"/>
  <c r="A3270" i="36"/>
  <c r="B3269" i="36"/>
  <c r="A3269" i="36"/>
  <c r="B3268" i="36"/>
  <c r="A3268" i="36"/>
  <c r="B3267" i="36"/>
  <c r="A3267" i="36"/>
  <c r="B3266" i="36"/>
  <c r="A3266" i="36"/>
  <c r="B3265" i="36"/>
  <c r="A3265" i="36"/>
  <c r="B3264" i="36"/>
  <c r="A3264" i="36"/>
  <c r="B3263" i="36"/>
  <c r="A3263" i="36"/>
  <c r="B3262" i="36"/>
  <c r="A3262" i="36"/>
  <c r="B3261" i="36"/>
  <c r="A3261" i="36"/>
  <c r="B3260" i="36"/>
  <c r="A3260" i="36"/>
  <c r="B3259" i="36"/>
  <c r="A3259" i="36"/>
  <c r="B3258" i="36"/>
  <c r="A3258" i="36"/>
  <c r="B3257" i="36"/>
  <c r="A3257" i="36"/>
  <c r="B3256" i="36"/>
  <c r="A3256" i="36"/>
  <c r="B3255" i="36"/>
  <c r="A3255" i="36"/>
  <c r="B3254" i="36"/>
  <c r="A3254" i="36"/>
  <c r="B3253" i="36"/>
  <c r="A3253" i="36"/>
  <c r="B3252" i="36"/>
  <c r="A3252" i="36"/>
  <c r="B3251" i="36"/>
  <c r="A3251" i="36"/>
  <c r="B3250" i="36"/>
  <c r="A3250" i="36"/>
  <c r="B3249" i="36"/>
  <c r="A3249" i="36"/>
  <c r="B3248" i="36"/>
  <c r="A3248" i="36"/>
  <c r="B3247" i="36"/>
  <c r="A3247" i="36"/>
  <c r="B3246" i="36"/>
  <c r="A3246" i="36"/>
  <c r="B3245" i="36"/>
  <c r="A3245" i="36"/>
  <c r="B3244" i="36"/>
  <c r="A3244" i="36"/>
  <c r="B3243" i="36"/>
  <c r="A3243" i="36"/>
  <c r="B3242" i="36"/>
  <c r="A3242" i="36"/>
  <c r="B3241" i="36"/>
  <c r="A3241" i="36"/>
  <c r="B3240" i="36"/>
  <c r="A3240" i="36"/>
  <c r="B3239" i="36"/>
  <c r="A3239" i="36"/>
  <c r="B3238" i="36"/>
  <c r="A3238" i="36"/>
  <c r="B3237" i="36"/>
  <c r="A3237" i="36"/>
  <c r="B3236" i="36"/>
  <c r="A3236" i="36"/>
  <c r="B3235" i="36"/>
  <c r="A3235" i="36"/>
  <c r="B3234" i="36"/>
  <c r="A3234" i="36"/>
  <c r="B3233" i="36"/>
  <c r="A3233" i="36"/>
  <c r="B3232" i="36"/>
  <c r="A3232" i="36"/>
  <c r="B3231" i="36"/>
  <c r="A3231" i="36"/>
  <c r="B3230" i="36"/>
  <c r="A3230" i="36"/>
  <c r="B3229" i="36"/>
  <c r="A3229" i="36"/>
  <c r="B3228" i="36"/>
  <c r="A3228" i="36"/>
  <c r="B3227" i="36"/>
  <c r="A3227" i="36"/>
  <c r="B3226" i="36"/>
  <c r="A3226" i="36"/>
  <c r="B3225" i="36"/>
  <c r="A3225" i="36"/>
  <c r="B3224" i="36"/>
  <c r="A3224" i="36"/>
  <c r="B3223" i="36"/>
  <c r="A3223" i="36"/>
  <c r="B3222" i="36"/>
  <c r="A3222" i="36"/>
  <c r="B3221" i="36"/>
  <c r="A3221" i="36"/>
  <c r="B3220" i="36"/>
  <c r="A3220" i="36"/>
  <c r="B3219" i="36"/>
  <c r="A3219" i="36"/>
  <c r="B3218" i="36"/>
  <c r="A3218" i="36"/>
  <c r="B3217" i="36"/>
  <c r="A3217" i="36"/>
  <c r="B3216" i="36"/>
  <c r="A3216" i="36"/>
  <c r="B3215" i="36"/>
  <c r="A3215" i="36"/>
  <c r="B3214" i="36"/>
  <c r="A3214" i="36"/>
  <c r="B3213" i="36"/>
  <c r="A3213" i="36"/>
  <c r="B3212" i="36"/>
  <c r="A3212" i="36"/>
  <c r="B3211" i="36"/>
  <c r="A3211" i="36"/>
  <c r="B3210" i="36"/>
  <c r="A3210" i="36"/>
  <c r="B3209" i="36"/>
  <c r="A3209" i="36"/>
  <c r="B3208" i="36"/>
  <c r="A3208" i="36"/>
  <c r="B3207" i="36"/>
  <c r="A3207" i="36"/>
  <c r="B3206" i="36"/>
  <c r="A3206" i="36"/>
  <c r="B3205" i="36"/>
  <c r="A3205" i="36"/>
  <c r="B3204" i="36"/>
  <c r="A3204" i="36"/>
  <c r="B3203" i="36"/>
  <c r="A3203" i="36"/>
  <c r="B3202" i="36"/>
  <c r="A3202" i="36"/>
  <c r="B3201" i="36"/>
  <c r="A3201" i="36"/>
  <c r="B3200" i="36"/>
  <c r="A3200" i="36"/>
  <c r="B3199" i="36"/>
  <c r="A3199" i="36"/>
  <c r="B3198" i="36"/>
  <c r="A3198" i="36"/>
  <c r="B3197" i="36"/>
  <c r="A3197" i="36"/>
  <c r="B3196" i="36"/>
  <c r="A3196" i="36"/>
  <c r="B3195" i="36"/>
  <c r="A3195" i="36"/>
  <c r="B3194" i="36"/>
  <c r="A3194" i="36"/>
  <c r="B3193" i="36"/>
  <c r="A3193" i="36"/>
  <c r="B3192" i="36"/>
  <c r="A3192" i="36"/>
  <c r="B3191" i="36"/>
  <c r="A3191" i="36"/>
  <c r="B3190" i="36"/>
  <c r="A3190" i="36"/>
  <c r="B3189" i="36"/>
  <c r="A3189" i="36"/>
  <c r="B3188" i="36"/>
  <c r="A3188" i="36"/>
  <c r="B3187" i="36"/>
  <c r="A3187" i="36"/>
  <c r="B3186" i="36"/>
  <c r="A3186" i="36"/>
  <c r="B3185" i="36"/>
  <c r="A3185" i="36"/>
  <c r="B3184" i="36"/>
  <c r="A3184" i="36"/>
  <c r="B3183" i="36"/>
  <c r="A3183" i="36"/>
  <c r="B3182" i="36"/>
  <c r="A3182" i="36"/>
  <c r="B3181" i="36"/>
  <c r="A3181" i="36"/>
  <c r="B3180" i="36"/>
  <c r="A3180" i="36"/>
  <c r="B3179" i="36"/>
  <c r="A3179" i="36"/>
  <c r="B3178" i="36"/>
  <c r="A3178" i="36"/>
  <c r="B3177" i="36"/>
  <c r="A3177" i="36"/>
  <c r="B3176" i="36"/>
  <c r="A3176" i="36"/>
  <c r="B3175" i="36"/>
  <c r="A3175" i="36"/>
  <c r="B3174" i="36"/>
  <c r="A3174" i="36"/>
  <c r="B3173" i="36"/>
  <c r="A3173" i="36"/>
  <c r="B3172" i="36"/>
  <c r="A3172" i="36"/>
  <c r="B3171" i="36"/>
  <c r="A3171" i="36"/>
  <c r="B3170" i="36"/>
  <c r="A3170" i="36"/>
  <c r="B3169" i="36"/>
  <c r="A3169" i="36"/>
  <c r="B3168" i="36"/>
  <c r="A3168" i="36"/>
  <c r="B3167" i="36"/>
  <c r="A3167" i="36"/>
  <c r="B3166" i="36"/>
  <c r="A3166" i="36"/>
  <c r="B3165" i="36"/>
  <c r="A3165" i="36"/>
  <c r="B3164" i="36"/>
  <c r="A3164" i="36"/>
  <c r="B3163" i="36"/>
  <c r="A3163" i="36"/>
  <c r="B3162" i="36"/>
  <c r="A3162" i="36"/>
  <c r="B3161" i="36"/>
  <c r="A3161" i="36"/>
  <c r="B3160" i="36"/>
  <c r="A3160" i="36"/>
  <c r="B3159" i="36"/>
  <c r="A3159" i="36"/>
  <c r="B3158" i="36"/>
  <c r="A3158" i="36"/>
  <c r="B3157" i="36"/>
  <c r="A3157" i="36"/>
  <c r="B3156" i="36"/>
  <c r="A3156" i="36"/>
  <c r="B3155" i="36"/>
  <c r="A3155" i="36"/>
  <c r="B3154" i="36"/>
  <c r="A3154" i="36"/>
  <c r="B3153" i="36"/>
  <c r="A3153" i="36"/>
  <c r="B3152" i="36"/>
  <c r="A3152" i="36"/>
  <c r="B3151" i="36"/>
  <c r="A3151" i="36"/>
  <c r="B3150" i="36"/>
  <c r="A3150" i="36"/>
  <c r="B3149" i="36"/>
  <c r="A3149" i="36"/>
  <c r="B3148" i="36"/>
  <c r="A3148" i="36"/>
  <c r="B3147" i="36"/>
  <c r="A3147" i="36"/>
  <c r="B3146" i="36"/>
  <c r="A3146" i="36"/>
  <c r="B3145" i="36"/>
  <c r="A3145" i="36"/>
  <c r="B3144" i="36"/>
  <c r="A3144" i="36"/>
  <c r="B3143" i="36"/>
  <c r="A3143" i="36"/>
  <c r="B3142" i="36"/>
  <c r="A3142" i="36"/>
  <c r="B3141" i="36"/>
  <c r="A3141" i="36"/>
  <c r="B3140" i="36"/>
  <c r="A3140" i="36"/>
  <c r="B3139" i="36"/>
  <c r="A3139" i="36"/>
  <c r="B3138" i="36"/>
  <c r="A3138" i="36"/>
  <c r="B3137" i="36"/>
  <c r="A3137" i="36"/>
  <c r="B3136" i="36"/>
  <c r="A3136" i="36"/>
  <c r="B3135" i="36"/>
  <c r="A3135" i="36"/>
  <c r="B3134" i="36"/>
  <c r="A3134" i="36"/>
  <c r="B3133" i="36"/>
  <c r="A3133" i="36"/>
  <c r="B3132" i="36"/>
  <c r="A3132" i="36"/>
  <c r="B3131" i="36"/>
  <c r="A3131" i="36"/>
  <c r="B3130" i="36"/>
  <c r="A3130" i="36"/>
  <c r="B3129" i="36"/>
  <c r="A3129" i="36"/>
  <c r="B3128" i="36"/>
  <c r="A3128" i="36"/>
  <c r="B3127" i="36"/>
  <c r="A3127" i="36"/>
  <c r="B3126" i="36"/>
  <c r="A3126" i="36"/>
  <c r="B3125" i="36"/>
  <c r="A3125" i="36"/>
  <c r="B3124" i="36"/>
  <c r="A3124" i="36"/>
  <c r="B3123" i="36"/>
  <c r="A3123" i="36"/>
  <c r="B3122" i="36"/>
  <c r="A3122" i="36"/>
  <c r="B3121" i="36"/>
  <c r="A3121" i="36"/>
  <c r="B3120" i="36"/>
  <c r="A3120" i="36"/>
  <c r="B3119" i="36"/>
  <c r="A3119" i="36"/>
  <c r="B3118" i="36"/>
  <c r="A3118" i="36"/>
  <c r="B3117" i="36"/>
  <c r="A3117" i="36"/>
  <c r="B3116" i="36"/>
  <c r="A3116" i="36"/>
  <c r="B3115" i="36"/>
  <c r="A3115" i="36"/>
  <c r="B3114" i="36"/>
  <c r="A3114" i="36"/>
  <c r="B3113" i="36"/>
  <c r="A3113" i="36"/>
  <c r="B3112" i="36"/>
  <c r="A3112" i="36"/>
  <c r="B3111" i="36"/>
  <c r="A3111" i="36"/>
  <c r="B3110" i="36"/>
  <c r="A3110" i="36"/>
  <c r="B3109" i="36"/>
  <c r="A3109" i="36"/>
  <c r="B3108" i="36"/>
  <c r="A3108" i="36"/>
  <c r="B3107" i="36"/>
  <c r="A3107" i="36"/>
  <c r="B3106" i="36"/>
  <c r="A3106" i="36"/>
  <c r="B3105" i="36"/>
  <c r="A3105" i="36"/>
  <c r="B3104" i="36"/>
  <c r="A3104" i="36"/>
  <c r="B3103" i="36"/>
  <c r="A3103" i="36"/>
  <c r="B3102" i="36"/>
  <c r="A3102" i="36"/>
  <c r="B3101" i="36"/>
  <c r="A3101" i="36"/>
  <c r="B3100" i="36"/>
  <c r="A3100" i="36"/>
  <c r="B3099" i="36"/>
  <c r="A3099" i="36"/>
  <c r="B3098" i="36"/>
  <c r="A3098" i="36"/>
  <c r="B3097" i="36"/>
  <c r="A3097" i="36"/>
  <c r="B3096" i="36"/>
  <c r="A3096" i="36"/>
  <c r="B3095" i="36"/>
  <c r="A3095" i="36"/>
  <c r="B3094" i="36"/>
  <c r="A3094" i="36"/>
  <c r="B3093" i="36"/>
  <c r="A3093" i="36"/>
  <c r="B3092" i="36"/>
  <c r="A3092" i="36"/>
  <c r="B3091" i="36"/>
  <c r="A3091" i="36"/>
  <c r="B3090" i="36"/>
  <c r="A3090" i="36"/>
  <c r="B3089" i="36"/>
  <c r="A3089" i="36"/>
  <c r="B3088" i="36"/>
  <c r="A3088" i="36"/>
  <c r="B3087" i="36"/>
  <c r="A3087" i="36"/>
  <c r="B3086" i="36"/>
  <c r="A3086" i="36"/>
  <c r="B3085" i="36"/>
  <c r="A3085" i="36"/>
  <c r="B3084" i="36"/>
  <c r="A3084" i="36"/>
  <c r="B3083" i="36"/>
  <c r="A3083" i="36"/>
  <c r="B3082" i="36"/>
  <c r="A3082" i="36"/>
  <c r="B3081" i="36"/>
  <c r="A3081" i="36"/>
  <c r="B3080" i="36"/>
  <c r="A3080" i="36"/>
  <c r="B3079" i="36"/>
  <c r="A3079" i="36"/>
  <c r="B3078" i="36"/>
  <c r="A3078" i="36"/>
  <c r="B3077" i="36"/>
  <c r="A3077" i="36"/>
  <c r="B3076" i="36"/>
  <c r="A3076" i="36"/>
  <c r="B3075" i="36"/>
  <c r="A3075" i="36"/>
  <c r="B3074" i="36"/>
  <c r="A3074" i="36"/>
  <c r="B3073" i="36"/>
  <c r="A3073" i="36"/>
  <c r="B3072" i="36"/>
  <c r="A3072" i="36"/>
  <c r="B3071" i="36"/>
  <c r="A3071" i="36"/>
  <c r="B3070" i="36"/>
  <c r="A3070" i="36"/>
  <c r="B3069" i="36"/>
  <c r="A3069" i="36"/>
  <c r="B3068" i="36"/>
  <c r="A3068" i="36"/>
  <c r="B3067" i="36"/>
  <c r="A3067" i="36"/>
  <c r="B3066" i="36"/>
  <c r="A3066" i="36"/>
  <c r="B3065" i="36"/>
  <c r="A3065" i="36"/>
  <c r="B3064" i="36"/>
  <c r="A3064" i="36"/>
  <c r="B3063" i="36"/>
  <c r="A3063" i="36"/>
  <c r="B3062" i="36"/>
  <c r="A3062" i="36"/>
  <c r="B3061" i="36"/>
  <c r="A3061" i="36"/>
  <c r="B3060" i="36"/>
  <c r="A3060" i="36"/>
  <c r="B3059" i="36"/>
  <c r="A3059" i="36"/>
  <c r="B3058" i="36"/>
  <c r="A3058" i="36"/>
  <c r="B3057" i="36"/>
  <c r="A3057" i="36"/>
  <c r="B3056" i="36"/>
  <c r="A3056" i="36"/>
  <c r="B3055" i="36"/>
  <c r="A3055" i="36"/>
  <c r="B3054" i="36"/>
  <c r="A3054" i="36"/>
  <c r="B3053" i="36"/>
  <c r="A3053" i="36"/>
  <c r="B3052" i="36"/>
  <c r="A3052" i="36"/>
  <c r="B3051" i="36"/>
  <c r="A3051" i="36"/>
  <c r="B3050" i="36"/>
  <c r="A3050" i="36"/>
  <c r="B3049" i="36"/>
  <c r="A3049" i="36"/>
  <c r="B3048" i="36"/>
  <c r="A3048" i="36"/>
  <c r="B3047" i="36"/>
  <c r="A3047" i="36"/>
  <c r="B3046" i="36"/>
  <c r="A3046" i="36"/>
  <c r="B3045" i="36"/>
  <c r="A3045" i="36"/>
  <c r="B3044" i="36"/>
  <c r="A3044" i="36"/>
  <c r="B3043" i="36"/>
  <c r="A3043" i="36"/>
  <c r="B3042" i="36"/>
  <c r="A3042" i="36"/>
  <c r="B3041" i="36"/>
  <c r="A3041" i="36"/>
  <c r="B3040" i="36"/>
  <c r="A3040" i="36"/>
  <c r="B3039" i="36"/>
  <c r="A3039" i="36"/>
  <c r="B3038" i="36"/>
  <c r="A3038" i="36"/>
  <c r="B3037" i="36"/>
  <c r="A3037" i="36"/>
  <c r="B3036" i="36"/>
  <c r="A3036" i="36"/>
  <c r="B3035" i="36"/>
  <c r="A3035" i="36"/>
  <c r="B3034" i="36"/>
  <c r="A3034" i="36"/>
  <c r="B3033" i="36"/>
  <c r="A3033" i="36"/>
  <c r="B3032" i="36"/>
  <c r="A3032" i="36"/>
  <c r="B3031" i="36"/>
  <c r="A3031" i="36"/>
  <c r="B3030" i="36"/>
  <c r="A3030" i="36"/>
  <c r="B3029" i="36"/>
  <c r="A3029" i="36"/>
  <c r="B3028" i="36"/>
  <c r="A3028" i="36"/>
  <c r="B3027" i="36"/>
  <c r="A3027" i="36"/>
  <c r="B3026" i="36"/>
  <c r="A3026" i="36"/>
  <c r="B3025" i="36"/>
  <c r="A3025" i="36"/>
  <c r="B3024" i="36"/>
  <c r="A3024" i="36"/>
  <c r="B3023" i="36"/>
  <c r="A3023" i="36"/>
  <c r="B3022" i="36"/>
  <c r="A3022" i="36"/>
  <c r="B3021" i="36"/>
  <c r="A3021" i="36"/>
  <c r="B3020" i="36"/>
  <c r="A3020" i="36"/>
  <c r="B3019" i="36"/>
  <c r="A3019" i="36"/>
  <c r="B3018" i="36"/>
  <c r="A3018" i="36"/>
  <c r="B3017" i="36"/>
  <c r="A3017" i="36"/>
  <c r="B3016" i="36"/>
  <c r="A3016" i="36"/>
  <c r="B3015" i="36"/>
  <c r="A3015" i="36"/>
  <c r="B3014" i="36"/>
  <c r="A3014" i="36"/>
  <c r="B3013" i="36"/>
  <c r="A3013" i="36"/>
  <c r="B3012" i="36"/>
  <c r="A3012" i="36"/>
  <c r="B3011" i="36"/>
  <c r="A3011" i="36"/>
  <c r="B3010" i="36"/>
  <c r="A3010" i="36"/>
  <c r="B3009" i="36"/>
  <c r="A3009" i="36"/>
  <c r="B3008" i="36"/>
  <c r="A3008" i="36"/>
  <c r="B3007" i="36"/>
  <c r="A3007" i="36"/>
  <c r="B3006" i="36"/>
  <c r="A3006" i="36"/>
  <c r="B3005" i="36"/>
  <c r="A3005" i="36"/>
  <c r="B3004" i="36"/>
  <c r="A3004" i="36"/>
  <c r="B3003" i="36"/>
  <c r="A3003" i="36"/>
  <c r="B3002" i="36"/>
  <c r="A3002" i="36"/>
  <c r="B3001" i="36"/>
  <c r="A3001" i="36"/>
  <c r="B3000" i="36"/>
  <c r="A3000" i="36"/>
  <c r="B2999" i="36"/>
  <c r="A2999" i="36"/>
  <c r="B2998" i="36"/>
  <c r="A2998" i="36"/>
  <c r="B2997" i="36"/>
  <c r="A2997" i="36"/>
  <c r="B2996" i="36"/>
  <c r="A2996" i="36"/>
  <c r="B2995" i="36"/>
  <c r="A2995" i="36"/>
  <c r="B2994" i="36"/>
  <c r="A2994" i="36"/>
  <c r="B2993" i="36"/>
  <c r="A2993" i="36"/>
  <c r="B2992" i="36"/>
  <c r="A2992" i="36"/>
  <c r="B2991" i="36"/>
  <c r="A2991" i="36"/>
  <c r="B2990" i="36"/>
  <c r="A2990" i="36"/>
  <c r="B2989" i="36"/>
  <c r="A2989" i="36"/>
  <c r="B2988" i="36"/>
  <c r="A2988" i="36"/>
  <c r="B2987" i="36"/>
  <c r="A2987" i="36"/>
  <c r="B2986" i="36"/>
  <c r="A2986" i="36"/>
  <c r="B2985" i="36"/>
  <c r="A2985" i="36"/>
  <c r="B2984" i="36"/>
  <c r="A2984" i="36"/>
  <c r="B2983" i="36"/>
  <c r="A2983" i="36"/>
  <c r="B2982" i="36"/>
  <c r="A2982" i="36"/>
  <c r="B2981" i="36"/>
  <c r="A2981" i="36"/>
  <c r="B2980" i="36"/>
  <c r="A2980" i="36"/>
  <c r="B2979" i="36"/>
  <c r="A2979" i="36"/>
  <c r="B2978" i="36"/>
  <c r="A2978" i="36"/>
  <c r="B2977" i="36"/>
  <c r="A2977" i="36"/>
  <c r="B2976" i="36"/>
  <c r="A2976" i="36"/>
  <c r="B2975" i="36"/>
  <c r="A2975" i="36"/>
  <c r="B2974" i="36"/>
  <c r="A2974" i="36"/>
  <c r="B2973" i="36"/>
  <c r="A2973" i="36"/>
  <c r="B2972" i="36"/>
  <c r="A2972" i="36"/>
  <c r="B2971" i="36"/>
  <c r="A2971" i="36"/>
  <c r="B2970" i="36"/>
  <c r="A2970" i="36"/>
  <c r="B2969" i="36"/>
  <c r="A2969" i="36"/>
  <c r="B2968" i="36"/>
  <c r="A2968" i="36"/>
  <c r="B2967" i="36"/>
  <c r="A2967" i="36"/>
  <c r="B2966" i="36"/>
  <c r="A2966" i="36"/>
  <c r="B2965" i="36"/>
  <c r="A2965" i="36"/>
  <c r="B2964" i="36"/>
  <c r="A2964" i="36"/>
  <c r="B2963" i="36"/>
  <c r="A2963" i="36"/>
  <c r="B2962" i="36"/>
  <c r="A2962" i="36"/>
  <c r="B2961" i="36"/>
  <c r="A2961" i="36"/>
  <c r="B2960" i="36"/>
  <c r="A2960" i="36"/>
  <c r="B2959" i="36"/>
  <c r="A2959" i="36"/>
  <c r="B2958" i="36"/>
  <c r="A2958" i="36"/>
  <c r="B2957" i="36"/>
  <c r="A2957" i="36"/>
  <c r="B2956" i="36"/>
  <c r="A2956" i="36"/>
  <c r="B2955" i="36"/>
  <c r="A2955" i="36"/>
  <c r="B2954" i="36"/>
  <c r="A2954" i="36"/>
  <c r="B2953" i="36"/>
  <c r="A2953" i="36"/>
  <c r="B2952" i="36"/>
  <c r="A2952" i="36"/>
  <c r="B2951" i="36"/>
  <c r="A2951" i="36"/>
  <c r="B2950" i="36"/>
  <c r="A2950" i="36"/>
  <c r="B2949" i="36"/>
  <c r="A2949" i="36"/>
  <c r="B2948" i="36"/>
  <c r="A2948" i="36"/>
  <c r="B2947" i="36"/>
  <c r="A2947" i="36"/>
  <c r="B2946" i="36"/>
  <c r="A2946" i="36"/>
  <c r="B2945" i="36"/>
  <c r="A2945" i="36"/>
  <c r="B2944" i="36"/>
  <c r="A2944" i="36"/>
  <c r="B2943" i="36"/>
  <c r="A2943" i="36"/>
  <c r="B2942" i="36"/>
  <c r="A2942" i="36"/>
  <c r="B2941" i="36"/>
  <c r="A2941" i="36"/>
  <c r="B2940" i="36"/>
  <c r="A2940" i="36"/>
  <c r="B2939" i="36"/>
  <c r="A2939" i="36"/>
  <c r="B2938" i="36"/>
  <c r="A2938" i="36"/>
  <c r="B2937" i="36"/>
  <c r="A2937" i="36"/>
  <c r="B2936" i="36"/>
  <c r="A2936" i="36"/>
  <c r="B2935" i="36"/>
  <c r="A2935" i="36"/>
  <c r="B2934" i="36"/>
  <c r="A2934" i="36"/>
  <c r="B2933" i="36"/>
  <c r="A2933" i="36"/>
  <c r="B2932" i="36"/>
  <c r="A2932" i="36"/>
  <c r="B2931" i="36"/>
  <c r="A2931" i="36"/>
  <c r="B2930" i="36"/>
  <c r="A2930" i="36"/>
  <c r="B2929" i="36"/>
  <c r="A2929" i="36"/>
  <c r="B2928" i="36"/>
  <c r="A2928" i="36"/>
  <c r="B2927" i="36"/>
  <c r="A2927" i="36"/>
  <c r="B2926" i="36"/>
  <c r="A2926" i="36"/>
  <c r="B2925" i="36"/>
  <c r="A2925" i="36"/>
  <c r="B2924" i="36"/>
  <c r="A2924" i="36"/>
  <c r="B2923" i="36"/>
  <c r="A2923" i="36"/>
  <c r="B2922" i="36"/>
  <c r="A2922" i="36"/>
  <c r="B2921" i="36"/>
  <c r="A2921" i="36"/>
  <c r="B2920" i="36"/>
  <c r="A2920" i="36"/>
  <c r="B2919" i="36"/>
  <c r="A2919" i="36"/>
  <c r="B2918" i="36"/>
  <c r="A2918" i="36"/>
  <c r="B2917" i="36"/>
  <c r="A2917" i="36"/>
  <c r="B2916" i="36"/>
  <c r="A2916" i="36"/>
  <c r="B2915" i="36"/>
  <c r="A2915" i="36"/>
  <c r="B2914" i="36"/>
  <c r="A2914" i="36"/>
  <c r="B2913" i="36"/>
  <c r="A2913" i="36"/>
  <c r="B2912" i="36"/>
  <c r="A2912" i="36"/>
  <c r="B2911" i="36"/>
  <c r="A2911" i="36"/>
  <c r="B2910" i="36"/>
  <c r="A2910" i="36"/>
  <c r="B2909" i="36"/>
  <c r="A2909" i="36"/>
  <c r="B2908" i="36"/>
  <c r="A2908" i="36"/>
  <c r="B2907" i="36"/>
  <c r="A2907" i="36"/>
  <c r="B2906" i="36"/>
  <c r="A2906" i="36"/>
  <c r="B2905" i="36"/>
  <c r="A2905" i="36"/>
  <c r="B2904" i="36"/>
  <c r="A2904" i="36"/>
  <c r="B2903" i="36"/>
  <c r="A2903" i="36"/>
  <c r="B2902" i="36"/>
  <c r="A2902" i="36"/>
  <c r="B2901" i="36"/>
  <c r="A2901" i="36"/>
  <c r="B2900" i="36"/>
  <c r="A2900" i="36"/>
  <c r="B2899" i="36"/>
  <c r="A2899" i="36"/>
  <c r="B2898" i="36"/>
  <c r="A2898" i="36"/>
  <c r="B2897" i="36"/>
  <c r="A2897" i="36"/>
  <c r="B2896" i="36"/>
  <c r="A2896" i="36"/>
  <c r="B2895" i="36"/>
  <c r="A2895" i="36"/>
  <c r="B2894" i="36"/>
  <c r="A2894" i="36"/>
  <c r="B2893" i="36"/>
  <c r="A2893" i="36"/>
  <c r="B2892" i="36"/>
  <c r="A2892" i="36"/>
  <c r="B2891" i="36"/>
  <c r="A2891" i="36"/>
  <c r="B2890" i="36"/>
  <c r="A2890" i="36"/>
  <c r="B2889" i="36"/>
  <c r="A2889" i="36"/>
  <c r="B2888" i="36"/>
  <c r="A2888" i="36"/>
  <c r="B2887" i="36"/>
  <c r="A2887" i="36"/>
  <c r="B2886" i="36"/>
  <c r="A2886" i="36"/>
  <c r="B2885" i="36"/>
  <c r="A2885" i="36"/>
  <c r="B2884" i="36"/>
  <c r="A2884" i="36"/>
  <c r="B2883" i="36"/>
  <c r="A2883" i="36"/>
  <c r="B2882" i="36"/>
  <c r="A2882" i="36"/>
  <c r="B2881" i="36"/>
  <c r="A2881" i="36"/>
  <c r="B2880" i="36"/>
  <c r="A2880" i="36"/>
  <c r="B2879" i="36"/>
  <c r="A2879" i="36"/>
  <c r="B2878" i="36"/>
  <c r="A2878" i="36"/>
  <c r="B2877" i="36"/>
  <c r="A2877" i="36"/>
  <c r="B2876" i="36"/>
  <c r="A2876" i="36"/>
  <c r="B2875" i="36"/>
  <c r="A2875" i="36"/>
  <c r="B2874" i="36"/>
  <c r="A2874" i="36"/>
  <c r="B2873" i="36"/>
  <c r="A2873" i="36"/>
  <c r="B2872" i="36"/>
  <c r="A2872" i="36"/>
  <c r="B2871" i="36"/>
  <c r="A2871" i="36"/>
  <c r="B2870" i="36"/>
  <c r="A2870" i="36"/>
  <c r="B2869" i="36"/>
  <c r="A2869" i="36"/>
  <c r="B2868" i="36"/>
  <c r="A2868" i="36"/>
  <c r="B2867" i="36"/>
  <c r="A2867" i="36"/>
  <c r="B2866" i="36"/>
  <c r="A2866" i="36"/>
  <c r="B2865" i="36"/>
  <c r="A2865" i="36"/>
  <c r="B2864" i="36"/>
  <c r="A2864" i="36"/>
  <c r="B2863" i="36"/>
  <c r="A2863" i="36"/>
  <c r="B2862" i="36"/>
  <c r="A2862" i="36"/>
  <c r="B2861" i="36"/>
  <c r="A2861" i="36"/>
  <c r="B2860" i="36"/>
  <c r="A2860" i="36"/>
  <c r="B2859" i="36"/>
  <c r="A2859" i="36"/>
  <c r="B2858" i="36"/>
  <c r="A2858" i="36"/>
  <c r="B2857" i="36"/>
  <c r="A2857" i="36"/>
  <c r="B2856" i="36"/>
  <c r="A2856" i="36"/>
  <c r="B2855" i="36"/>
  <c r="A2855" i="36"/>
  <c r="B2854" i="36"/>
  <c r="A2854" i="36"/>
  <c r="B2853" i="36"/>
  <c r="A2853" i="36"/>
  <c r="B2852" i="36"/>
  <c r="A2852" i="36"/>
  <c r="B2851" i="36"/>
  <c r="A2851" i="36"/>
  <c r="B2850" i="36"/>
  <c r="A2850" i="36"/>
  <c r="B2849" i="36"/>
  <c r="A2849" i="36"/>
  <c r="B2848" i="36"/>
  <c r="A2848" i="36"/>
  <c r="B2847" i="36"/>
  <c r="A2847" i="36"/>
  <c r="B2846" i="36"/>
  <c r="A2846" i="36"/>
  <c r="B2845" i="36"/>
  <c r="A2845" i="36"/>
  <c r="B2844" i="36"/>
  <c r="A2844" i="36"/>
  <c r="B2843" i="36"/>
  <c r="A2843" i="36"/>
  <c r="B2842" i="36"/>
  <c r="A2842" i="36"/>
  <c r="B2841" i="36"/>
  <c r="A2841" i="36"/>
  <c r="B2840" i="36"/>
  <c r="A2840" i="36"/>
  <c r="B2839" i="36"/>
  <c r="A2839" i="36"/>
  <c r="B2838" i="36"/>
  <c r="A2838" i="36"/>
  <c r="B2837" i="36"/>
  <c r="A2837" i="36"/>
  <c r="B2836" i="36"/>
  <c r="A2836" i="36"/>
  <c r="B2835" i="36"/>
  <c r="A2835" i="36"/>
  <c r="B2834" i="36"/>
  <c r="A2834" i="36"/>
  <c r="B2833" i="36"/>
  <c r="A2833" i="36"/>
  <c r="B2832" i="36"/>
  <c r="A2832" i="36"/>
  <c r="B2831" i="36"/>
  <c r="A2831" i="36"/>
  <c r="B2830" i="36"/>
  <c r="A2830" i="36"/>
  <c r="B2829" i="36"/>
  <c r="A2829" i="36"/>
  <c r="B2828" i="36"/>
  <c r="A2828" i="36"/>
  <c r="B2827" i="36"/>
  <c r="A2827" i="36"/>
  <c r="B2826" i="36"/>
  <c r="A2826" i="36"/>
  <c r="B2825" i="36"/>
  <c r="A2825" i="36"/>
  <c r="B2824" i="36"/>
  <c r="A2824" i="36"/>
  <c r="B2823" i="36"/>
  <c r="A2823" i="36"/>
  <c r="B2822" i="36"/>
  <c r="A2822" i="36"/>
  <c r="B2821" i="36"/>
  <c r="A2821" i="36"/>
  <c r="B2820" i="36"/>
  <c r="A2820" i="36"/>
  <c r="B2819" i="36"/>
  <c r="A2819" i="36"/>
  <c r="B2818" i="36"/>
  <c r="A2818" i="36"/>
  <c r="B2817" i="36"/>
  <c r="A2817" i="36"/>
  <c r="B2816" i="36"/>
  <c r="A2816" i="36"/>
  <c r="B2815" i="36"/>
  <c r="A2815" i="36"/>
  <c r="B2814" i="36"/>
  <c r="A2814" i="36"/>
  <c r="B2813" i="36"/>
  <c r="A2813" i="36"/>
  <c r="B2812" i="36"/>
  <c r="A2812" i="36"/>
  <c r="B2811" i="36"/>
  <c r="A2811" i="36"/>
  <c r="B2810" i="36"/>
  <c r="A2810" i="36"/>
  <c r="B2809" i="36"/>
  <c r="A2809" i="36"/>
  <c r="B2808" i="36"/>
  <c r="A2808" i="36"/>
  <c r="B2807" i="36"/>
  <c r="A2807" i="36"/>
  <c r="B2806" i="36"/>
  <c r="A2806" i="36"/>
  <c r="B2805" i="36"/>
  <c r="A2805" i="36"/>
  <c r="B2804" i="36"/>
  <c r="A2804" i="36"/>
  <c r="B2803" i="36"/>
  <c r="A2803" i="36"/>
  <c r="B2802" i="36"/>
  <c r="A2802" i="36"/>
  <c r="B2801" i="36"/>
  <c r="A2801" i="36"/>
  <c r="B2800" i="36"/>
  <c r="A2800" i="36"/>
  <c r="B2799" i="36"/>
  <c r="A2799" i="36"/>
  <c r="B2798" i="36"/>
  <c r="A2798" i="36"/>
  <c r="B2797" i="36"/>
  <c r="A2797" i="36"/>
  <c r="B2796" i="36"/>
  <c r="A2796" i="36"/>
  <c r="B2795" i="36"/>
  <c r="A2795" i="36"/>
  <c r="B2794" i="36"/>
  <c r="A2794" i="36"/>
  <c r="B2793" i="36"/>
  <c r="A2793" i="36"/>
  <c r="B2792" i="36"/>
  <c r="A2792" i="36"/>
  <c r="B2791" i="36"/>
  <c r="A2791" i="36"/>
  <c r="B2790" i="36"/>
  <c r="A2790" i="36"/>
  <c r="B2789" i="36"/>
  <c r="A2789" i="36"/>
  <c r="B2788" i="36"/>
  <c r="A2788" i="36"/>
  <c r="B2787" i="36"/>
  <c r="A2787" i="36"/>
  <c r="B2786" i="36"/>
  <c r="A2786" i="36"/>
  <c r="B2785" i="36"/>
  <c r="A2785" i="36"/>
  <c r="B2784" i="36"/>
  <c r="A2784" i="36"/>
  <c r="B2783" i="36"/>
  <c r="A2783" i="36"/>
  <c r="B2782" i="36"/>
  <c r="A2782" i="36"/>
  <c r="B2781" i="36"/>
  <c r="A2781" i="36"/>
  <c r="B2780" i="36"/>
  <c r="A2780" i="36"/>
  <c r="B2779" i="36"/>
  <c r="A2779" i="36"/>
  <c r="B2778" i="36"/>
  <c r="A2778" i="36"/>
  <c r="B2777" i="36"/>
  <c r="A2777" i="36"/>
  <c r="B2776" i="36"/>
  <c r="A2776" i="36"/>
  <c r="B2775" i="36"/>
  <c r="A2775" i="36"/>
  <c r="B2774" i="36"/>
  <c r="A2774" i="36"/>
  <c r="B2773" i="36"/>
  <c r="A2773" i="36"/>
  <c r="B2772" i="36"/>
  <c r="A2772" i="36"/>
  <c r="B2771" i="36"/>
  <c r="A2771" i="36"/>
  <c r="B2770" i="36"/>
  <c r="A2770" i="36"/>
  <c r="B2769" i="36"/>
  <c r="A2769" i="36"/>
  <c r="B2768" i="36"/>
  <c r="A2768" i="36"/>
  <c r="B2767" i="36"/>
  <c r="A2767" i="36"/>
  <c r="B2766" i="36"/>
  <c r="A2766" i="36"/>
  <c r="B2765" i="36"/>
  <c r="A2765" i="36"/>
  <c r="B2764" i="36"/>
  <c r="A2764" i="36"/>
  <c r="B2763" i="36"/>
  <c r="A2763" i="36"/>
  <c r="B2762" i="36"/>
  <c r="A2762" i="36"/>
  <c r="B2761" i="36"/>
  <c r="A2761" i="36"/>
  <c r="B2760" i="36"/>
  <c r="A2760" i="36"/>
  <c r="B2759" i="36"/>
  <c r="A2759" i="36"/>
  <c r="B2758" i="36"/>
  <c r="A2758" i="36"/>
  <c r="B2757" i="36"/>
  <c r="A2757" i="36"/>
  <c r="B2756" i="36"/>
  <c r="A2756" i="36"/>
  <c r="B2755" i="36"/>
  <c r="A2755" i="36"/>
  <c r="B2754" i="36"/>
  <c r="A2754" i="36"/>
  <c r="B2753" i="36"/>
  <c r="A2753" i="36"/>
  <c r="B2752" i="36"/>
  <c r="A2752" i="36"/>
  <c r="B2751" i="36"/>
  <c r="A2751" i="36"/>
  <c r="B2750" i="36"/>
  <c r="A2750" i="36"/>
  <c r="B2749" i="36"/>
  <c r="A2749" i="36"/>
  <c r="B2748" i="36"/>
  <c r="A2748" i="36"/>
  <c r="B2747" i="36"/>
  <c r="A2747" i="36"/>
  <c r="B2746" i="36"/>
  <c r="A2746" i="36"/>
  <c r="B2745" i="36"/>
  <c r="A2745" i="36"/>
  <c r="B2744" i="36"/>
  <c r="A2744" i="36"/>
  <c r="B2743" i="36"/>
  <c r="A2743" i="36"/>
  <c r="B2742" i="36"/>
  <c r="A2742" i="36"/>
  <c r="B2741" i="36"/>
  <c r="A2741" i="36"/>
  <c r="B2740" i="36"/>
  <c r="A2740" i="36"/>
  <c r="B2739" i="36"/>
  <c r="A2739" i="36"/>
  <c r="B2738" i="36"/>
  <c r="A2738" i="36"/>
  <c r="B2737" i="36"/>
  <c r="A2737" i="36"/>
  <c r="B2736" i="36"/>
  <c r="A2736" i="36"/>
  <c r="B2735" i="36"/>
  <c r="A2735" i="36"/>
  <c r="B2734" i="36"/>
  <c r="A2734" i="36"/>
  <c r="B2733" i="36"/>
  <c r="A2733" i="36"/>
  <c r="B2732" i="36"/>
  <c r="A2732" i="36"/>
  <c r="B2731" i="36"/>
  <c r="A2731" i="36"/>
  <c r="B2730" i="36"/>
  <c r="A2730" i="36"/>
  <c r="B2729" i="36"/>
  <c r="A2729" i="36"/>
  <c r="B2728" i="36"/>
  <c r="A2728" i="36"/>
  <c r="B2727" i="36"/>
  <c r="A2727" i="36"/>
  <c r="B2726" i="36"/>
  <c r="A2726" i="36"/>
  <c r="B2725" i="36"/>
  <c r="A2725" i="36"/>
  <c r="B2724" i="36"/>
  <c r="A2724" i="36"/>
  <c r="B2723" i="36"/>
  <c r="A2723" i="36"/>
  <c r="B2722" i="36"/>
  <c r="A2722" i="36"/>
  <c r="B2721" i="36"/>
  <c r="A2721" i="36"/>
  <c r="B2720" i="36"/>
  <c r="A2720" i="36"/>
  <c r="B2719" i="36"/>
  <c r="A2719" i="36"/>
  <c r="B2718" i="36"/>
  <c r="A2718" i="36"/>
  <c r="B2717" i="36"/>
  <c r="A2717" i="36"/>
  <c r="B2716" i="36"/>
  <c r="A2716" i="36"/>
  <c r="B2715" i="36"/>
  <c r="A2715" i="36"/>
  <c r="B2714" i="36"/>
  <c r="A2714" i="36"/>
  <c r="B2713" i="36"/>
  <c r="A2713" i="36"/>
  <c r="B2712" i="36"/>
  <c r="A2712" i="36"/>
  <c r="B2711" i="36"/>
  <c r="A2711" i="36"/>
  <c r="B2710" i="36"/>
  <c r="A2710" i="36"/>
  <c r="B2709" i="36"/>
  <c r="A2709" i="36"/>
  <c r="B2708" i="36"/>
  <c r="A2708" i="36"/>
  <c r="B2707" i="36"/>
  <c r="A2707" i="36"/>
  <c r="B2706" i="36"/>
  <c r="A2706" i="36"/>
  <c r="B2705" i="36"/>
  <c r="A2705" i="36"/>
  <c r="B2704" i="36"/>
  <c r="A2704" i="36"/>
  <c r="B2703" i="36"/>
  <c r="A2703" i="36"/>
  <c r="B2702" i="36"/>
  <c r="A2702" i="36"/>
  <c r="B2701" i="36"/>
  <c r="A2701" i="36"/>
  <c r="B2700" i="36"/>
  <c r="A2700" i="36"/>
  <c r="B2699" i="36"/>
  <c r="A2699" i="36"/>
  <c r="B2698" i="36"/>
  <c r="A2698" i="36"/>
  <c r="B2697" i="36"/>
  <c r="A2697" i="36"/>
  <c r="B2696" i="36"/>
  <c r="A2696" i="36"/>
  <c r="B2695" i="36"/>
  <c r="A2695" i="36"/>
  <c r="B2694" i="36"/>
  <c r="A2694" i="36"/>
  <c r="B2693" i="36"/>
  <c r="A2693" i="36"/>
  <c r="B2692" i="36"/>
  <c r="A2692" i="36"/>
  <c r="B2691" i="36"/>
  <c r="A2691" i="36"/>
  <c r="B2690" i="36"/>
  <c r="A2690" i="36"/>
  <c r="B2689" i="36"/>
  <c r="A2689" i="36"/>
  <c r="B2688" i="36"/>
  <c r="A2688" i="36"/>
  <c r="B2687" i="36"/>
  <c r="A2687" i="36"/>
  <c r="B2686" i="36"/>
  <c r="A2686" i="36"/>
  <c r="B2685" i="36"/>
  <c r="A2685" i="36"/>
  <c r="B2684" i="36"/>
  <c r="A2684" i="36"/>
  <c r="B2683" i="36"/>
  <c r="A2683" i="36"/>
  <c r="B2682" i="36"/>
  <c r="A2682" i="36"/>
  <c r="B2681" i="36"/>
  <c r="A2681" i="36"/>
  <c r="B2680" i="36"/>
  <c r="A2680" i="36"/>
  <c r="B2679" i="36"/>
  <c r="A2679" i="36"/>
  <c r="B2678" i="36"/>
  <c r="A2678" i="36"/>
  <c r="B2677" i="36"/>
  <c r="A2677" i="36"/>
  <c r="B2676" i="36"/>
  <c r="A2676" i="36"/>
  <c r="B2675" i="36"/>
  <c r="A2675" i="36"/>
  <c r="B2674" i="36"/>
  <c r="A2674" i="36"/>
  <c r="B2673" i="36"/>
  <c r="A2673" i="36"/>
  <c r="B2672" i="36"/>
  <c r="A2672" i="36"/>
  <c r="B2671" i="36"/>
  <c r="A2671" i="36"/>
  <c r="B2670" i="36"/>
  <c r="A2670" i="36"/>
  <c r="B2669" i="36"/>
  <c r="A2669" i="36"/>
  <c r="B2668" i="36"/>
  <c r="A2668" i="36"/>
  <c r="B2667" i="36"/>
  <c r="A2667" i="36"/>
  <c r="B2666" i="36"/>
  <c r="A2666" i="36"/>
  <c r="B2665" i="36"/>
  <c r="A2665" i="36"/>
  <c r="B2664" i="36"/>
  <c r="A2664" i="36"/>
  <c r="B2663" i="36"/>
  <c r="A2663" i="36"/>
  <c r="B2662" i="36"/>
  <c r="A2662" i="36"/>
  <c r="B2661" i="36"/>
  <c r="A2661" i="36"/>
  <c r="B2660" i="36"/>
  <c r="A2660" i="36"/>
  <c r="B2659" i="36"/>
  <c r="A2659" i="36"/>
  <c r="B2658" i="36"/>
  <c r="A2658" i="36"/>
  <c r="B2657" i="36"/>
  <c r="A2657" i="36"/>
  <c r="B2656" i="36"/>
  <c r="A2656" i="36"/>
  <c r="B2655" i="36"/>
  <c r="A2655" i="36"/>
  <c r="B2654" i="36"/>
  <c r="A2654" i="36"/>
  <c r="B2653" i="36"/>
  <c r="A2653" i="36"/>
  <c r="B2652" i="36"/>
  <c r="A2652" i="36"/>
  <c r="B2651" i="36"/>
  <c r="A2651" i="36"/>
  <c r="B2650" i="36"/>
  <c r="A2650" i="36"/>
  <c r="B2649" i="36"/>
  <c r="A2649" i="36"/>
  <c r="B2648" i="36"/>
  <c r="A2648" i="36"/>
  <c r="B2647" i="36"/>
  <c r="A2647" i="36"/>
  <c r="B2646" i="36"/>
  <c r="A2646" i="36"/>
  <c r="B2645" i="36"/>
  <c r="A2645" i="36"/>
  <c r="B2644" i="36"/>
  <c r="A2644" i="36"/>
  <c r="B2643" i="36"/>
  <c r="A2643" i="36"/>
  <c r="B2642" i="36"/>
  <c r="A2642" i="36"/>
  <c r="B2641" i="36"/>
  <c r="A2641" i="36"/>
  <c r="B2640" i="36"/>
  <c r="A2640" i="36"/>
  <c r="B2639" i="36"/>
  <c r="A2639" i="36"/>
  <c r="B2638" i="36"/>
  <c r="A2638" i="36"/>
  <c r="B2637" i="36"/>
  <c r="A2637" i="36"/>
  <c r="B2636" i="36"/>
  <c r="A2636" i="36"/>
  <c r="B2635" i="36"/>
  <c r="A2635" i="36"/>
  <c r="B2634" i="36"/>
  <c r="A2634" i="36"/>
  <c r="B2633" i="36"/>
  <c r="A2633" i="36"/>
  <c r="B2632" i="36"/>
  <c r="A2632" i="36"/>
  <c r="B2631" i="36"/>
  <c r="A2631" i="36"/>
  <c r="B2630" i="36"/>
  <c r="A2630" i="36"/>
  <c r="B2629" i="36"/>
  <c r="A2629" i="36"/>
  <c r="B2628" i="36"/>
  <c r="A2628" i="36"/>
  <c r="B2627" i="36"/>
  <c r="A2627" i="36"/>
  <c r="B2626" i="36"/>
  <c r="A2626" i="36"/>
  <c r="B2625" i="36"/>
  <c r="A2625" i="36"/>
  <c r="B2624" i="36"/>
  <c r="A2624" i="36"/>
  <c r="B2623" i="36"/>
  <c r="A2623" i="36"/>
  <c r="B2622" i="36"/>
  <c r="A2622" i="36"/>
  <c r="B2621" i="36"/>
  <c r="A2621" i="36"/>
  <c r="B2620" i="36"/>
  <c r="A2620" i="36"/>
  <c r="B2619" i="36"/>
  <c r="A2619" i="36"/>
  <c r="B2618" i="36"/>
  <c r="A2618" i="36"/>
  <c r="B2617" i="36"/>
  <c r="A2617" i="36"/>
  <c r="B2616" i="36"/>
  <c r="A2616" i="36"/>
  <c r="B2615" i="36"/>
  <c r="A2615" i="36"/>
  <c r="B2614" i="36"/>
  <c r="A2614" i="36"/>
  <c r="B2613" i="36"/>
  <c r="A2613" i="36"/>
  <c r="B2612" i="36"/>
  <c r="A2612" i="36"/>
  <c r="B2611" i="36"/>
  <c r="A2611" i="36"/>
  <c r="B2610" i="36"/>
  <c r="A2610" i="36"/>
  <c r="B2609" i="36"/>
  <c r="A2609" i="36"/>
  <c r="B2608" i="36"/>
  <c r="A2608" i="36"/>
  <c r="B2607" i="36"/>
  <c r="A2607" i="36"/>
  <c r="B2606" i="36"/>
  <c r="A2606" i="36"/>
  <c r="B2605" i="36"/>
  <c r="A2605" i="36"/>
  <c r="B2604" i="36"/>
  <c r="A2604" i="36"/>
  <c r="B2603" i="36"/>
  <c r="A2603" i="36"/>
  <c r="B2602" i="36"/>
  <c r="A2602" i="36"/>
  <c r="B2601" i="36"/>
  <c r="A2601" i="36"/>
  <c r="B2600" i="36"/>
  <c r="A2600" i="36"/>
  <c r="B2599" i="36"/>
  <c r="A2599" i="36"/>
  <c r="B2598" i="36"/>
  <c r="A2598" i="36"/>
  <c r="B2597" i="36"/>
  <c r="A2597" i="36"/>
  <c r="B2596" i="36"/>
  <c r="A2596" i="36"/>
  <c r="B2595" i="36"/>
  <c r="A2595" i="36"/>
  <c r="B2594" i="36"/>
  <c r="A2594" i="36"/>
  <c r="B2593" i="36"/>
  <c r="A2593" i="36"/>
  <c r="B2592" i="36"/>
  <c r="A2592" i="36"/>
  <c r="B2591" i="36"/>
  <c r="A2591" i="36"/>
  <c r="B2590" i="36"/>
  <c r="A2590" i="36"/>
  <c r="B2589" i="36"/>
  <c r="A2589" i="36"/>
  <c r="B2588" i="36"/>
  <c r="A2588" i="36"/>
  <c r="B2587" i="36"/>
  <c r="A2587" i="36"/>
  <c r="B2586" i="36"/>
  <c r="A2586" i="36"/>
  <c r="B2585" i="36"/>
  <c r="A2585" i="36"/>
  <c r="B2584" i="36"/>
  <c r="A2584" i="36"/>
  <c r="B2583" i="36"/>
  <c r="A2583" i="36"/>
  <c r="B2582" i="36"/>
  <c r="A2582" i="36"/>
  <c r="B2581" i="36"/>
  <c r="A2581" i="36"/>
  <c r="B2580" i="36"/>
  <c r="A2580" i="36"/>
  <c r="B2579" i="36"/>
  <c r="A2579" i="36"/>
  <c r="B2578" i="36"/>
  <c r="A2578" i="36"/>
  <c r="B2577" i="36"/>
  <c r="A2577" i="36"/>
  <c r="B2576" i="36"/>
  <c r="A2576" i="36"/>
  <c r="B2575" i="36"/>
  <c r="A2575" i="36"/>
  <c r="B2574" i="36"/>
  <c r="A2574" i="36"/>
  <c r="B2573" i="36"/>
  <c r="A2573" i="36"/>
  <c r="B2572" i="36"/>
  <c r="A2572" i="36"/>
  <c r="B2571" i="36"/>
  <c r="A2571" i="36"/>
  <c r="B2570" i="36"/>
  <c r="A2570" i="36"/>
  <c r="B2569" i="36"/>
  <c r="A2569" i="36"/>
  <c r="B2568" i="36"/>
  <c r="A2568" i="36"/>
  <c r="B2567" i="36"/>
  <c r="A2567" i="36"/>
  <c r="B2566" i="36"/>
  <c r="A2566" i="36"/>
  <c r="B2565" i="36"/>
  <c r="A2565" i="36"/>
  <c r="B2564" i="36"/>
  <c r="A2564" i="36"/>
  <c r="B2563" i="36"/>
  <c r="A2563" i="36"/>
  <c r="B2562" i="36"/>
  <c r="A2562" i="36"/>
  <c r="B2561" i="36"/>
  <c r="A2561" i="36"/>
  <c r="B2560" i="36"/>
  <c r="A2560" i="36"/>
  <c r="B2559" i="36"/>
  <c r="A2559" i="36"/>
  <c r="B2558" i="36"/>
  <c r="A2558" i="36"/>
  <c r="B2557" i="36"/>
  <c r="A2557" i="36"/>
  <c r="B2556" i="36"/>
  <c r="A2556" i="36"/>
  <c r="B2555" i="36"/>
  <c r="A2555" i="36"/>
  <c r="B2554" i="36"/>
  <c r="A2554" i="36"/>
  <c r="B2553" i="36"/>
  <c r="A2553" i="36"/>
  <c r="B2552" i="36"/>
  <c r="A2552" i="36"/>
  <c r="B2551" i="36"/>
  <c r="A2551" i="36"/>
  <c r="B2550" i="36"/>
  <c r="A2550" i="36"/>
  <c r="B2549" i="36"/>
  <c r="A2549" i="36"/>
  <c r="B2548" i="36"/>
  <c r="A2548" i="36"/>
  <c r="B2547" i="36"/>
  <c r="A2547" i="36"/>
  <c r="B2546" i="36"/>
  <c r="A2546" i="36"/>
  <c r="B2545" i="36"/>
  <c r="A2545" i="36"/>
  <c r="B2544" i="36"/>
  <c r="A2544" i="36"/>
  <c r="B2543" i="36"/>
  <c r="A2543" i="36"/>
  <c r="B2542" i="36"/>
  <c r="A2542" i="36"/>
  <c r="B2541" i="36"/>
  <c r="A2541" i="36"/>
  <c r="B2540" i="36"/>
  <c r="A2540" i="36"/>
  <c r="B2539" i="36"/>
  <c r="A2539" i="36"/>
  <c r="B2538" i="36"/>
  <c r="A2538" i="36"/>
  <c r="B2537" i="36"/>
  <c r="A2537" i="36"/>
  <c r="B2536" i="36"/>
  <c r="A2536" i="36"/>
  <c r="B2535" i="36"/>
  <c r="A2535" i="36"/>
  <c r="B2534" i="36"/>
  <c r="A2534" i="36"/>
  <c r="B2533" i="36"/>
  <c r="A2533" i="36"/>
  <c r="B2532" i="36"/>
  <c r="A2532" i="36"/>
  <c r="B2531" i="36"/>
  <c r="A2531" i="36"/>
  <c r="B2530" i="36"/>
  <c r="A2530" i="36"/>
  <c r="B2529" i="36"/>
  <c r="A2529" i="36"/>
  <c r="B2528" i="36"/>
  <c r="A2528" i="36"/>
  <c r="B2527" i="36"/>
  <c r="A2527" i="36"/>
  <c r="B2526" i="36"/>
  <c r="A2526" i="36"/>
  <c r="B2525" i="36"/>
  <c r="A2525" i="36"/>
  <c r="B2524" i="36"/>
  <c r="A2524" i="36"/>
  <c r="B2523" i="36"/>
  <c r="A2523" i="36"/>
  <c r="B2522" i="36"/>
  <c r="A2522" i="36"/>
  <c r="B2521" i="36"/>
  <c r="A2521" i="36"/>
  <c r="B2520" i="36"/>
  <c r="A2520" i="36"/>
  <c r="B2519" i="36"/>
  <c r="A2519" i="36"/>
  <c r="B2518" i="36"/>
  <c r="A2518" i="36"/>
  <c r="B2517" i="36"/>
  <c r="A2517" i="36"/>
  <c r="B2516" i="36"/>
  <c r="A2516" i="36"/>
  <c r="B2515" i="36"/>
  <c r="A2515" i="36"/>
  <c r="B2514" i="36"/>
  <c r="A2514" i="36"/>
  <c r="B2513" i="36"/>
  <c r="A2513" i="36"/>
  <c r="B2512" i="36"/>
  <c r="A2512" i="36"/>
  <c r="B2511" i="36"/>
  <c r="A2511" i="36"/>
  <c r="B2510" i="36"/>
  <c r="A2510" i="36"/>
  <c r="B2509" i="36"/>
  <c r="A2509" i="36"/>
  <c r="B2508" i="36"/>
  <c r="A2508" i="36"/>
  <c r="B2507" i="36"/>
  <c r="A2507" i="36"/>
  <c r="B2506" i="36"/>
  <c r="A2506" i="36"/>
  <c r="B2505" i="36"/>
  <c r="A2505" i="36"/>
  <c r="B2504" i="36"/>
  <c r="A2504" i="36"/>
  <c r="B2503" i="36"/>
  <c r="A2503" i="36"/>
  <c r="B2502" i="36"/>
  <c r="A2502" i="36"/>
  <c r="B2501" i="36"/>
  <c r="A2501" i="36"/>
  <c r="B2500" i="36"/>
  <c r="A2500" i="36"/>
  <c r="B2499" i="36"/>
  <c r="A2499" i="36"/>
  <c r="B2498" i="36"/>
  <c r="A2498" i="36"/>
  <c r="B2497" i="36"/>
  <c r="A2497" i="36"/>
  <c r="B2496" i="36"/>
  <c r="A2496" i="36"/>
  <c r="B2495" i="36"/>
  <c r="A2495" i="36"/>
  <c r="B2494" i="36"/>
  <c r="A2494" i="36"/>
  <c r="B2493" i="36"/>
  <c r="A2493" i="36"/>
  <c r="B2492" i="36"/>
  <c r="A2492" i="36"/>
  <c r="B2491" i="36"/>
  <c r="A2491" i="36"/>
  <c r="B2490" i="36"/>
  <c r="A2490" i="36"/>
  <c r="B2489" i="36"/>
  <c r="A2489" i="36"/>
  <c r="B2488" i="36"/>
  <c r="A2488" i="36"/>
  <c r="B2487" i="36"/>
  <c r="A2487" i="36"/>
  <c r="B2486" i="36"/>
  <c r="A2486" i="36"/>
  <c r="B2485" i="36"/>
  <c r="A2485" i="36"/>
  <c r="B2484" i="36"/>
  <c r="A2484" i="36"/>
  <c r="B2483" i="36"/>
  <c r="A2483" i="36"/>
  <c r="B2482" i="36"/>
  <c r="A2482" i="36"/>
  <c r="B2481" i="36"/>
  <c r="A2481" i="36"/>
  <c r="B2480" i="36"/>
  <c r="A2480" i="36"/>
  <c r="B2479" i="36"/>
  <c r="A2479" i="36"/>
  <c r="B2478" i="36"/>
  <c r="A2478" i="36"/>
  <c r="B2477" i="36"/>
  <c r="A2477" i="36"/>
  <c r="B2476" i="36"/>
  <c r="A2476" i="36"/>
  <c r="B2475" i="36"/>
  <c r="A2475" i="36"/>
  <c r="B2474" i="36"/>
  <c r="A2474" i="36"/>
  <c r="B2473" i="36"/>
  <c r="A2473" i="36"/>
  <c r="B2472" i="36"/>
  <c r="A2472" i="36"/>
  <c r="B2471" i="36"/>
  <c r="A2471" i="36"/>
  <c r="B2470" i="36"/>
  <c r="A2470" i="36"/>
  <c r="B2469" i="36"/>
  <c r="A2469" i="36"/>
  <c r="B2468" i="36"/>
  <c r="A2468" i="36"/>
  <c r="B2467" i="36"/>
  <c r="A2467" i="36"/>
  <c r="B2466" i="36"/>
  <c r="A2466" i="36"/>
  <c r="B2465" i="36"/>
  <c r="A2465" i="36"/>
  <c r="B2464" i="36"/>
  <c r="A2464" i="36"/>
  <c r="B2463" i="36"/>
  <c r="A2463" i="36"/>
  <c r="B2462" i="36"/>
  <c r="A2462" i="36"/>
  <c r="B2461" i="36"/>
  <c r="A2461" i="36"/>
  <c r="B2460" i="36"/>
  <c r="A2460" i="36"/>
  <c r="B2459" i="36"/>
  <c r="A2459" i="36"/>
  <c r="B2458" i="36"/>
  <c r="A2458" i="36"/>
  <c r="B2457" i="36"/>
  <c r="A2457" i="36"/>
  <c r="B2456" i="36"/>
  <c r="A2456" i="36"/>
  <c r="B2455" i="36"/>
  <c r="A2455" i="36"/>
  <c r="B2454" i="36"/>
  <c r="A2454" i="36"/>
  <c r="B2453" i="36"/>
  <c r="A2453" i="36"/>
  <c r="B2452" i="36"/>
  <c r="A2452" i="36"/>
  <c r="B2451" i="36"/>
  <c r="A2451" i="36"/>
  <c r="B2450" i="36"/>
  <c r="A2450" i="36"/>
  <c r="B2449" i="36"/>
  <c r="A2449" i="36"/>
  <c r="B2448" i="36"/>
  <c r="A2448" i="36"/>
  <c r="B2447" i="36"/>
  <c r="A2447" i="36"/>
  <c r="B2446" i="36"/>
  <c r="A2446" i="36"/>
  <c r="B2445" i="36"/>
  <c r="A2445" i="36"/>
  <c r="B2444" i="36"/>
  <c r="A2444" i="36"/>
  <c r="B2443" i="36"/>
  <c r="A2443" i="36"/>
  <c r="B2442" i="36"/>
  <c r="A2442" i="36"/>
  <c r="B2441" i="36"/>
  <c r="A2441" i="36"/>
  <c r="B2440" i="36"/>
  <c r="A2440" i="36"/>
  <c r="B2439" i="36"/>
  <c r="A2439" i="36"/>
  <c r="B2438" i="36"/>
  <c r="A2438" i="36"/>
  <c r="B2437" i="36"/>
  <c r="A2437" i="36"/>
  <c r="B2436" i="36"/>
  <c r="A2436" i="36"/>
  <c r="B2435" i="36"/>
  <c r="A2435" i="36"/>
  <c r="B2434" i="36"/>
  <c r="A2434" i="36"/>
  <c r="B2433" i="36"/>
  <c r="A2433" i="36"/>
  <c r="B2432" i="36"/>
  <c r="A2432" i="36"/>
  <c r="B2431" i="36"/>
  <c r="A2431" i="36"/>
  <c r="B2430" i="36"/>
  <c r="A2430" i="36"/>
  <c r="B2429" i="36"/>
  <c r="A2429" i="36"/>
  <c r="B2428" i="36"/>
  <c r="A2428" i="36"/>
  <c r="B2427" i="36"/>
  <c r="A2427" i="36"/>
  <c r="B2426" i="36"/>
  <c r="A2426" i="36"/>
  <c r="B2425" i="36"/>
  <c r="A2425" i="36"/>
  <c r="B2424" i="36"/>
  <c r="A2424" i="36"/>
  <c r="B2423" i="36"/>
  <c r="A2423" i="36"/>
  <c r="B2422" i="36"/>
  <c r="A2422" i="36"/>
  <c r="B2421" i="36"/>
  <c r="A2421" i="36"/>
  <c r="B2420" i="36"/>
  <c r="A2420" i="36"/>
  <c r="B2419" i="36"/>
  <c r="A2419" i="36"/>
  <c r="B2418" i="36"/>
  <c r="A2418" i="36"/>
  <c r="B2417" i="36"/>
  <c r="A2417" i="36"/>
  <c r="B2416" i="36"/>
  <c r="A2416" i="36"/>
  <c r="B2415" i="36"/>
  <c r="A2415" i="36"/>
  <c r="B2414" i="36"/>
  <c r="A2414" i="36"/>
  <c r="B2413" i="36"/>
  <c r="A2413" i="36"/>
  <c r="B2412" i="36"/>
  <c r="A2412" i="36"/>
  <c r="B2411" i="36"/>
  <c r="A2411" i="36"/>
  <c r="B2410" i="36"/>
  <c r="A2410" i="36"/>
  <c r="B2409" i="36"/>
  <c r="A2409" i="36"/>
  <c r="B2408" i="36"/>
  <c r="A2408" i="36"/>
  <c r="B2407" i="36"/>
  <c r="A2407" i="36"/>
  <c r="B2406" i="36"/>
  <c r="A2406" i="36"/>
  <c r="B2405" i="36"/>
  <c r="A2405" i="36"/>
  <c r="B2404" i="36"/>
  <c r="A2404" i="36"/>
  <c r="B2403" i="36"/>
  <c r="A2403" i="36"/>
  <c r="B2402" i="36"/>
  <c r="A2402" i="36"/>
  <c r="B2401" i="36"/>
  <c r="A2401" i="36"/>
  <c r="B2400" i="36"/>
  <c r="A2400" i="36"/>
  <c r="B2399" i="36"/>
  <c r="A2399" i="36"/>
  <c r="B2398" i="36"/>
  <c r="A2398" i="36"/>
  <c r="B2397" i="36"/>
  <c r="A2397" i="36"/>
  <c r="B2396" i="36"/>
  <c r="A2396" i="36"/>
  <c r="B2395" i="36"/>
  <c r="A2395" i="36"/>
  <c r="B2394" i="36"/>
  <c r="A2394" i="36"/>
  <c r="B2393" i="36"/>
  <c r="A2393" i="36"/>
  <c r="B2392" i="36"/>
  <c r="A2392" i="36"/>
  <c r="B2391" i="36"/>
  <c r="A2391" i="36"/>
  <c r="B2390" i="36"/>
  <c r="A2390" i="36"/>
  <c r="B2389" i="36"/>
  <c r="A2389" i="36"/>
  <c r="B2388" i="36"/>
  <c r="A2388" i="36"/>
  <c r="B2387" i="36"/>
  <c r="A2387" i="36"/>
  <c r="B2386" i="36"/>
  <c r="A2386" i="36"/>
  <c r="B2385" i="36"/>
  <c r="A2385" i="36"/>
  <c r="B2384" i="36"/>
  <c r="A2384" i="36"/>
  <c r="B2383" i="36"/>
  <c r="A2383" i="36"/>
  <c r="B2382" i="36"/>
  <c r="A2382" i="36"/>
  <c r="B2381" i="36"/>
  <c r="A2381" i="36"/>
  <c r="B2380" i="36"/>
  <c r="A2380" i="36"/>
  <c r="B2379" i="36"/>
  <c r="A2379" i="36"/>
  <c r="B2378" i="36"/>
  <c r="A2378" i="36"/>
  <c r="B2377" i="36"/>
  <c r="A2377" i="36"/>
  <c r="B2376" i="36"/>
  <c r="A2376" i="36"/>
  <c r="B2375" i="36"/>
  <c r="A2375" i="36"/>
  <c r="B2374" i="36"/>
  <c r="A2374" i="36"/>
  <c r="B2373" i="36"/>
  <c r="A2373" i="36"/>
  <c r="B2372" i="36"/>
  <c r="A2372" i="36"/>
  <c r="B2371" i="36"/>
  <c r="A2371" i="36"/>
  <c r="B2370" i="36"/>
  <c r="A2370" i="36"/>
  <c r="B2369" i="36"/>
  <c r="A2369" i="36"/>
  <c r="B2368" i="36"/>
  <c r="A2368" i="36"/>
  <c r="B2367" i="36"/>
  <c r="A2367" i="36"/>
  <c r="B2366" i="36"/>
  <c r="A2366" i="36"/>
  <c r="B2365" i="36"/>
  <c r="A2365" i="36"/>
  <c r="B2364" i="36"/>
  <c r="A2364" i="36"/>
  <c r="B2363" i="36"/>
  <c r="A2363" i="36"/>
  <c r="B2362" i="36"/>
  <c r="A2362" i="36"/>
  <c r="B2361" i="36"/>
  <c r="A2361" i="36"/>
  <c r="B2360" i="36"/>
  <c r="A2360" i="36"/>
  <c r="B2359" i="36"/>
  <c r="A2359" i="36"/>
  <c r="B2358" i="36"/>
  <c r="A2358" i="36"/>
  <c r="B2357" i="36"/>
  <c r="A2357" i="36"/>
  <c r="B2356" i="36"/>
  <c r="A2356" i="36"/>
  <c r="B2355" i="36"/>
  <c r="A2355" i="36"/>
  <c r="B2354" i="36"/>
  <c r="A2354" i="36"/>
  <c r="B2353" i="36"/>
  <c r="A2353" i="36"/>
  <c r="B2352" i="36"/>
  <c r="A2352" i="36"/>
  <c r="B2351" i="36"/>
  <c r="A2351" i="36"/>
  <c r="B2350" i="36"/>
  <c r="A2350" i="36"/>
  <c r="B2349" i="36"/>
  <c r="A2349" i="36"/>
  <c r="B2348" i="36"/>
  <c r="A2348" i="36"/>
  <c r="B2347" i="36"/>
  <c r="A2347" i="36"/>
  <c r="B2346" i="36"/>
  <c r="A2346" i="36"/>
  <c r="B2345" i="36"/>
  <c r="A2345" i="36"/>
  <c r="B2344" i="36"/>
  <c r="A2344" i="36"/>
  <c r="B2343" i="36"/>
  <c r="A2343" i="36"/>
  <c r="B2342" i="36"/>
  <c r="A2342" i="36"/>
  <c r="B2341" i="36"/>
  <c r="A2341" i="36"/>
  <c r="B2340" i="36"/>
  <c r="A2340" i="36"/>
  <c r="B2339" i="36"/>
  <c r="A2339" i="36"/>
  <c r="B2338" i="36"/>
  <c r="A2338" i="36"/>
  <c r="B2337" i="36"/>
  <c r="A2337" i="36"/>
  <c r="B2336" i="36"/>
  <c r="A2336" i="36"/>
  <c r="B2335" i="36"/>
  <c r="A2335" i="36"/>
  <c r="B2334" i="36"/>
  <c r="A2334" i="36"/>
  <c r="B2333" i="36"/>
  <c r="A2333" i="36"/>
  <c r="B2332" i="36"/>
  <c r="A2332" i="36"/>
  <c r="B2331" i="36"/>
  <c r="A2331" i="36"/>
  <c r="B2330" i="36"/>
  <c r="A2330" i="36"/>
  <c r="B2329" i="36"/>
  <c r="A2329" i="36"/>
  <c r="B2328" i="36"/>
  <c r="A2328" i="36"/>
  <c r="B2327" i="36"/>
  <c r="A2327" i="36"/>
  <c r="B2326" i="36"/>
  <c r="A2326" i="36"/>
  <c r="B2325" i="36"/>
  <c r="A2325" i="36"/>
  <c r="B2324" i="36"/>
  <c r="A2324" i="36"/>
  <c r="B2323" i="36"/>
  <c r="A2323" i="36"/>
  <c r="B2322" i="36"/>
  <c r="A2322" i="36"/>
  <c r="B2321" i="36"/>
  <c r="A2321" i="36"/>
  <c r="B2320" i="36"/>
  <c r="A2320" i="36"/>
  <c r="B2319" i="36"/>
  <c r="A2319" i="36"/>
  <c r="B2318" i="36"/>
  <c r="A2318" i="36"/>
  <c r="B2317" i="36"/>
  <c r="A2317" i="36"/>
  <c r="B2316" i="36"/>
  <c r="A2316" i="36"/>
  <c r="B2315" i="36"/>
  <c r="A2315" i="36"/>
  <c r="B2314" i="36"/>
  <c r="A2314" i="36"/>
  <c r="B2313" i="36"/>
  <c r="A2313" i="36"/>
  <c r="B2312" i="36"/>
  <c r="A2312" i="36"/>
  <c r="B2311" i="36"/>
  <c r="A2311" i="36"/>
  <c r="B2310" i="36"/>
  <c r="A2310" i="36"/>
  <c r="B2309" i="36"/>
  <c r="A2309" i="36"/>
  <c r="B2308" i="36"/>
  <c r="A2308" i="36"/>
  <c r="B2307" i="36"/>
  <c r="A2307" i="36"/>
  <c r="B2306" i="36"/>
  <c r="A2306" i="36"/>
  <c r="B2305" i="36"/>
  <c r="A2305" i="36"/>
  <c r="B2304" i="36"/>
  <c r="A2304" i="36"/>
  <c r="B2303" i="36"/>
  <c r="A2303" i="36"/>
  <c r="B2302" i="36"/>
  <c r="A2302" i="36"/>
  <c r="B2301" i="36"/>
  <c r="A2301" i="36"/>
  <c r="B2300" i="36"/>
  <c r="A2300" i="36"/>
  <c r="B2299" i="36"/>
  <c r="A2299" i="36"/>
  <c r="B2298" i="36"/>
  <c r="A2298" i="36"/>
  <c r="B2297" i="36"/>
  <c r="A2297" i="36"/>
  <c r="B2296" i="36"/>
  <c r="A2296" i="36"/>
  <c r="B2295" i="36"/>
  <c r="A2295" i="36"/>
  <c r="B2294" i="36"/>
  <c r="A2294" i="36"/>
  <c r="B2293" i="36"/>
  <c r="A2293" i="36"/>
  <c r="B2292" i="36"/>
  <c r="A2292" i="36"/>
  <c r="B2291" i="36"/>
  <c r="A2291" i="36"/>
  <c r="B2290" i="36"/>
  <c r="A2290" i="36"/>
  <c r="B2289" i="36"/>
  <c r="A2289" i="36"/>
  <c r="B2288" i="36"/>
  <c r="A2288" i="36"/>
  <c r="B2287" i="36"/>
  <c r="A2287" i="36"/>
  <c r="B2286" i="36"/>
  <c r="A2286" i="36"/>
  <c r="B2285" i="36"/>
  <c r="A2285" i="36"/>
  <c r="B2284" i="36"/>
  <c r="A2284" i="36"/>
  <c r="B2283" i="36"/>
  <c r="A2283" i="36"/>
  <c r="B2282" i="36"/>
  <c r="A2282" i="36"/>
  <c r="B2281" i="36"/>
  <c r="A2281" i="36"/>
  <c r="B2280" i="36"/>
  <c r="A2280" i="36"/>
  <c r="B2279" i="36"/>
  <c r="A2279" i="36"/>
  <c r="B2278" i="36"/>
  <c r="A2278" i="36"/>
  <c r="B2277" i="36"/>
  <c r="A2277" i="36"/>
  <c r="B2276" i="36"/>
  <c r="A2276" i="36"/>
  <c r="B2275" i="36"/>
  <c r="A2275" i="36"/>
  <c r="B2274" i="36"/>
  <c r="A2274" i="36"/>
  <c r="B2273" i="36"/>
  <c r="A2273" i="36"/>
  <c r="B2272" i="36"/>
  <c r="A2272" i="36"/>
  <c r="B2271" i="36"/>
  <c r="A2271" i="36"/>
  <c r="B2270" i="36"/>
  <c r="A2270" i="36"/>
  <c r="B2269" i="36"/>
  <c r="A2269" i="36"/>
  <c r="B2268" i="36"/>
  <c r="A2268" i="36"/>
  <c r="B2267" i="36"/>
  <c r="A2267" i="36"/>
  <c r="B2266" i="36"/>
  <c r="A2266" i="36"/>
  <c r="B2265" i="36"/>
  <c r="A2265" i="36"/>
  <c r="B2264" i="36"/>
  <c r="A2264" i="36"/>
  <c r="B2263" i="36"/>
  <c r="A2263" i="36"/>
  <c r="B2262" i="36"/>
  <c r="A2262" i="36"/>
  <c r="B2261" i="36"/>
  <c r="A2261" i="36"/>
  <c r="B2260" i="36"/>
  <c r="A2260" i="36"/>
  <c r="B2259" i="36"/>
  <c r="A2259" i="36"/>
  <c r="B2258" i="36"/>
  <c r="A2258" i="36"/>
  <c r="B2257" i="36"/>
  <c r="A2257" i="36"/>
  <c r="B2256" i="36"/>
  <c r="A2256" i="36"/>
  <c r="B2255" i="36"/>
  <c r="A2255" i="36"/>
  <c r="B2254" i="36"/>
  <c r="A2254" i="36"/>
  <c r="B2253" i="36"/>
  <c r="A2253" i="36"/>
  <c r="B2252" i="36"/>
  <c r="A2252" i="36"/>
  <c r="B2251" i="36"/>
  <c r="A2251" i="36"/>
  <c r="B2250" i="36"/>
  <c r="A2250" i="36"/>
  <c r="B2249" i="36"/>
  <c r="A2249" i="36"/>
  <c r="B2248" i="36"/>
  <c r="A2248" i="36"/>
  <c r="B2247" i="36"/>
  <c r="A2247" i="36"/>
  <c r="B2246" i="36"/>
  <c r="A2246" i="36"/>
  <c r="B2245" i="36"/>
  <c r="A2245" i="36"/>
  <c r="B2244" i="36"/>
  <c r="A2244" i="36"/>
  <c r="B2243" i="36"/>
  <c r="A2243" i="36"/>
  <c r="B2242" i="36"/>
  <c r="A2242" i="36"/>
  <c r="B2241" i="36"/>
  <c r="A2241" i="36"/>
  <c r="B2240" i="36"/>
  <c r="A2240" i="36"/>
  <c r="B2239" i="36"/>
  <c r="A2239" i="36"/>
  <c r="B2238" i="36"/>
  <c r="A2238" i="36"/>
  <c r="B2237" i="36"/>
  <c r="A2237" i="36"/>
  <c r="B2236" i="36"/>
  <c r="A2236" i="36"/>
  <c r="B2235" i="36"/>
  <c r="A2235" i="36"/>
  <c r="B2234" i="36"/>
  <c r="A2234" i="36"/>
  <c r="B2233" i="36"/>
  <c r="A2233" i="36"/>
  <c r="B2232" i="36"/>
  <c r="A2232" i="36"/>
  <c r="B2231" i="36"/>
  <c r="A2231" i="36"/>
  <c r="B2230" i="36"/>
  <c r="A2230" i="36"/>
  <c r="B2229" i="36"/>
  <c r="A2229" i="36"/>
  <c r="B2228" i="36"/>
  <c r="A2228" i="36"/>
  <c r="B2227" i="36"/>
  <c r="A2227" i="36"/>
  <c r="B2226" i="36"/>
  <c r="A2226" i="36"/>
  <c r="B2225" i="36"/>
  <c r="A2225" i="36"/>
  <c r="B2224" i="36"/>
  <c r="A2224" i="36"/>
  <c r="B2223" i="36"/>
  <c r="A2223" i="36"/>
  <c r="B2222" i="36"/>
  <c r="A2222" i="36"/>
  <c r="B2221" i="36"/>
  <c r="A2221" i="36"/>
  <c r="B2220" i="36"/>
  <c r="A2220" i="36"/>
  <c r="B2219" i="36"/>
  <c r="A2219" i="36"/>
  <c r="B2218" i="36"/>
  <c r="A2218" i="36"/>
  <c r="B2217" i="36"/>
  <c r="A2217" i="36"/>
  <c r="B2216" i="36"/>
  <c r="A2216" i="36"/>
  <c r="B2215" i="36"/>
  <c r="A2215" i="36"/>
  <c r="B2214" i="36"/>
  <c r="A2214" i="36"/>
  <c r="B2213" i="36"/>
  <c r="A2213" i="36"/>
  <c r="B2212" i="36"/>
  <c r="A2212" i="36"/>
  <c r="B2211" i="36"/>
  <c r="A2211" i="36"/>
  <c r="B2210" i="36"/>
  <c r="A2210" i="36"/>
  <c r="B2209" i="36"/>
  <c r="A2209" i="36"/>
  <c r="B2208" i="36"/>
  <c r="A2208" i="36"/>
  <c r="B2207" i="36"/>
  <c r="A2207" i="36"/>
  <c r="B2206" i="36"/>
  <c r="A2206" i="36"/>
  <c r="B2205" i="36"/>
  <c r="A2205" i="36"/>
  <c r="B2204" i="36"/>
  <c r="A2204" i="36"/>
  <c r="B2203" i="36"/>
  <c r="A2203" i="36"/>
  <c r="B2202" i="36"/>
  <c r="A2202" i="36"/>
  <c r="B2201" i="36"/>
  <c r="A2201" i="36"/>
  <c r="B2200" i="36"/>
  <c r="A2200" i="36"/>
  <c r="B2199" i="36"/>
  <c r="A2199" i="36"/>
  <c r="B2198" i="36"/>
  <c r="A2198" i="36"/>
  <c r="B2197" i="36"/>
  <c r="A2197" i="36"/>
  <c r="B2196" i="36"/>
  <c r="A2196" i="36"/>
  <c r="B2195" i="36"/>
  <c r="A2195" i="36"/>
  <c r="B2194" i="36"/>
  <c r="A2194" i="36"/>
  <c r="B2193" i="36"/>
  <c r="A2193" i="36"/>
  <c r="B2192" i="36"/>
  <c r="A2192" i="36"/>
  <c r="B2191" i="36"/>
  <c r="A2191" i="36"/>
  <c r="B2190" i="36"/>
  <c r="A2190" i="36"/>
  <c r="B2189" i="36"/>
  <c r="A2189" i="36"/>
  <c r="B2188" i="36"/>
  <c r="A2188" i="36"/>
  <c r="B2187" i="36"/>
  <c r="A2187" i="36"/>
  <c r="B2186" i="36"/>
  <c r="A2186" i="36"/>
  <c r="B2185" i="36"/>
  <c r="A2185" i="36"/>
  <c r="B2184" i="36"/>
  <c r="A2184" i="36"/>
  <c r="B2183" i="36"/>
  <c r="A2183" i="36"/>
  <c r="B2182" i="36"/>
  <c r="A2182" i="36"/>
  <c r="B2181" i="36"/>
  <c r="A2181" i="36"/>
  <c r="B2180" i="36"/>
  <c r="A2180" i="36"/>
  <c r="B2179" i="36"/>
  <c r="A2179" i="36"/>
  <c r="B2178" i="36"/>
  <c r="A2178" i="36"/>
  <c r="B2177" i="36"/>
  <c r="A2177" i="36"/>
  <c r="B2176" i="36"/>
  <c r="A2176" i="36"/>
  <c r="B2175" i="36"/>
  <c r="A2175" i="36"/>
  <c r="B2174" i="36"/>
  <c r="A2174" i="36"/>
  <c r="B2173" i="36"/>
  <c r="A2173" i="36"/>
  <c r="B2172" i="36"/>
  <c r="A2172" i="36"/>
  <c r="B2171" i="36"/>
  <c r="A2171" i="36"/>
  <c r="B2170" i="36"/>
  <c r="A2170" i="36"/>
  <c r="B2169" i="36"/>
  <c r="A2169" i="36"/>
  <c r="B2168" i="36"/>
  <c r="A2168" i="36"/>
  <c r="B2167" i="36"/>
  <c r="A2167" i="36"/>
  <c r="B2166" i="36"/>
  <c r="A2166" i="36"/>
  <c r="B2165" i="36"/>
  <c r="A2165" i="36"/>
  <c r="B2164" i="36"/>
  <c r="A2164" i="36"/>
  <c r="B2163" i="36"/>
  <c r="A2163" i="36"/>
  <c r="B2162" i="36"/>
  <c r="A2162" i="36"/>
  <c r="B2161" i="36"/>
  <c r="A2161" i="36"/>
  <c r="B2160" i="36"/>
  <c r="A2160" i="36"/>
  <c r="B2159" i="36"/>
  <c r="A2159" i="36"/>
  <c r="B2158" i="36"/>
  <c r="A2158" i="36"/>
  <c r="B2157" i="36"/>
  <c r="A2157" i="36"/>
  <c r="B2156" i="36"/>
  <c r="A2156" i="36"/>
  <c r="B2155" i="36"/>
  <c r="A2155" i="36"/>
  <c r="B2154" i="36"/>
  <c r="A2154" i="36"/>
  <c r="B2153" i="36"/>
  <c r="A2153" i="36"/>
  <c r="B2152" i="36"/>
  <c r="A2152" i="36"/>
  <c r="B2151" i="36"/>
  <c r="A2151" i="36"/>
  <c r="B2150" i="36"/>
  <c r="A2150" i="36"/>
  <c r="B2149" i="36"/>
  <c r="A2149" i="36"/>
  <c r="B2148" i="36"/>
  <c r="A2148" i="36"/>
  <c r="B2147" i="36"/>
  <c r="A2147" i="36"/>
  <c r="B2146" i="36"/>
  <c r="A2146" i="36"/>
  <c r="B2145" i="36"/>
  <c r="A2145" i="36"/>
  <c r="B2144" i="36"/>
  <c r="A2144" i="36"/>
  <c r="B2143" i="36"/>
  <c r="A2143" i="36"/>
  <c r="B2142" i="36"/>
  <c r="A2142" i="36"/>
  <c r="B2141" i="36"/>
  <c r="A2141" i="36"/>
  <c r="B2140" i="36"/>
  <c r="A2140" i="36"/>
  <c r="B2139" i="36"/>
  <c r="A2139" i="36"/>
  <c r="B2138" i="36"/>
  <c r="A2138" i="36"/>
  <c r="B2137" i="36"/>
  <c r="A2137" i="36"/>
  <c r="B2136" i="36"/>
  <c r="A2136" i="36"/>
  <c r="B2135" i="36"/>
  <c r="A2135" i="36"/>
  <c r="B2134" i="36"/>
  <c r="A2134" i="36"/>
  <c r="B2133" i="36"/>
  <c r="A2133" i="36"/>
  <c r="B2132" i="36"/>
  <c r="A2132" i="36"/>
  <c r="B2131" i="36"/>
  <c r="A2131" i="36"/>
  <c r="B2130" i="36"/>
  <c r="A2130" i="36"/>
  <c r="B2129" i="36"/>
  <c r="A2129" i="36"/>
  <c r="B2128" i="36"/>
  <c r="A2128" i="36"/>
  <c r="B2127" i="36"/>
  <c r="A2127" i="36"/>
  <c r="B2126" i="36"/>
  <c r="A2126" i="36"/>
  <c r="B2125" i="36"/>
  <c r="A2125" i="36"/>
  <c r="B2124" i="36"/>
  <c r="A2124" i="36"/>
  <c r="B2123" i="36"/>
  <c r="A2123" i="36"/>
  <c r="B2122" i="36"/>
  <c r="A2122" i="36"/>
  <c r="B2121" i="36"/>
  <c r="A2121" i="36"/>
  <c r="B2120" i="36"/>
  <c r="A2120" i="36"/>
  <c r="B2119" i="36"/>
  <c r="A2119" i="36"/>
  <c r="B2118" i="36"/>
  <c r="A2118" i="36"/>
  <c r="B2117" i="36"/>
  <c r="A2117" i="36"/>
  <c r="B2116" i="36"/>
  <c r="A2116" i="36"/>
  <c r="B2115" i="36"/>
  <c r="A2115" i="36"/>
  <c r="B2114" i="36"/>
  <c r="A2114" i="36"/>
  <c r="B2113" i="36"/>
  <c r="A2113" i="36"/>
  <c r="B2112" i="36"/>
  <c r="A2112" i="36"/>
  <c r="B2111" i="36"/>
  <c r="A2111" i="36"/>
  <c r="B2110" i="36"/>
  <c r="A2110" i="36"/>
  <c r="B2109" i="36"/>
  <c r="A2109" i="36"/>
  <c r="B2108" i="36"/>
  <c r="A2108" i="36"/>
  <c r="B2107" i="36"/>
  <c r="A2107" i="36"/>
  <c r="B2106" i="36"/>
  <c r="A2106" i="36"/>
  <c r="B2105" i="36"/>
  <c r="A2105" i="36"/>
  <c r="B2104" i="36"/>
  <c r="A2104" i="36"/>
  <c r="B2103" i="36"/>
  <c r="A2103" i="36"/>
  <c r="B2102" i="36"/>
  <c r="A2102" i="36"/>
  <c r="B2101" i="36"/>
  <c r="A2101" i="36"/>
  <c r="B2100" i="36"/>
  <c r="A2100" i="36"/>
  <c r="B2099" i="36"/>
  <c r="A2099" i="36"/>
  <c r="B2098" i="36"/>
  <c r="A2098" i="36"/>
  <c r="B2097" i="36"/>
  <c r="A2097" i="36"/>
  <c r="B2096" i="36"/>
  <c r="A2096" i="36"/>
  <c r="B2095" i="36"/>
  <c r="A2095" i="36"/>
  <c r="B2094" i="36"/>
  <c r="A2094" i="36"/>
  <c r="B2093" i="36"/>
  <c r="A2093" i="36"/>
  <c r="B2092" i="36"/>
  <c r="A2092" i="36"/>
  <c r="B2091" i="36"/>
  <c r="A2091" i="36"/>
  <c r="B2090" i="36"/>
  <c r="A2090" i="36"/>
  <c r="B2089" i="36"/>
  <c r="A2089" i="36"/>
  <c r="B2088" i="36"/>
  <c r="A2088" i="36"/>
  <c r="B2087" i="36"/>
  <c r="A2087" i="36"/>
  <c r="B2086" i="36"/>
  <c r="A2086" i="36"/>
  <c r="B2085" i="36"/>
  <c r="A2085" i="36"/>
  <c r="B2084" i="36"/>
  <c r="A2084" i="36"/>
  <c r="B2083" i="36"/>
  <c r="A2083" i="36"/>
  <c r="B2082" i="36"/>
  <c r="A2082" i="36"/>
  <c r="B2081" i="36"/>
  <c r="A2081" i="36"/>
  <c r="B2080" i="36"/>
  <c r="A2080" i="36"/>
  <c r="B2079" i="36"/>
  <c r="A2079" i="36"/>
  <c r="B2078" i="36"/>
  <c r="A2078" i="36"/>
  <c r="B2077" i="36"/>
  <c r="A2077" i="36"/>
  <c r="B2076" i="36"/>
  <c r="A2076" i="36"/>
  <c r="B2075" i="36"/>
  <c r="A2075" i="36"/>
  <c r="B2074" i="36"/>
  <c r="A2074" i="36"/>
  <c r="B2073" i="36"/>
  <c r="A2073" i="36"/>
  <c r="B2072" i="36"/>
  <c r="A2072" i="36"/>
  <c r="B2071" i="36"/>
  <c r="A2071" i="36"/>
  <c r="B2070" i="36"/>
  <c r="A2070" i="36"/>
  <c r="B2069" i="36"/>
  <c r="A2069" i="36"/>
  <c r="B2068" i="36"/>
  <c r="A2068" i="36"/>
  <c r="B2067" i="36"/>
  <c r="A2067" i="36"/>
  <c r="B2066" i="36"/>
  <c r="A2066" i="36"/>
  <c r="B2065" i="36"/>
  <c r="A2065" i="36"/>
  <c r="B2064" i="36"/>
  <c r="A2064" i="36"/>
  <c r="B2063" i="36"/>
  <c r="A2063" i="36"/>
  <c r="B2062" i="36"/>
  <c r="A2062" i="36"/>
  <c r="B2061" i="36"/>
  <c r="A2061" i="36"/>
  <c r="B2060" i="36"/>
  <c r="A2060" i="36"/>
  <c r="B2059" i="36"/>
  <c r="A2059" i="36"/>
  <c r="B2058" i="36"/>
  <c r="A2058" i="36"/>
  <c r="B2057" i="36"/>
  <c r="A2057" i="36"/>
  <c r="B2056" i="36"/>
  <c r="A2056" i="36"/>
  <c r="B2055" i="36"/>
  <c r="A2055" i="36"/>
  <c r="B2054" i="36"/>
  <c r="A2054" i="36"/>
  <c r="B2053" i="36"/>
  <c r="A2053" i="36"/>
  <c r="B2052" i="36"/>
  <c r="A2052" i="36"/>
  <c r="B2051" i="36"/>
  <c r="A2051" i="36"/>
  <c r="B2050" i="36"/>
  <c r="A2050" i="36"/>
  <c r="B2049" i="36"/>
  <c r="A2049" i="36"/>
  <c r="B2048" i="36"/>
  <c r="A2048" i="36"/>
  <c r="B2047" i="36"/>
  <c r="A2047" i="36"/>
  <c r="B2046" i="36"/>
  <c r="A2046" i="36"/>
  <c r="B2045" i="36"/>
  <c r="A2045" i="36"/>
  <c r="B2044" i="36"/>
  <c r="A2044" i="36"/>
  <c r="B2043" i="36"/>
  <c r="A2043" i="36"/>
  <c r="B2042" i="36"/>
  <c r="A2042" i="36"/>
  <c r="B2041" i="36"/>
  <c r="A2041" i="36"/>
  <c r="B2040" i="36"/>
  <c r="A2040" i="36"/>
  <c r="B2039" i="36"/>
  <c r="A2039" i="36"/>
  <c r="B2038" i="36"/>
  <c r="A2038" i="36"/>
  <c r="B2037" i="36"/>
  <c r="A2037" i="36"/>
  <c r="B2036" i="36"/>
  <c r="A2036" i="36"/>
  <c r="B2035" i="36"/>
  <c r="A2035" i="36"/>
  <c r="B2034" i="36"/>
  <c r="A2034" i="36"/>
  <c r="B2033" i="36"/>
  <c r="A2033" i="36"/>
  <c r="B2032" i="36"/>
  <c r="A2032" i="36"/>
  <c r="B2031" i="36"/>
  <c r="A2031" i="36"/>
  <c r="B2030" i="36"/>
  <c r="A2030" i="36"/>
  <c r="B2029" i="36"/>
  <c r="A2029" i="36"/>
  <c r="B2028" i="36"/>
  <c r="A2028" i="36"/>
  <c r="B2027" i="36"/>
  <c r="A2027" i="36"/>
  <c r="B2026" i="36"/>
  <c r="A2026" i="36"/>
  <c r="B2025" i="36"/>
  <c r="A2025" i="36"/>
  <c r="B2024" i="36"/>
  <c r="A2024" i="36"/>
  <c r="B2023" i="36"/>
  <c r="A2023" i="36"/>
  <c r="B2022" i="36"/>
  <c r="A2022" i="36"/>
  <c r="B2021" i="36"/>
  <c r="A2021" i="36"/>
  <c r="B2020" i="36"/>
  <c r="A2020" i="36"/>
  <c r="B2019" i="36"/>
  <c r="A2019" i="36"/>
  <c r="B2018" i="36"/>
  <c r="A2018" i="36"/>
  <c r="B2017" i="36"/>
  <c r="A2017" i="36"/>
  <c r="B2016" i="36"/>
  <c r="A2016" i="36"/>
  <c r="B2015" i="36"/>
  <c r="A2015" i="36"/>
  <c r="B2014" i="36"/>
  <c r="A2014" i="36"/>
  <c r="B2013" i="36"/>
  <c r="A2013" i="36"/>
  <c r="B2012" i="36"/>
  <c r="A2012" i="36"/>
  <c r="B2011" i="36"/>
  <c r="A2011" i="36"/>
  <c r="B2010" i="36"/>
  <c r="A2010" i="36"/>
  <c r="B2009" i="36"/>
  <c r="A2009" i="36"/>
  <c r="B2008" i="36"/>
  <c r="A2008" i="36"/>
  <c r="B2007" i="36"/>
  <c r="A2007" i="36"/>
  <c r="B2006" i="36"/>
  <c r="A2006" i="36"/>
  <c r="B2005" i="36"/>
  <c r="A2005" i="36"/>
  <c r="B2004" i="36"/>
  <c r="A2004" i="36"/>
  <c r="B2003" i="36"/>
  <c r="A2003" i="36"/>
  <c r="B2002" i="36"/>
  <c r="A2002" i="36"/>
  <c r="B2001" i="36"/>
  <c r="A2001" i="36"/>
  <c r="B2000" i="36"/>
  <c r="A2000" i="36"/>
  <c r="B1999" i="36"/>
  <c r="A1999" i="36"/>
  <c r="B1998" i="36"/>
  <c r="A1998" i="36"/>
  <c r="B1997" i="36"/>
  <c r="A1997" i="36"/>
  <c r="B1996" i="36"/>
  <c r="A1996" i="36"/>
  <c r="B1995" i="36"/>
  <c r="A1995" i="36"/>
  <c r="B1994" i="36"/>
  <c r="A1994" i="36"/>
  <c r="B1993" i="36"/>
  <c r="A1993" i="36"/>
  <c r="B1992" i="36"/>
  <c r="A1992" i="36"/>
  <c r="B1991" i="36"/>
  <c r="A1991" i="36"/>
  <c r="B1990" i="36"/>
  <c r="A1990" i="36"/>
  <c r="B1989" i="36"/>
  <c r="A1989" i="36"/>
  <c r="B1988" i="36"/>
  <c r="A1988" i="36"/>
  <c r="B1987" i="36"/>
  <c r="A1987" i="36"/>
  <c r="B1986" i="36"/>
  <c r="A1986" i="36"/>
  <c r="B1985" i="36"/>
  <c r="A1985" i="36"/>
  <c r="B1984" i="36"/>
  <c r="A1984" i="36"/>
  <c r="B1983" i="36"/>
  <c r="A1983" i="36"/>
  <c r="B1982" i="36"/>
  <c r="A1982" i="36"/>
  <c r="B1981" i="36"/>
  <c r="A1981" i="36"/>
  <c r="B1980" i="36"/>
  <c r="A1980" i="36"/>
  <c r="B1979" i="36"/>
  <c r="A1979" i="36"/>
  <c r="B1978" i="36"/>
  <c r="A1978" i="36"/>
  <c r="B1977" i="36"/>
  <c r="A1977" i="36"/>
  <c r="B1976" i="36"/>
  <c r="A1976" i="36"/>
  <c r="B1975" i="36"/>
  <c r="A1975" i="36"/>
  <c r="B1974" i="36"/>
  <c r="A1974" i="36"/>
  <c r="B1973" i="36"/>
  <c r="A1973" i="36"/>
  <c r="B1972" i="36"/>
  <c r="A1972" i="36"/>
  <c r="B1971" i="36"/>
  <c r="A1971" i="36"/>
  <c r="B1970" i="36"/>
  <c r="A1970" i="36"/>
  <c r="B1969" i="36"/>
  <c r="A1969" i="36"/>
  <c r="B1968" i="36"/>
  <c r="A1968" i="36"/>
  <c r="B1967" i="36"/>
  <c r="A1967" i="36"/>
  <c r="B1966" i="36"/>
  <c r="A1966" i="36"/>
  <c r="B1965" i="36"/>
  <c r="A1965" i="36"/>
  <c r="B1964" i="36"/>
  <c r="A1964" i="36"/>
  <c r="B1963" i="36"/>
  <c r="A1963" i="36"/>
  <c r="B1962" i="36"/>
  <c r="A1962" i="36"/>
  <c r="B1961" i="36"/>
  <c r="A1961" i="36"/>
  <c r="B1960" i="36"/>
  <c r="A1960" i="36"/>
  <c r="B1959" i="36"/>
  <c r="A1959" i="36"/>
  <c r="B1958" i="36"/>
  <c r="A1958" i="36"/>
  <c r="B1957" i="36"/>
  <c r="A1957" i="36"/>
  <c r="B1956" i="36"/>
  <c r="A1956" i="36"/>
  <c r="B1955" i="36"/>
  <c r="A1955" i="36"/>
  <c r="B1954" i="36"/>
  <c r="A1954" i="36"/>
  <c r="B1953" i="36"/>
  <c r="A1953" i="36"/>
  <c r="B1952" i="36"/>
  <c r="A1952" i="36"/>
  <c r="B1951" i="36"/>
  <c r="A1951" i="36"/>
  <c r="B1950" i="36"/>
  <c r="A1950" i="36"/>
  <c r="B1949" i="36"/>
  <c r="A1949" i="36"/>
  <c r="B1948" i="36"/>
  <c r="A1948" i="36"/>
  <c r="B1947" i="36"/>
  <c r="A1947" i="36"/>
  <c r="B1946" i="36"/>
  <c r="A1946" i="36"/>
  <c r="B1945" i="36"/>
  <c r="A1945" i="36"/>
  <c r="B1944" i="36"/>
  <c r="A1944" i="36"/>
  <c r="B1943" i="36"/>
  <c r="A1943" i="36"/>
  <c r="B1942" i="36"/>
  <c r="A1942" i="36"/>
  <c r="B1941" i="36"/>
  <c r="A1941" i="36"/>
  <c r="B1940" i="36"/>
  <c r="A1940" i="36"/>
  <c r="B1939" i="36"/>
  <c r="A1939" i="36"/>
  <c r="B1938" i="36"/>
  <c r="A1938" i="36"/>
  <c r="B1937" i="36"/>
  <c r="A1937" i="36"/>
  <c r="B1936" i="36"/>
  <c r="A1936" i="36"/>
  <c r="B1935" i="36"/>
  <c r="A1935" i="36"/>
  <c r="B1934" i="36"/>
  <c r="A1934" i="36"/>
  <c r="B1933" i="36"/>
  <c r="A1933" i="36"/>
  <c r="B1932" i="36"/>
  <c r="A1932" i="36"/>
  <c r="B1931" i="36"/>
  <c r="A1931" i="36"/>
  <c r="B1930" i="36"/>
  <c r="A1930" i="36"/>
  <c r="B1929" i="36"/>
  <c r="A1929" i="36"/>
  <c r="B1928" i="36"/>
  <c r="A1928" i="36"/>
  <c r="B1927" i="36"/>
  <c r="A1927" i="36"/>
  <c r="B1926" i="36"/>
  <c r="A1926" i="36"/>
  <c r="B1925" i="36"/>
  <c r="A1925" i="36"/>
  <c r="B1924" i="36"/>
  <c r="A1924" i="36"/>
  <c r="B1923" i="36"/>
  <c r="A1923" i="36"/>
  <c r="B1922" i="36"/>
  <c r="A1922" i="36"/>
  <c r="B1921" i="36"/>
  <c r="A1921" i="36"/>
  <c r="B1920" i="36"/>
  <c r="A1920" i="36"/>
  <c r="B1919" i="36"/>
  <c r="A1919" i="36"/>
  <c r="B1918" i="36"/>
  <c r="A1918" i="36"/>
  <c r="B1917" i="36"/>
  <c r="A1917" i="36"/>
  <c r="B1916" i="36"/>
  <c r="A1916" i="36"/>
  <c r="B1915" i="36"/>
  <c r="A1915" i="36"/>
  <c r="B1914" i="36"/>
  <c r="A1914" i="36"/>
  <c r="B1913" i="36"/>
  <c r="A1913" i="36"/>
  <c r="B1912" i="36"/>
  <c r="A1912" i="36"/>
  <c r="B1911" i="36"/>
  <c r="A1911" i="36"/>
  <c r="B1910" i="36"/>
  <c r="A1910" i="36"/>
  <c r="B1909" i="36"/>
  <c r="A1909" i="36"/>
  <c r="B1908" i="36"/>
  <c r="A1908" i="36"/>
  <c r="B1907" i="36"/>
  <c r="A1907" i="36"/>
  <c r="B1906" i="36"/>
  <c r="A1906" i="36"/>
  <c r="B1905" i="36"/>
  <c r="A1905" i="36"/>
  <c r="B1904" i="36"/>
  <c r="A1904" i="36"/>
  <c r="B1903" i="36"/>
  <c r="A1903" i="36"/>
  <c r="B1902" i="36"/>
  <c r="A1902" i="36"/>
  <c r="B1901" i="36"/>
  <c r="A1901" i="36"/>
  <c r="B1900" i="36"/>
  <c r="A1900" i="36"/>
  <c r="B1899" i="36"/>
  <c r="A1899" i="36"/>
  <c r="B1898" i="36"/>
  <c r="A1898" i="36"/>
  <c r="B1897" i="36"/>
  <c r="A1897" i="36"/>
  <c r="B1896" i="36"/>
  <c r="A1896" i="36"/>
  <c r="B1895" i="36"/>
  <c r="A1895" i="36"/>
  <c r="B1894" i="36"/>
  <c r="A1894" i="36"/>
  <c r="B1893" i="36"/>
  <c r="A1893" i="36"/>
  <c r="B1892" i="36"/>
  <c r="A1892" i="36"/>
  <c r="B1891" i="36"/>
  <c r="A1891" i="36"/>
  <c r="B1890" i="36"/>
  <c r="A1890" i="36"/>
  <c r="B1889" i="36"/>
  <c r="A1889" i="36"/>
  <c r="B1888" i="36"/>
  <c r="A1888" i="36"/>
  <c r="B1887" i="36"/>
  <c r="A1887" i="36"/>
  <c r="B1886" i="36"/>
  <c r="A1886" i="36"/>
  <c r="B1885" i="36"/>
  <c r="A1885" i="36"/>
  <c r="B1884" i="36"/>
  <c r="A1884" i="36"/>
  <c r="B1883" i="36"/>
  <c r="A1883" i="36"/>
  <c r="B1882" i="36"/>
  <c r="A1882" i="36"/>
  <c r="B1881" i="36"/>
  <c r="A1881" i="36"/>
  <c r="B1880" i="36"/>
  <c r="A1880" i="36"/>
  <c r="B1879" i="36"/>
  <c r="A1879" i="36"/>
  <c r="B1878" i="36"/>
  <c r="A1878" i="36"/>
  <c r="B1877" i="36"/>
  <c r="A1877" i="36"/>
  <c r="B1876" i="36"/>
  <c r="A1876" i="36"/>
  <c r="B1875" i="36"/>
  <c r="A1875" i="36"/>
  <c r="B1874" i="36"/>
  <c r="A1874" i="36"/>
  <c r="B1873" i="36"/>
  <c r="A1873" i="36"/>
  <c r="B1872" i="36"/>
  <c r="A1872" i="36"/>
  <c r="B1871" i="36"/>
  <c r="A1871" i="36"/>
  <c r="B1870" i="36"/>
  <c r="A1870" i="36"/>
  <c r="B1869" i="36"/>
  <c r="A1869" i="36"/>
  <c r="B1868" i="36"/>
  <c r="A1868" i="36"/>
  <c r="B1867" i="36"/>
  <c r="A1867" i="36"/>
  <c r="B1866" i="36"/>
  <c r="A1866" i="36"/>
  <c r="B1865" i="36"/>
  <c r="A1865" i="36"/>
  <c r="B1864" i="36"/>
  <c r="A1864" i="36"/>
  <c r="B1863" i="36"/>
  <c r="A1863" i="36"/>
  <c r="B1862" i="36"/>
  <c r="A1862" i="36"/>
  <c r="B1861" i="36"/>
  <c r="A1861" i="36"/>
  <c r="B1860" i="36"/>
  <c r="A1860" i="36"/>
  <c r="B1859" i="36"/>
  <c r="A1859" i="36"/>
  <c r="B1858" i="36"/>
  <c r="A1858" i="36"/>
  <c r="B1857" i="36"/>
  <c r="A1857" i="36"/>
  <c r="B1856" i="36"/>
  <c r="A1856" i="36"/>
  <c r="B1855" i="36"/>
  <c r="A1855" i="36"/>
  <c r="B1854" i="36"/>
  <c r="A1854" i="36"/>
  <c r="B1853" i="36"/>
  <c r="A1853" i="36"/>
  <c r="B1852" i="36"/>
  <c r="A1852" i="36"/>
  <c r="B1851" i="36"/>
  <c r="A1851" i="36"/>
  <c r="B1850" i="36"/>
  <c r="A1850" i="36"/>
  <c r="B1849" i="36"/>
  <c r="A1849" i="36"/>
  <c r="B1848" i="36"/>
  <c r="A1848" i="36"/>
  <c r="B1847" i="36"/>
  <c r="A1847" i="36"/>
  <c r="B1846" i="36"/>
  <c r="A1846" i="36"/>
  <c r="B1845" i="36"/>
  <c r="A1845" i="36"/>
  <c r="B1844" i="36"/>
  <c r="A1844" i="36"/>
  <c r="B1843" i="36"/>
  <c r="A1843" i="36"/>
  <c r="B1842" i="36"/>
  <c r="A1842" i="36"/>
  <c r="B1841" i="36"/>
  <c r="A1841" i="36"/>
  <c r="B1840" i="36"/>
  <c r="A1840" i="36"/>
  <c r="B1839" i="36"/>
  <c r="A1839" i="36"/>
  <c r="B1838" i="36"/>
  <c r="A1838" i="36"/>
  <c r="B1837" i="36"/>
  <c r="A1837" i="36"/>
  <c r="B1836" i="36"/>
  <c r="A1836" i="36"/>
  <c r="B1835" i="36"/>
  <c r="A1835" i="36"/>
  <c r="B1834" i="36"/>
  <c r="A1834" i="36"/>
  <c r="B1833" i="36"/>
  <c r="A1833" i="36"/>
  <c r="B1832" i="36"/>
  <c r="A1832" i="36"/>
  <c r="B1831" i="36"/>
  <c r="A1831" i="36"/>
  <c r="B1830" i="36"/>
  <c r="A1830" i="36"/>
  <c r="B1829" i="36"/>
  <c r="A1829" i="36"/>
  <c r="B1828" i="36"/>
  <c r="A1828" i="36"/>
  <c r="B1827" i="36"/>
  <c r="A1827" i="36"/>
  <c r="B1826" i="36"/>
  <c r="A1826" i="36"/>
  <c r="B1825" i="36"/>
  <c r="A1825" i="36"/>
  <c r="B1824" i="36"/>
  <c r="A1824" i="36"/>
  <c r="B1823" i="36"/>
  <c r="A1823" i="36"/>
  <c r="B1822" i="36"/>
  <c r="A1822" i="36"/>
  <c r="B1821" i="36"/>
  <c r="A1821" i="36"/>
  <c r="B1820" i="36"/>
  <c r="A1820" i="36"/>
  <c r="B1819" i="36"/>
  <c r="A1819" i="36"/>
  <c r="B1818" i="36"/>
  <c r="A1818" i="36"/>
  <c r="B1817" i="36"/>
  <c r="A1817" i="36"/>
  <c r="B1816" i="36"/>
  <c r="A1816" i="36"/>
  <c r="B1815" i="36"/>
  <c r="A1815" i="36"/>
  <c r="B1814" i="36"/>
  <c r="A1814" i="36"/>
  <c r="B1813" i="36"/>
  <c r="A1813" i="36"/>
  <c r="B1812" i="36"/>
  <c r="A1812" i="36"/>
  <c r="B1811" i="36"/>
  <c r="A1811" i="36"/>
  <c r="B1810" i="36"/>
  <c r="A1810" i="36"/>
  <c r="B1809" i="36"/>
  <c r="A1809" i="36"/>
  <c r="B1808" i="36"/>
  <c r="A1808" i="36"/>
  <c r="B1807" i="36"/>
  <c r="A1807" i="36"/>
  <c r="B1806" i="36"/>
  <c r="A1806" i="36"/>
  <c r="B1805" i="36"/>
  <c r="A1805" i="36"/>
  <c r="B1804" i="36"/>
  <c r="A1804" i="36"/>
  <c r="B1803" i="36"/>
  <c r="A1803" i="36"/>
  <c r="B1802" i="36"/>
  <c r="A1802" i="36"/>
  <c r="B1801" i="36"/>
  <c r="A1801" i="36"/>
  <c r="B1800" i="36"/>
  <c r="A1800" i="36"/>
  <c r="B1799" i="36"/>
  <c r="A1799" i="36"/>
  <c r="B1798" i="36"/>
  <c r="A1798" i="36"/>
  <c r="B1797" i="36"/>
  <c r="A1797" i="36"/>
  <c r="B1796" i="36"/>
  <c r="A1796" i="36"/>
  <c r="B1795" i="36"/>
  <c r="A1795" i="36"/>
  <c r="B1794" i="36"/>
  <c r="A1794" i="36"/>
  <c r="B1793" i="36"/>
  <c r="A1793" i="36"/>
  <c r="B1792" i="36"/>
  <c r="A1792" i="36"/>
  <c r="B1791" i="36"/>
  <c r="A1791" i="36"/>
  <c r="B1790" i="36"/>
  <c r="A1790" i="36"/>
  <c r="B1789" i="36"/>
  <c r="A1789" i="36"/>
  <c r="B1788" i="36"/>
  <c r="A1788" i="36"/>
  <c r="B1787" i="36"/>
  <c r="A1787" i="36"/>
  <c r="B1786" i="36"/>
  <c r="A1786" i="36"/>
  <c r="B1785" i="36"/>
  <c r="A1785" i="36"/>
  <c r="B1784" i="36"/>
  <c r="A1784" i="36"/>
  <c r="B1783" i="36"/>
  <c r="A1783" i="36"/>
  <c r="B1782" i="36"/>
  <c r="A1782" i="36"/>
  <c r="B1781" i="36"/>
  <c r="A1781" i="36"/>
  <c r="B1780" i="36"/>
  <c r="A1780" i="36"/>
  <c r="B1779" i="36"/>
  <c r="A1779" i="36"/>
  <c r="B1778" i="36"/>
  <c r="A1778" i="36"/>
  <c r="B1777" i="36"/>
  <c r="A1777" i="36"/>
  <c r="B1776" i="36"/>
  <c r="A1776" i="36"/>
  <c r="B1775" i="36"/>
  <c r="A1775" i="36"/>
  <c r="B1774" i="36"/>
  <c r="A1774" i="36"/>
  <c r="B1773" i="36"/>
  <c r="A1773" i="36"/>
  <c r="B1772" i="36"/>
  <c r="A1772" i="36"/>
  <c r="B1771" i="36"/>
  <c r="A1771" i="36"/>
  <c r="B1770" i="36"/>
  <c r="A1770" i="36"/>
  <c r="B1769" i="36"/>
  <c r="A1769" i="36"/>
  <c r="B1768" i="36"/>
  <c r="A1768" i="36"/>
  <c r="B1767" i="36"/>
  <c r="A1767" i="36"/>
  <c r="B1766" i="36"/>
  <c r="A1766" i="36"/>
  <c r="B1765" i="36"/>
  <c r="A1765" i="36"/>
  <c r="B1764" i="36"/>
  <c r="A1764" i="36"/>
  <c r="B1763" i="36"/>
  <c r="A1763" i="36"/>
  <c r="B1762" i="36"/>
  <c r="A1762" i="36"/>
  <c r="B1761" i="36"/>
  <c r="A1761" i="36"/>
  <c r="B1760" i="36"/>
  <c r="A1760" i="36"/>
  <c r="B1759" i="36"/>
  <c r="A1759" i="36"/>
  <c r="B1758" i="36"/>
  <c r="A1758" i="36"/>
  <c r="B1757" i="36"/>
  <c r="A1757" i="36"/>
  <c r="B1756" i="36"/>
  <c r="A1756" i="36"/>
  <c r="B1755" i="36"/>
  <c r="A1755" i="36"/>
  <c r="B1754" i="36"/>
  <c r="A1754" i="36"/>
  <c r="B1753" i="36"/>
  <c r="A1753" i="36"/>
  <c r="B1752" i="36"/>
  <c r="A1752" i="36"/>
  <c r="B1751" i="36"/>
  <c r="A1751" i="36"/>
  <c r="B1750" i="36"/>
  <c r="A1750" i="36"/>
  <c r="B1749" i="36"/>
  <c r="A1749" i="36"/>
  <c r="B1748" i="36"/>
  <c r="A1748" i="36"/>
  <c r="B1747" i="36"/>
  <c r="A1747" i="36"/>
  <c r="B1746" i="36"/>
  <c r="A1746" i="36"/>
  <c r="B1745" i="36"/>
  <c r="A1745" i="36"/>
  <c r="B1744" i="36"/>
  <c r="A1744" i="36"/>
  <c r="B1743" i="36"/>
  <c r="A1743" i="36"/>
  <c r="B1742" i="36"/>
  <c r="A1742" i="36"/>
  <c r="B1741" i="36"/>
  <c r="A1741" i="36"/>
  <c r="B1740" i="36"/>
  <c r="A1740" i="36"/>
  <c r="B1739" i="36"/>
  <c r="A1739" i="36"/>
  <c r="B1738" i="36"/>
  <c r="A1738" i="36"/>
  <c r="B1737" i="36"/>
  <c r="A1737" i="36"/>
  <c r="B1736" i="36"/>
  <c r="A1736" i="36"/>
  <c r="B1735" i="36"/>
  <c r="A1735" i="36"/>
  <c r="B1734" i="36"/>
  <c r="A1734" i="36"/>
  <c r="B1733" i="36"/>
  <c r="A1733" i="36"/>
  <c r="B1732" i="36"/>
  <c r="A1732" i="36"/>
  <c r="B1731" i="36"/>
  <c r="A1731" i="36"/>
  <c r="B1730" i="36"/>
  <c r="A1730" i="36"/>
  <c r="B1729" i="36"/>
  <c r="A1729" i="36"/>
  <c r="B1728" i="36"/>
  <c r="A1728" i="36"/>
  <c r="B1727" i="36"/>
  <c r="A1727" i="36"/>
  <c r="B1726" i="36"/>
  <c r="A1726" i="36"/>
  <c r="B1725" i="36"/>
  <c r="A1725" i="36"/>
  <c r="B1724" i="36"/>
  <c r="A1724" i="36"/>
  <c r="B1723" i="36"/>
  <c r="A1723" i="36"/>
  <c r="B1722" i="36"/>
  <c r="A1722" i="36"/>
  <c r="B1721" i="36"/>
  <c r="A1721" i="36"/>
  <c r="B1720" i="36"/>
  <c r="A1720" i="36"/>
  <c r="B1719" i="36"/>
  <c r="A1719" i="36"/>
  <c r="B1718" i="36"/>
  <c r="A1718" i="36"/>
  <c r="B1717" i="36"/>
  <c r="A1717" i="36"/>
  <c r="B1716" i="36"/>
  <c r="A1716" i="36"/>
  <c r="B1715" i="36"/>
  <c r="A1715" i="36"/>
  <c r="B1714" i="36"/>
  <c r="A1714" i="36"/>
  <c r="B1713" i="36"/>
  <c r="A1713" i="36"/>
  <c r="B1712" i="36"/>
  <c r="A1712" i="36"/>
  <c r="B1711" i="36"/>
  <c r="A1711" i="36"/>
  <c r="B1710" i="36"/>
  <c r="A1710" i="36"/>
  <c r="B1709" i="36"/>
  <c r="A1709" i="36"/>
  <c r="B1708" i="36"/>
  <c r="A1708" i="36"/>
  <c r="B1707" i="36"/>
  <c r="A1707" i="36"/>
  <c r="B1706" i="36"/>
  <c r="A1706" i="36"/>
  <c r="B1705" i="36"/>
  <c r="A1705" i="36"/>
  <c r="B1704" i="36"/>
  <c r="A1704" i="36"/>
  <c r="B1703" i="36"/>
  <c r="A1703" i="36"/>
  <c r="B1702" i="36"/>
  <c r="A1702" i="36"/>
  <c r="B1701" i="36"/>
  <c r="A1701" i="36"/>
  <c r="B1700" i="36"/>
  <c r="A1700" i="36"/>
  <c r="B1699" i="36"/>
  <c r="A1699" i="36"/>
  <c r="B1698" i="36"/>
  <c r="A1698" i="36"/>
  <c r="B1697" i="36"/>
  <c r="A1697" i="36"/>
  <c r="B1696" i="36"/>
  <c r="A1696" i="36"/>
  <c r="B1695" i="36"/>
  <c r="A1695" i="36"/>
  <c r="B1694" i="36"/>
  <c r="A1694" i="36"/>
  <c r="B1693" i="36"/>
  <c r="A1693" i="36"/>
  <c r="B1692" i="36"/>
  <c r="A1692" i="36"/>
  <c r="B1691" i="36"/>
  <c r="A1691" i="36"/>
  <c r="B1690" i="36"/>
  <c r="A1690" i="36"/>
  <c r="B1689" i="36"/>
  <c r="A1689" i="36"/>
  <c r="B1688" i="36"/>
  <c r="A1688" i="36"/>
  <c r="B1687" i="36"/>
  <c r="A1687" i="36"/>
  <c r="B1686" i="36"/>
  <c r="A1686" i="36"/>
  <c r="B1685" i="36"/>
  <c r="A1685" i="36"/>
  <c r="B1684" i="36"/>
  <c r="A1684" i="36"/>
  <c r="B1683" i="36"/>
  <c r="A1683" i="36"/>
  <c r="B1682" i="36"/>
  <c r="A1682" i="36"/>
  <c r="B1681" i="36"/>
  <c r="A1681" i="36"/>
  <c r="B1680" i="36"/>
  <c r="A1680" i="36"/>
  <c r="B1679" i="36"/>
  <c r="A1679" i="36"/>
  <c r="B1678" i="36"/>
  <c r="A1678" i="36"/>
  <c r="B1677" i="36"/>
  <c r="A1677" i="36"/>
  <c r="B1676" i="36"/>
  <c r="A1676" i="36"/>
  <c r="B1675" i="36"/>
  <c r="A1675" i="36"/>
  <c r="B1674" i="36"/>
  <c r="A1674" i="36"/>
  <c r="B1673" i="36"/>
  <c r="A1673" i="36"/>
  <c r="B1672" i="36"/>
  <c r="A1672" i="36"/>
  <c r="B1671" i="36"/>
  <c r="A1671" i="36"/>
  <c r="B1670" i="36"/>
  <c r="A1670" i="36"/>
  <c r="B1669" i="36"/>
  <c r="A1669" i="36"/>
  <c r="B1668" i="36"/>
  <c r="A1668" i="36"/>
  <c r="B1667" i="36"/>
  <c r="A1667" i="36"/>
  <c r="B1666" i="36"/>
  <c r="A1666" i="36"/>
  <c r="B1665" i="36"/>
  <c r="A1665" i="36"/>
  <c r="B1664" i="36"/>
  <c r="A1664" i="36"/>
  <c r="B1663" i="36"/>
  <c r="A1663" i="36"/>
  <c r="B1662" i="36"/>
  <c r="A1662" i="36"/>
  <c r="B1661" i="36"/>
  <c r="A1661" i="36"/>
  <c r="B1660" i="36"/>
  <c r="A1660" i="36"/>
  <c r="B1659" i="36"/>
  <c r="A1659" i="36"/>
  <c r="B1658" i="36"/>
  <c r="A1658" i="36"/>
  <c r="B1657" i="36"/>
  <c r="A1657" i="36"/>
  <c r="B1656" i="36"/>
  <c r="A1656" i="36"/>
  <c r="B1655" i="36"/>
  <c r="A1655" i="36"/>
  <c r="B1654" i="36"/>
  <c r="A1654" i="36"/>
  <c r="B1653" i="36"/>
  <c r="A1653" i="36"/>
  <c r="B1652" i="36"/>
  <c r="A1652" i="36"/>
  <c r="B1651" i="36"/>
  <c r="A1651" i="36"/>
  <c r="B1650" i="36"/>
  <c r="A1650" i="36"/>
  <c r="B1649" i="36"/>
  <c r="A1649" i="36"/>
  <c r="B1648" i="36"/>
  <c r="A1648" i="36"/>
  <c r="B1647" i="36"/>
  <c r="A1647" i="36"/>
  <c r="B1646" i="36"/>
  <c r="A1646" i="36"/>
  <c r="B1645" i="36"/>
  <c r="A1645" i="36"/>
  <c r="B1644" i="36"/>
  <c r="A1644" i="36"/>
  <c r="B1643" i="36"/>
  <c r="A1643" i="36"/>
  <c r="B1642" i="36"/>
  <c r="A1642" i="36"/>
  <c r="B1641" i="36"/>
  <c r="A1641" i="36"/>
  <c r="B1640" i="36"/>
  <c r="A1640" i="36"/>
  <c r="B1639" i="36"/>
  <c r="A1639" i="36"/>
  <c r="B1638" i="36"/>
  <c r="A1638" i="36"/>
  <c r="B1637" i="36"/>
  <c r="A1637" i="36"/>
  <c r="B1636" i="36"/>
  <c r="A1636" i="36"/>
  <c r="B1635" i="36"/>
  <c r="A1635" i="36"/>
  <c r="B1634" i="36"/>
  <c r="A1634" i="36"/>
  <c r="B1633" i="36"/>
  <c r="A1633" i="36"/>
  <c r="B1632" i="36"/>
  <c r="A1632" i="36"/>
  <c r="B1631" i="36"/>
  <c r="A1631" i="36"/>
  <c r="B1630" i="36"/>
  <c r="A1630" i="36"/>
  <c r="B1629" i="36"/>
  <c r="A1629" i="36"/>
  <c r="B1628" i="36"/>
  <c r="A1628" i="36"/>
  <c r="B1627" i="36"/>
  <c r="A1627" i="36"/>
  <c r="B1626" i="36"/>
  <c r="A1626" i="36"/>
  <c r="B1625" i="36"/>
  <c r="A1625" i="36"/>
  <c r="B1624" i="36"/>
  <c r="A1624" i="36"/>
  <c r="B1623" i="36"/>
  <c r="A1623" i="36"/>
  <c r="B1622" i="36"/>
  <c r="A1622" i="36"/>
  <c r="B1621" i="36"/>
  <c r="A1621" i="36"/>
  <c r="B1620" i="36"/>
  <c r="A1620" i="36"/>
  <c r="B1619" i="36"/>
  <c r="A1619" i="36"/>
  <c r="B1618" i="36"/>
  <c r="A1618" i="36"/>
  <c r="B1617" i="36"/>
  <c r="A1617" i="36"/>
  <c r="B1616" i="36"/>
  <c r="A1616" i="36"/>
  <c r="B1615" i="36"/>
  <c r="A1615" i="36"/>
  <c r="B1614" i="36"/>
  <c r="A1614" i="36"/>
  <c r="B1613" i="36"/>
  <c r="A1613" i="36"/>
  <c r="B1612" i="36"/>
  <c r="A1612" i="36"/>
  <c r="B1611" i="36"/>
  <c r="A1611" i="36"/>
  <c r="B1610" i="36"/>
  <c r="A1610" i="36"/>
  <c r="B1609" i="36"/>
  <c r="A1609" i="36"/>
  <c r="B1608" i="36"/>
  <c r="A1608" i="36"/>
  <c r="B1607" i="36"/>
  <c r="A1607" i="36"/>
  <c r="B1606" i="36"/>
  <c r="A1606" i="36"/>
  <c r="B1605" i="36"/>
  <c r="A1605" i="36"/>
  <c r="B1604" i="36"/>
  <c r="A1604" i="36"/>
  <c r="B1603" i="36"/>
  <c r="A1603" i="36"/>
  <c r="B1602" i="36"/>
  <c r="A1602" i="36"/>
  <c r="B1601" i="36"/>
  <c r="A1601" i="36"/>
  <c r="B1600" i="36"/>
  <c r="A1600" i="36"/>
  <c r="B1599" i="36"/>
  <c r="A1599" i="36"/>
  <c r="B1598" i="36"/>
  <c r="A1598" i="36"/>
  <c r="B1597" i="36"/>
  <c r="A1597" i="36"/>
  <c r="B1596" i="36"/>
  <c r="A1596" i="36"/>
  <c r="B1595" i="36"/>
  <c r="A1595" i="36"/>
  <c r="B1594" i="36"/>
  <c r="A1594" i="36"/>
  <c r="B1593" i="36"/>
  <c r="A1593" i="36"/>
  <c r="B1592" i="36"/>
  <c r="A1592" i="36"/>
  <c r="B1591" i="36"/>
  <c r="A1591" i="36"/>
  <c r="B1590" i="36"/>
  <c r="A1590" i="36"/>
  <c r="B1589" i="36"/>
  <c r="A1589" i="36"/>
  <c r="B1588" i="36"/>
  <c r="A1588" i="36"/>
  <c r="B1587" i="36"/>
  <c r="A1587" i="36"/>
  <c r="B1586" i="36"/>
  <c r="A1586" i="36"/>
  <c r="B1585" i="36"/>
  <c r="A1585" i="36"/>
  <c r="B1584" i="36"/>
  <c r="A1584" i="36"/>
  <c r="B1583" i="36"/>
  <c r="A1583" i="36"/>
  <c r="B1582" i="36"/>
  <c r="A1582" i="36"/>
  <c r="B1581" i="36"/>
  <c r="A1581" i="36"/>
  <c r="B1580" i="36"/>
  <c r="A1580" i="36"/>
  <c r="B1579" i="36"/>
  <c r="A1579" i="36"/>
  <c r="B1578" i="36"/>
  <c r="A1578" i="36"/>
  <c r="B1577" i="36"/>
  <c r="A1577" i="36"/>
  <c r="B1576" i="36"/>
  <c r="A1576" i="36"/>
  <c r="B1575" i="36"/>
  <c r="A1575" i="36"/>
  <c r="B1574" i="36"/>
  <c r="A1574" i="36"/>
  <c r="B1573" i="36"/>
  <c r="A1573" i="36"/>
  <c r="B1572" i="36"/>
  <c r="A1572" i="36"/>
  <c r="B1571" i="36"/>
  <c r="A1571" i="36"/>
  <c r="B1570" i="36"/>
  <c r="A1570" i="36"/>
  <c r="B1569" i="36"/>
  <c r="A1569" i="36"/>
  <c r="B1568" i="36"/>
  <c r="A1568" i="36"/>
  <c r="B1567" i="36"/>
  <c r="A1567" i="36"/>
  <c r="B1566" i="36"/>
  <c r="A1566" i="36"/>
  <c r="B1565" i="36"/>
  <c r="A1565" i="36"/>
  <c r="B1564" i="36"/>
  <c r="A1564" i="36"/>
  <c r="B1563" i="36"/>
  <c r="A1563" i="36"/>
  <c r="B1562" i="36"/>
  <c r="A1562" i="36"/>
  <c r="B1561" i="36"/>
  <c r="A1561" i="36"/>
  <c r="B1560" i="36"/>
  <c r="A1560" i="36"/>
  <c r="B1559" i="36"/>
  <c r="A1559" i="36"/>
  <c r="B1558" i="36"/>
  <c r="A1558" i="36"/>
  <c r="B1557" i="36"/>
  <c r="A1557" i="36"/>
  <c r="B1556" i="36"/>
  <c r="A1556" i="36"/>
  <c r="B1555" i="36"/>
  <c r="A1555" i="36"/>
  <c r="B1554" i="36"/>
  <c r="A1554" i="36"/>
  <c r="B1553" i="36"/>
  <c r="A1553" i="36"/>
  <c r="B1552" i="36"/>
  <c r="A1552" i="36"/>
  <c r="B1551" i="36"/>
  <c r="A1551" i="36"/>
  <c r="B1550" i="36"/>
  <c r="A1550" i="36"/>
  <c r="B1549" i="36"/>
  <c r="A1549" i="36"/>
  <c r="B1548" i="36"/>
  <c r="A1548" i="36"/>
  <c r="B1547" i="36"/>
  <c r="A1547" i="36"/>
  <c r="B1546" i="36"/>
  <c r="A1546" i="36"/>
  <c r="B1545" i="36"/>
  <c r="A1545" i="36"/>
  <c r="B1544" i="36"/>
  <c r="A1544" i="36"/>
  <c r="B1543" i="36"/>
  <c r="A1543" i="36"/>
  <c r="B1542" i="36"/>
  <c r="A1542" i="36"/>
  <c r="B1541" i="36"/>
  <c r="A1541" i="36"/>
  <c r="B1540" i="36"/>
  <c r="A1540" i="36"/>
  <c r="B1539" i="36"/>
  <c r="A1539" i="36"/>
  <c r="B1538" i="36"/>
  <c r="A1538" i="36"/>
  <c r="B1537" i="36"/>
  <c r="A1537" i="36"/>
  <c r="B1536" i="36"/>
  <c r="A1536" i="36"/>
  <c r="B1535" i="36"/>
  <c r="A1535" i="36"/>
  <c r="B1534" i="36"/>
  <c r="A1534" i="36"/>
  <c r="B1533" i="36"/>
  <c r="A1533" i="36"/>
  <c r="B1532" i="36"/>
  <c r="A1532" i="36"/>
  <c r="B1531" i="36"/>
  <c r="A1531" i="36"/>
  <c r="B1530" i="36"/>
  <c r="A1530" i="36"/>
  <c r="B1529" i="36"/>
  <c r="A1529" i="36"/>
  <c r="B1528" i="36"/>
  <c r="A1528" i="36"/>
  <c r="B1527" i="36"/>
  <c r="A1527" i="36"/>
  <c r="B1526" i="36"/>
  <c r="A1526" i="36"/>
  <c r="B1525" i="36"/>
  <c r="A1525" i="36"/>
  <c r="B1524" i="36"/>
  <c r="A1524" i="36"/>
  <c r="B1523" i="36"/>
  <c r="A1523" i="36"/>
  <c r="B1522" i="36"/>
  <c r="A1522" i="36"/>
  <c r="B1521" i="36"/>
  <c r="A1521" i="36"/>
  <c r="B1520" i="36"/>
  <c r="A1520" i="36"/>
  <c r="B1519" i="36"/>
  <c r="A1519" i="36"/>
  <c r="B1518" i="36"/>
  <c r="A1518" i="36"/>
  <c r="B1517" i="36"/>
  <c r="A1517" i="36"/>
  <c r="B1516" i="36"/>
  <c r="A1516" i="36"/>
  <c r="B1515" i="36"/>
  <c r="A1515" i="36"/>
  <c r="B1514" i="36"/>
  <c r="A1514" i="36"/>
  <c r="B1513" i="36"/>
  <c r="A1513" i="36"/>
  <c r="B1512" i="36"/>
  <c r="A1512" i="36"/>
  <c r="B1511" i="36"/>
  <c r="A1511" i="36"/>
  <c r="B1510" i="36"/>
  <c r="A1510" i="36"/>
  <c r="B1509" i="36"/>
  <c r="A1509" i="36"/>
  <c r="B1508" i="36"/>
  <c r="A1508" i="36"/>
  <c r="B1507" i="36"/>
  <c r="A1507" i="36"/>
  <c r="B1506" i="36"/>
  <c r="A1506" i="36"/>
  <c r="B1505" i="36"/>
  <c r="A1505" i="36"/>
  <c r="B1504" i="36"/>
  <c r="A1504" i="36"/>
  <c r="B1503" i="36"/>
  <c r="A1503" i="36"/>
  <c r="B1502" i="36"/>
  <c r="A1502" i="36"/>
  <c r="B1501" i="36"/>
  <c r="A1501" i="36"/>
  <c r="B1500" i="36"/>
  <c r="A1500" i="36"/>
  <c r="B1499" i="36"/>
  <c r="A1499" i="36"/>
  <c r="B1498" i="36"/>
  <c r="A1498" i="36"/>
  <c r="B1497" i="36"/>
  <c r="A1497" i="36"/>
  <c r="B1496" i="36"/>
  <c r="A1496" i="36"/>
  <c r="B1495" i="36"/>
  <c r="A1495" i="36"/>
  <c r="B1494" i="36"/>
  <c r="A1494" i="36"/>
  <c r="B1493" i="36"/>
  <c r="A1493" i="36"/>
  <c r="B1492" i="36"/>
  <c r="A1492" i="36"/>
  <c r="B1491" i="36"/>
  <c r="A1491" i="36"/>
  <c r="B1490" i="36"/>
  <c r="A1490" i="36"/>
  <c r="B1489" i="36"/>
  <c r="A1489" i="36"/>
  <c r="B1488" i="36"/>
  <c r="A1488" i="36"/>
  <c r="B1487" i="36"/>
  <c r="A1487" i="36"/>
  <c r="B1486" i="36"/>
  <c r="A1486" i="36"/>
  <c r="B1485" i="36"/>
  <c r="A1485" i="36"/>
  <c r="B1484" i="36"/>
  <c r="A1484" i="36"/>
  <c r="B1483" i="36"/>
  <c r="A1483" i="36"/>
  <c r="B1482" i="36"/>
  <c r="A1482" i="36"/>
  <c r="B1481" i="36"/>
  <c r="A1481" i="36"/>
  <c r="B1480" i="36"/>
  <c r="A1480" i="36"/>
  <c r="B1479" i="36"/>
  <c r="A1479" i="36"/>
  <c r="B1478" i="36"/>
  <c r="A1478" i="36"/>
  <c r="B1477" i="36"/>
  <c r="A1477" i="36"/>
  <c r="B1476" i="36"/>
  <c r="A1476" i="36"/>
  <c r="B1475" i="36"/>
  <c r="A1475" i="36"/>
  <c r="B1474" i="36"/>
  <c r="A1474" i="36"/>
  <c r="B1473" i="36"/>
  <c r="A1473" i="36"/>
  <c r="B1472" i="36"/>
  <c r="A1472" i="36"/>
  <c r="B1471" i="36"/>
  <c r="A1471" i="36"/>
  <c r="B1470" i="36"/>
  <c r="A1470" i="36"/>
  <c r="B1469" i="36"/>
  <c r="A1469" i="36"/>
  <c r="B1468" i="36"/>
  <c r="A1468" i="36"/>
  <c r="B1467" i="36"/>
  <c r="A1467" i="36"/>
  <c r="B1466" i="36"/>
  <c r="A1466" i="36"/>
  <c r="B1465" i="36"/>
  <c r="A1465" i="36"/>
  <c r="B1464" i="36"/>
  <c r="A1464" i="36"/>
  <c r="B1463" i="36"/>
  <c r="A1463" i="36"/>
  <c r="B1462" i="36"/>
  <c r="A1462" i="36"/>
  <c r="B1461" i="36"/>
  <c r="A1461" i="36"/>
  <c r="B1460" i="36"/>
  <c r="A1460" i="36"/>
  <c r="B1459" i="36"/>
  <c r="A1459" i="36"/>
  <c r="B1458" i="36"/>
  <c r="A1458" i="36"/>
  <c r="B1457" i="36"/>
  <c r="A1457" i="36"/>
  <c r="B1456" i="36"/>
  <c r="A1456" i="36"/>
  <c r="B1455" i="36"/>
  <c r="A1455" i="36"/>
  <c r="B1454" i="36"/>
  <c r="A1454" i="36"/>
  <c r="B1453" i="36"/>
  <c r="A1453" i="36"/>
  <c r="B1452" i="36"/>
  <c r="A1452" i="36"/>
  <c r="B1451" i="36"/>
  <c r="A1451" i="36"/>
  <c r="B1450" i="36"/>
  <c r="A1450" i="36"/>
  <c r="B1449" i="36"/>
  <c r="A1449" i="36"/>
  <c r="B1448" i="36"/>
  <c r="A1448" i="36"/>
  <c r="B1447" i="36"/>
  <c r="A1447" i="36"/>
  <c r="B1446" i="36"/>
  <c r="A1446" i="36"/>
  <c r="B1445" i="36"/>
  <c r="A1445" i="36"/>
  <c r="B1444" i="36"/>
  <c r="A1444" i="36"/>
  <c r="B1443" i="36"/>
  <c r="A1443" i="36"/>
  <c r="B1442" i="36"/>
  <c r="A1442" i="36"/>
  <c r="B1441" i="36"/>
  <c r="A1441" i="36"/>
  <c r="B1440" i="36"/>
  <c r="A1440" i="36"/>
  <c r="B1439" i="36"/>
  <c r="A1439" i="36"/>
  <c r="B1438" i="36"/>
  <c r="A1438" i="36"/>
  <c r="B1437" i="36"/>
  <c r="A1437" i="36"/>
  <c r="B1436" i="36"/>
  <c r="A1436" i="36"/>
  <c r="B1435" i="36"/>
  <c r="A1435" i="36"/>
  <c r="B1434" i="36"/>
  <c r="A1434" i="36"/>
  <c r="B1433" i="36"/>
  <c r="A1433" i="36"/>
  <c r="B1432" i="36"/>
  <c r="A1432" i="36"/>
  <c r="B1431" i="36"/>
  <c r="A1431" i="36"/>
  <c r="B1430" i="36"/>
  <c r="A1430" i="36"/>
  <c r="B1429" i="36"/>
  <c r="A1429" i="36"/>
  <c r="B1428" i="36"/>
  <c r="A1428" i="36"/>
  <c r="B1427" i="36"/>
  <c r="A1427" i="36"/>
  <c r="B1426" i="36"/>
  <c r="A1426" i="36"/>
  <c r="B1425" i="36"/>
  <c r="A1425" i="36"/>
  <c r="B1424" i="36"/>
  <c r="A1424" i="36"/>
  <c r="B1423" i="36"/>
  <c r="A1423" i="36"/>
  <c r="B1422" i="36"/>
  <c r="A1422" i="36"/>
  <c r="B1421" i="36"/>
  <c r="A1421" i="36"/>
  <c r="B1420" i="36"/>
  <c r="A1420" i="36"/>
  <c r="B1419" i="36"/>
  <c r="A1419" i="36"/>
  <c r="B1418" i="36"/>
  <c r="A1418" i="36"/>
  <c r="B1417" i="36"/>
  <c r="A1417" i="36"/>
  <c r="B1416" i="36"/>
  <c r="A1416" i="36"/>
  <c r="B1415" i="36"/>
  <c r="A1415" i="36"/>
  <c r="B1414" i="36"/>
  <c r="A1414" i="36"/>
  <c r="B1413" i="36"/>
  <c r="A1413" i="36"/>
  <c r="B1412" i="36"/>
  <c r="A1412" i="36"/>
  <c r="B1411" i="36"/>
  <c r="A1411" i="36"/>
  <c r="B1410" i="36"/>
  <c r="A1410" i="36"/>
  <c r="B1409" i="36"/>
  <c r="A1409" i="36"/>
  <c r="B1408" i="36"/>
  <c r="A1408" i="36"/>
  <c r="B1407" i="36"/>
  <c r="A1407" i="36"/>
  <c r="B1406" i="36"/>
  <c r="A1406" i="36"/>
  <c r="B1405" i="36"/>
  <c r="A1405" i="36"/>
  <c r="B1404" i="36"/>
  <c r="A1404" i="36"/>
  <c r="B1403" i="36"/>
  <c r="A1403" i="36"/>
  <c r="B1402" i="36"/>
  <c r="A1402" i="36"/>
  <c r="B1401" i="36"/>
  <c r="A1401" i="36"/>
  <c r="B1400" i="36"/>
  <c r="A1400" i="36"/>
  <c r="B1399" i="36"/>
  <c r="A1399" i="36"/>
  <c r="B1398" i="36"/>
  <c r="A1398" i="36"/>
  <c r="B1397" i="36"/>
  <c r="A1397" i="36"/>
  <c r="B1396" i="36"/>
  <c r="A1396" i="36"/>
  <c r="B1395" i="36"/>
  <c r="A1395" i="36"/>
  <c r="B1394" i="36"/>
  <c r="A1394" i="36"/>
  <c r="B1393" i="36"/>
  <c r="A1393" i="36"/>
  <c r="B1392" i="36"/>
  <c r="A1392" i="36"/>
  <c r="B1391" i="36"/>
  <c r="A1391" i="36"/>
  <c r="B1390" i="36"/>
  <c r="A1390" i="36"/>
  <c r="B1389" i="36"/>
  <c r="A1389" i="36"/>
  <c r="B1388" i="36"/>
  <c r="A1388" i="36"/>
  <c r="B1387" i="36"/>
  <c r="A1387" i="36"/>
  <c r="B1386" i="36"/>
  <c r="A1386" i="36"/>
  <c r="B1385" i="36"/>
  <c r="A1385" i="36"/>
  <c r="B1384" i="36"/>
  <c r="A1384" i="36"/>
  <c r="B1383" i="36"/>
  <c r="A1383" i="36"/>
  <c r="B1382" i="36"/>
  <c r="A1382" i="36"/>
  <c r="B1381" i="36"/>
  <c r="A1381" i="36"/>
  <c r="B1380" i="36"/>
  <c r="A1380" i="36"/>
  <c r="B1379" i="36"/>
  <c r="A1379" i="36"/>
  <c r="B1378" i="36"/>
  <c r="A1378" i="36"/>
  <c r="B1377" i="36"/>
  <c r="A1377" i="36"/>
  <c r="B1376" i="36"/>
  <c r="A1376" i="36"/>
  <c r="B1375" i="36"/>
  <c r="A1375" i="36"/>
  <c r="B1374" i="36"/>
  <c r="A1374" i="36"/>
  <c r="B1373" i="36"/>
  <c r="A1373" i="36"/>
  <c r="B1372" i="36"/>
  <c r="A1372" i="36"/>
  <c r="B1371" i="36"/>
  <c r="A1371" i="36"/>
  <c r="B1370" i="36"/>
  <c r="A1370" i="36"/>
  <c r="B1369" i="36"/>
  <c r="A1369" i="36"/>
  <c r="B1368" i="36"/>
  <c r="A1368" i="36"/>
  <c r="B1367" i="36"/>
  <c r="A1367" i="36"/>
  <c r="B1366" i="36"/>
  <c r="A1366" i="36"/>
  <c r="B1365" i="36"/>
  <c r="A1365" i="36"/>
  <c r="B1364" i="36"/>
  <c r="A1364" i="36"/>
  <c r="B1363" i="36"/>
  <c r="A1363" i="36"/>
  <c r="B1362" i="36"/>
  <c r="A1362" i="36"/>
  <c r="B1361" i="36"/>
  <c r="A1361" i="36"/>
  <c r="B1360" i="36"/>
  <c r="A1360" i="36"/>
  <c r="B1359" i="36"/>
  <c r="A1359" i="36"/>
  <c r="B1358" i="36"/>
  <c r="A1358" i="36"/>
  <c r="B1357" i="36"/>
  <c r="A1357" i="36"/>
  <c r="B1356" i="36"/>
  <c r="A1356" i="36"/>
  <c r="B1355" i="36"/>
  <c r="A1355" i="36"/>
  <c r="B1354" i="36"/>
  <c r="A1354" i="36"/>
  <c r="B1353" i="36"/>
  <c r="A1353" i="36"/>
  <c r="B1352" i="36"/>
  <c r="A1352" i="36"/>
  <c r="B1351" i="36"/>
  <c r="A1351" i="36"/>
  <c r="B1350" i="36"/>
  <c r="A1350" i="36"/>
  <c r="B1349" i="36"/>
  <c r="A1349" i="36"/>
  <c r="B1348" i="36"/>
  <c r="A1348" i="36"/>
  <c r="B1347" i="36"/>
  <c r="A1347" i="36"/>
  <c r="B1346" i="36"/>
  <c r="A1346" i="36"/>
  <c r="B1345" i="36"/>
  <c r="A1345" i="36"/>
  <c r="B1344" i="36"/>
  <c r="A1344" i="36"/>
  <c r="B1343" i="36"/>
  <c r="A1343" i="36"/>
  <c r="B1342" i="36"/>
  <c r="A1342" i="36"/>
  <c r="B1341" i="36"/>
  <c r="A1341" i="36"/>
  <c r="B1340" i="36"/>
  <c r="A1340" i="36"/>
  <c r="B1339" i="36"/>
  <c r="A1339" i="36"/>
  <c r="B1338" i="36"/>
  <c r="A1338" i="36"/>
  <c r="B1337" i="36"/>
  <c r="A1337" i="36"/>
  <c r="B1336" i="36"/>
  <c r="A1336" i="36"/>
  <c r="B1335" i="36"/>
  <c r="A1335" i="36"/>
  <c r="B1334" i="36"/>
  <c r="A1334" i="36"/>
  <c r="B1333" i="36"/>
  <c r="A1333" i="36"/>
  <c r="B1332" i="36"/>
  <c r="A1332" i="36"/>
  <c r="B1331" i="36"/>
  <c r="A1331" i="36"/>
  <c r="B1330" i="36"/>
  <c r="A1330" i="36"/>
  <c r="B1329" i="36"/>
  <c r="A1329" i="36"/>
  <c r="B1328" i="36"/>
  <c r="A1328" i="36"/>
  <c r="B1327" i="36"/>
  <c r="A1327" i="36"/>
  <c r="B1326" i="36"/>
  <c r="A1326" i="36"/>
  <c r="B1325" i="36"/>
  <c r="A1325" i="36"/>
  <c r="B1324" i="36"/>
  <c r="A1324" i="36"/>
  <c r="B1323" i="36"/>
  <c r="A1323" i="36"/>
  <c r="B1322" i="36"/>
  <c r="A1322" i="36"/>
  <c r="B1321" i="36"/>
  <c r="A1321" i="36"/>
  <c r="B1320" i="36"/>
  <c r="A1320" i="36"/>
  <c r="B1319" i="36"/>
  <c r="A1319" i="36"/>
  <c r="B1318" i="36"/>
  <c r="A1318" i="36"/>
  <c r="B1317" i="36"/>
  <c r="A1317" i="36"/>
  <c r="B1316" i="36"/>
  <c r="A1316" i="36"/>
  <c r="B1315" i="36"/>
  <c r="A1315" i="36"/>
  <c r="B1314" i="36"/>
  <c r="A1314" i="36"/>
  <c r="B1313" i="36"/>
  <c r="A1313" i="36"/>
  <c r="B1312" i="36"/>
  <c r="A1312" i="36"/>
  <c r="B1311" i="36"/>
  <c r="A1311" i="36"/>
  <c r="B1310" i="36"/>
  <c r="A1310" i="36"/>
  <c r="B1309" i="36"/>
  <c r="A1309" i="36"/>
  <c r="B1308" i="36"/>
  <c r="A1308" i="36"/>
  <c r="B1307" i="36"/>
  <c r="A1307" i="36"/>
  <c r="B1306" i="36"/>
  <c r="A1306" i="36"/>
  <c r="B1305" i="36"/>
  <c r="A1305" i="36"/>
  <c r="B1304" i="36"/>
  <c r="A1304" i="36"/>
  <c r="B1303" i="36"/>
  <c r="A1303" i="36"/>
  <c r="B1302" i="36"/>
  <c r="A1302" i="36"/>
  <c r="B1301" i="36"/>
  <c r="A1301" i="36"/>
  <c r="B1300" i="36"/>
  <c r="A1300" i="36"/>
  <c r="B1299" i="36"/>
  <c r="A1299" i="36"/>
  <c r="B1298" i="36"/>
  <c r="A1298" i="36"/>
  <c r="B1297" i="36"/>
  <c r="A1297" i="36"/>
  <c r="B1296" i="36"/>
  <c r="A1296" i="36"/>
  <c r="B1295" i="36"/>
  <c r="A1295" i="36"/>
  <c r="B1294" i="36"/>
  <c r="A1294" i="36"/>
  <c r="B1293" i="36"/>
  <c r="A1293" i="36"/>
  <c r="B1292" i="36"/>
  <c r="A1292" i="36"/>
  <c r="B1291" i="36"/>
  <c r="A1291" i="36"/>
  <c r="B1290" i="36"/>
  <c r="A1290" i="36"/>
  <c r="B1289" i="36"/>
  <c r="A1289" i="36"/>
  <c r="B1288" i="36"/>
  <c r="A1288" i="36"/>
  <c r="B1287" i="36"/>
  <c r="A1287" i="36"/>
  <c r="B1286" i="36"/>
  <c r="A1286" i="36"/>
  <c r="B1285" i="36"/>
  <c r="A1285" i="36"/>
  <c r="B1284" i="36"/>
  <c r="A1284" i="36"/>
  <c r="B1283" i="36"/>
  <c r="A1283" i="36"/>
  <c r="B1282" i="36"/>
  <c r="A1282" i="36"/>
  <c r="B1281" i="36"/>
  <c r="A1281" i="36"/>
  <c r="B1280" i="36"/>
  <c r="A1280" i="36"/>
  <c r="B1279" i="36"/>
  <c r="A1279" i="36"/>
  <c r="B1278" i="36"/>
  <c r="A1278" i="36"/>
  <c r="B1277" i="36"/>
  <c r="A1277" i="36"/>
  <c r="B1276" i="36"/>
  <c r="A1276" i="36"/>
  <c r="B1275" i="36"/>
  <c r="A1275" i="36"/>
  <c r="B1274" i="36"/>
  <c r="A1274" i="36"/>
  <c r="B1273" i="36"/>
  <c r="A1273" i="36"/>
  <c r="B1272" i="36"/>
  <c r="A1272" i="36"/>
  <c r="B1271" i="36"/>
  <c r="A1271" i="36"/>
  <c r="B1270" i="36"/>
  <c r="A1270" i="36"/>
  <c r="B1269" i="36"/>
  <c r="A1269" i="36"/>
  <c r="B1268" i="36"/>
  <c r="A1268" i="36"/>
  <c r="B1267" i="36"/>
  <c r="A1267" i="36"/>
  <c r="B1266" i="36"/>
  <c r="A1266" i="36"/>
  <c r="B1265" i="36"/>
  <c r="A1265" i="36"/>
  <c r="B1264" i="36"/>
  <c r="A1264" i="36"/>
  <c r="B1263" i="36"/>
  <c r="A1263" i="36"/>
  <c r="B1262" i="36"/>
  <c r="A1262" i="36"/>
  <c r="B1261" i="36"/>
  <c r="A1261" i="36"/>
  <c r="B1260" i="36"/>
  <c r="A1260" i="36"/>
  <c r="B1259" i="36"/>
  <c r="A1259" i="36"/>
  <c r="B1258" i="36"/>
  <c r="A1258" i="36"/>
  <c r="B1257" i="36"/>
  <c r="A1257" i="36"/>
  <c r="B1256" i="36"/>
  <c r="A1256" i="36"/>
  <c r="B1255" i="36"/>
  <c r="A1255" i="36"/>
  <c r="B1254" i="36"/>
  <c r="A1254" i="36"/>
  <c r="B1253" i="36"/>
  <c r="A1253" i="36"/>
  <c r="B1252" i="36"/>
  <c r="A1252" i="36"/>
  <c r="B1251" i="36"/>
  <c r="A1251" i="36"/>
  <c r="B1250" i="36"/>
  <c r="A1250" i="36"/>
  <c r="B1249" i="36"/>
  <c r="A1249" i="36"/>
  <c r="B1248" i="36"/>
  <c r="A1248" i="36"/>
  <c r="B1247" i="36"/>
  <c r="A1247" i="36"/>
  <c r="B1246" i="36"/>
  <c r="A1246" i="36"/>
  <c r="B1245" i="36"/>
  <c r="A1245" i="36"/>
  <c r="B1244" i="36"/>
  <c r="A1244" i="36"/>
  <c r="B1243" i="36"/>
  <c r="A1243" i="36"/>
  <c r="B1242" i="36"/>
  <c r="A1242" i="36"/>
  <c r="B1241" i="36"/>
  <c r="A1241" i="36"/>
  <c r="B1240" i="36"/>
  <c r="A1240" i="36"/>
  <c r="B1239" i="36"/>
  <c r="A1239" i="36"/>
  <c r="B1238" i="36"/>
  <c r="A1238" i="36"/>
  <c r="B1237" i="36"/>
  <c r="A1237" i="36"/>
  <c r="B1236" i="36"/>
  <c r="A1236" i="36"/>
  <c r="B1235" i="36"/>
  <c r="A1235" i="36"/>
  <c r="B1234" i="36"/>
  <c r="A1234" i="36"/>
  <c r="B1233" i="36"/>
  <c r="A1233" i="36"/>
  <c r="B1232" i="36"/>
  <c r="A1232" i="36"/>
  <c r="B1231" i="36"/>
  <c r="A1231" i="36"/>
  <c r="B1230" i="36"/>
  <c r="A1230" i="36"/>
  <c r="B1229" i="36"/>
  <c r="A1229" i="36"/>
  <c r="B1228" i="36"/>
  <c r="A1228" i="36"/>
  <c r="B1227" i="36"/>
  <c r="A1227" i="36"/>
  <c r="B1226" i="36"/>
  <c r="A1226" i="36"/>
  <c r="B1225" i="36"/>
  <c r="A1225" i="36"/>
  <c r="B1224" i="36"/>
  <c r="A1224" i="36"/>
  <c r="B1223" i="36"/>
  <c r="A1223" i="36"/>
  <c r="B1222" i="36"/>
  <c r="A1222" i="36"/>
  <c r="B1221" i="36"/>
  <c r="A1221" i="36"/>
  <c r="B1220" i="36"/>
  <c r="A1220" i="36"/>
  <c r="B1219" i="36"/>
  <c r="A1219" i="36"/>
  <c r="B1218" i="36"/>
  <c r="A1218" i="36"/>
  <c r="B1217" i="36"/>
  <c r="A1217" i="36"/>
  <c r="B1216" i="36"/>
  <c r="A1216" i="36"/>
  <c r="B1215" i="36"/>
  <c r="A1215" i="36"/>
  <c r="B1214" i="36"/>
  <c r="A1214" i="36"/>
  <c r="B1213" i="36"/>
  <c r="A1213" i="36"/>
  <c r="B1212" i="36"/>
  <c r="A1212" i="36"/>
  <c r="B1211" i="36"/>
  <c r="A1211" i="36"/>
  <c r="B1210" i="36"/>
  <c r="A1210" i="36"/>
  <c r="B1209" i="36"/>
  <c r="A1209" i="36"/>
  <c r="B1208" i="36"/>
  <c r="A1208" i="36"/>
  <c r="B1207" i="36"/>
  <c r="A1207" i="36"/>
  <c r="B1206" i="36"/>
  <c r="A1206" i="36"/>
  <c r="B1205" i="36"/>
  <c r="A1205" i="36"/>
  <c r="B1204" i="36"/>
  <c r="A1204" i="36"/>
  <c r="B1203" i="36"/>
  <c r="A1203" i="36"/>
  <c r="B1202" i="36"/>
  <c r="A1202" i="36"/>
  <c r="B1201" i="36"/>
  <c r="A1201" i="36"/>
  <c r="B1200" i="36"/>
  <c r="A1200" i="36"/>
  <c r="B1199" i="36"/>
  <c r="A1199" i="36"/>
  <c r="B1198" i="36"/>
  <c r="A1198" i="36"/>
  <c r="B1197" i="36"/>
  <c r="A1197" i="36"/>
  <c r="B1196" i="36"/>
  <c r="A1196" i="36"/>
  <c r="B1195" i="36"/>
  <c r="A1195" i="36"/>
  <c r="B1194" i="36"/>
  <c r="A1194" i="36"/>
  <c r="B1193" i="36"/>
  <c r="A1193" i="36"/>
  <c r="B1192" i="36"/>
  <c r="A1192" i="36"/>
  <c r="B1191" i="36"/>
  <c r="A1191" i="36"/>
  <c r="B1190" i="36"/>
  <c r="A1190" i="36"/>
  <c r="B1189" i="36"/>
  <c r="A1189" i="36"/>
  <c r="B1188" i="36"/>
  <c r="A1188" i="36"/>
  <c r="B1187" i="36"/>
  <c r="A1187" i="36"/>
  <c r="B1186" i="36"/>
  <c r="A1186" i="36"/>
  <c r="B1185" i="36"/>
  <c r="A1185" i="36"/>
  <c r="B1184" i="36"/>
  <c r="A1184" i="36"/>
  <c r="B1183" i="36"/>
  <c r="A1183" i="36"/>
  <c r="B1182" i="36"/>
  <c r="A1182" i="36"/>
  <c r="B1181" i="36"/>
  <c r="A1181" i="36"/>
  <c r="B1180" i="36"/>
  <c r="A1180" i="36"/>
  <c r="B1179" i="36"/>
  <c r="A1179" i="36"/>
  <c r="B1178" i="36"/>
  <c r="A1178" i="36"/>
  <c r="B1177" i="36"/>
  <c r="A1177" i="36"/>
  <c r="B1176" i="36"/>
  <c r="A1176" i="36"/>
  <c r="B1175" i="36"/>
  <c r="A1175" i="36"/>
  <c r="B1174" i="36"/>
  <c r="A1174" i="36"/>
  <c r="B1173" i="36"/>
  <c r="A1173" i="36"/>
  <c r="B1172" i="36"/>
  <c r="A1172" i="36"/>
  <c r="B1171" i="36"/>
  <c r="A1171" i="36"/>
  <c r="B1170" i="36"/>
  <c r="A1170" i="36"/>
  <c r="B1169" i="36"/>
  <c r="A1169" i="36"/>
  <c r="B1168" i="36"/>
  <c r="A1168" i="36"/>
  <c r="B1167" i="36"/>
  <c r="A1167" i="36"/>
  <c r="B1166" i="36"/>
  <c r="A1166" i="36"/>
  <c r="B1165" i="36"/>
  <c r="A1165" i="36"/>
  <c r="B1164" i="36"/>
  <c r="A1164" i="36"/>
  <c r="B1163" i="36"/>
  <c r="A1163" i="36"/>
  <c r="B1162" i="36"/>
  <c r="A1162" i="36"/>
  <c r="B1161" i="36"/>
  <c r="A1161" i="36"/>
  <c r="B1160" i="36"/>
  <c r="A1160" i="36"/>
  <c r="B1159" i="36"/>
  <c r="A1159" i="36"/>
  <c r="B1158" i="36"/>
  <c r="A1158" i="36"/>
  <c r="B1157" i="36"/>
  <c r="A1157" i="36"/>
  <c r="B1156" i="36"/>
  <c r="A1156" i="36"/>
  <c r="B1155" i="36"/>
  <c r="A1155" i="36"/>
  <c r="B1154" i="36"/>
  <c r="A1154" i="36"/>
  <c r="B1153" i="36"/>
  <c r="A1153" i="36"/>
  <c r="B1152" i="36"/>
  <c r="A1152" i="36"/>
  <c r="B1151" i="36"/>
  <c r="A1151" i="36"/>
  <c r="B1150" i="36"/>
  <c r="A1150" i="36"/>
  <c r="B1149" i="36"/>
  <c r="A1149" i="36"/>
  <c r="B1148" i="36"/>
  <c r="A1148" i="36"/>
  <c r="B1147" i="36"/>
  <c r="A1147" i="36"/>
  <c r="B1146" i="36"/>
  <c r="A1146" i="36"/>
  <c r="B1145" i="36"/>
  <c r="A1145" i="36"/>
  <c r="B1144" i="36"/>
  <c r="A1144" i="36"/>
  <c r="B1143" i="36"/>
  <c r="A1143" i="36"/>
  <c r="B1142" i="36"/>
  <c r="A1142" i="36"/>
  <c r="B1141" i="36"/>
  <c r="A1141" i="36"/>
  <c r="B1140" i="36"/>
  <c r="A1140" i="36"/>
  <c r="B1139" i="36"/>
  <c r="A1139" i="36"/>
  <c r="B1138" i="36"/>
  <c r="A1138" i="36"/>
  <c r="B1137" i="36"/>
  <c r="A1137" i="36"/>
  <c r="B1136" i="36"/>
  <c r="A1136" i="36"/>
  <c r="B1135" i="36"/>
  <c r="A1135" i="36"/>
  <c r="B1134" i="36"/>
  <c r="A1134" i="36"/>
  <c r="B1133" i="36"/>
  <c r="A1133" i="36"/>
  <c r="B1132" i="36"/>
  <c r="A1132" i="36"/>
  <c r="B1131" i="36"/>
  <c r="A1131" i="36"/>
  <c r="B1130" i="36"/>
  <c r="A1130" i="36"/>
  <c r="B1129" i="36"/>
  <c r="A1129" i="36"/>
  <c r="B1128" i="36"/>
  <c r="A1128" i="36"/>
  <c r="B1127" i="36"/>
  <c r="A1127" i="36"/>
  <c r="B1126" i="36"/>
  <c r="A1126" i="36"/>
  <c r="B1125" i="36"/>
  <c r="A1125" i="36"/>
  <c r="B1124" i="36"/>
  <c r="A1124" i="36"/>
  <c r="B1123" i="36"/>
  <c r="A1123" i="36"/>
  <c r="B1122" i="36"/>
  <c r="A1122" i="36"/>
  <c r="B1121" i="36"/>
  <c r="A1121" i="36"/>
  <c r="B1120" i="36"/>
  <c r="A1120" i="36"/>
  <c r="B1119" i="36"/>
  <c r="A1119" i="36"/>
  <c r="B1118" i="36"/>
  <c r="A1118" i="36"/>
  <c r="B1117" i="36"/>
  <c r="A1117" i="36"/>
  <c r="B1116" i="36"/>
  <c r="A1116" i="36"/>
  <c r="B1115" i="36"/>
  <c r="A1115" i="36"/>
  <c r="B1114" i="36"/>
  <c r="A1114" i="36"/>
  <c r="B1113" i="36"/>
  <c r="A1113" i="36"/>
  <c r="B1112" i="36"/>
  <c r="A1112" i="36"/>
  <c r="B1111" i="36"/>
  <c r="A1111" i="36"/>
  <c r="B1110" i="36"/>
  <c r="A1110" i="36"/>
  <c r="B1109" i="36"/>
  <c r="A1109" i="36"/>
  <c r="B1108" i="36"/>
  <c r="A1108" i="36"/>
  <c r="B1107" i="36"/>
  <c r="A1107" i="36"/>
  <c r="B1106" i="36"/>
  <c r="A1106" i="36"/>
  <c r="B1105" i="36"/>
  <c r="A1105" i="36"/>
  <c r="B1104" i="36"/>
  <c r="A1104" i="36"/>
  <c r="B1103" i="36"/>
  <c r="A1103" i="36"/>
  <c r="B1102" i="36"/>
  <c r="A1102" i="36"/>
  <c r="B1101" i="36"/>
  <c r="A1101" i="36"/>
  <c r="B1100" i="36"/>
  <c r="A1100" i="36"/>
  <c r="B1099" i="36"/>
  <c r="A1099" i="36"/>
  <c r="B1098" i="36"/>
  <c r="A1098" i="36"/>
  <c r="B1097" i="36"/>
  <c r="A1097" i="36"/>
  <c r="B1096" i="36"/>
  <c r="A1096" i="36"/>
  <c r="B1095" i="36"/>
  <c r="A1095" i="36"/>
  <c r="B1094" i="36"/>
  <c r="A1094" i="36"/>
  <c r="B1093" i="36"/>
  <c r="A1093" i="36"/>
  <c r="B1092" i="36"/>
  <c r="A1092" i="36"/>
  <c r="B1091" i="36"/>
  <c r="A1091" i="36"/>
  <c r="B1090" i="36"/>
  <c r="A1090" i="36"/>
  <c r="B1089" i="36"/>
  <c r="A1089" i="36"/>
  <c r="B1088" i="36"/>
  <c r="A1088" i="36"/>
  <c r="B1087" i="36"/>
  <c r="A1087" i="36"/>
  <c r="B1086" i="36"/>
  <c r="A1086" i="36"/>
  <c r="B1085" i="36"/>
  <c r="A1085" i="36"/>
  <c r="B1084" i="36"/>
  <c r="A1084" i="36"/>
  <c r="B1083" i="36"/>
  <c r="A1083" i="36"/>
  <c r="B1082" i="36"/>
  <c r="A1082" i="36"/>
  <c r="B1081" i="36"/>
  <c r="A1081" i="36"/>
  <c r="B1080" i="36"/>
  <c r="A1080" i="36"/>
  <c r="B1079" i="36"/>
  <c r="A1079" i="36"/>
  <c r="B1078" i="36"/>
  <c r="A1078" i="36"/>
  <c r="B1077" i="36"/>
  <c r="A1077" i="36"/>
  <c r="B1076" i="36"/>
  <c r="A1076" i="36"/>
  <c r="B1075" i="36"/>
  <c r="A1075" i="36"/>
  <c r="B1074" i="36"/>
  <c r="A1074" i="36"/>
  <c r="B1073" i="36"/>
  <c r="A1073" i="36"/>
  <c r="B1072" i="36"/>
  <c r="A1072" i="36"/>
  <c r="B1071" i="36"/>
  <c r="A1071" i="36"/>
  <c r="B1070" i="36"/>
  <c r="A1070" i="36"/>
  <c r="B1069" i="36"/>
  <c r="A1069" i="36"/>
  <c r="B1068" i="36"/>
  <c r="A1068" i="36"/>
  <c r="B1067" i="36"/>
  <c r="A1067" i="36"/>
  <c r="B1066" i="36"/>
  <c r="A1066" i="36"/>
  <c r="B1065" i="36"/>
  <c r="A1065" i="36"/>
  <c r="B1064" i="36"/>
  <c r="A1064" i="36"/>
  <c r="B1063" i="36"/>
  <c r="A1063" i="36"/>
  <c r="B1062" i="36"/>
  <c r="A1062" i="36"/>
  <c r="B1061" i="36"/>
  <c r="A1061" i="36"/>
  <c r="B1060" i="36"/>
  <c r="A1060" i="36"/>
  <c r="B1059" i="36"/>
  <c r="A1059" i="36"/>
  <c r="B1058" i="36"/>
  <c r="A1058" i="36"/>
  <c r="B1057" i="36"/>
  <c r="A1057" i="36"/>
  <c r="B1056" i="36"/>
  <c r="A1056" i="36"/>
  <c r="B1055" i="36"/>
  <c r="A1055" i="36"/>
  <c r="B1054" i="36"/>
  <c r="A1054" i="36"/>
  <c r="B1053" i="36"/>
  <c r="A1053" i="36"/>
  <c r="B1052" i="36"/>
  <c r="A1052" i="36"/>
  <c r="B1051" i="36"/>
  <c r="A1051" i="36"/>
  <c r="B1050" i="36"/>
  <c r="A1050" i="36"/>
  <c r="B1049" i="36"/>
  <c r="A1049" i="36"/>
  <c r="B1048" i="36"/>
  <c r="A1048" i="36"/>
  <c r="B1047" i="36"/>
  <c r="A1047" i="36"/>
  <c r="B1046" i="36"/>
  <c r="A1046" i="36"/>
  <c r="B1045" i="36"/>
  <c r="A1045" i="36"/>
  <c r="B1044" i="36"/>
  <c r="A1044" i="36"/>
  <c r="B1043" i="36"/>
  <c r="A1043" i="36"/>
  <c r="B1042" i="36"/>
  <c r="A1042" i="36"/>
  <c r="B1041" i="36"/>
  <c r="A1041" i="36"/>
  <c r="B1040" i="36"/>
  <c r="A1040" i="36"/>
  <c r="B1039" i="36"/>
  <c r="A1039" i="36"/>
  <c r="B1038" i="36"/>
  <c r="A1038" i="36"/>
  <c r="B1037" i="36"/>
  <c r="A1037" i="36"/>
  <c r="B1036" i="36"/>
  <c r="A1036" i="36"/>
  <c r="B1035" i="36"/>
  <c r="A1035" i="36"/>
  <c r="B1034" i="36"/>
  <c r="A1034" i="36"/>
  <c r="B1033" i="36"/>
  <c r="A1033" i="36"/>
  <c r="B1032" i="36"/>
  <c r="A1032" i="36"/>
  <c r="B1031" i="36"/>
  <c r="A1031" i="36"/>
  <c r="B1030" i="36"/>
  <c r="A1030" i="36"/>
  <c r="B1029" i="36"/>
  <c r="A1029" i="36"/>
  <c r="B1028" i="36"/>
  <c r="A1028" i="36"/>
  <c r="B1027" i="36"/>
  <c r="A1027" i="36"/>
  <c r="B1026" i="36"/>
  <c r="A1026" i="36"/>
  <c r="B1025" i="36"/>
  <c r="A1025" i="36"/>
  <c r="B1024" i="36"/>
  <c r="A1024" i="36"/>
  <c r="B1023" i="36"/>
  <c r="A1023" i="36"/>
  <c r="B1022" i="36"/>
  <c r="A1022" i="36"/>
  <c r="B1021" i="36"/>
  <c r="A1021" i="36"/>
  <c r="B1020" i="36"/>
  <c r="A1020" i="36"/>
  <c r="B1019" i="36"/>
  <c r="A1019" i="36"/>
  <c r="B1018" i="36"/>
  <c r="A1018" i="36"/>
  <c r="B1017" i="36"/>
  <c r="A1017" i="36"/>
  <c r="B1016" i="36"/>
  <c r="A1016" i="36"/>
  <c r="B1015" i="36"/>
  <c r="A1015" i="36"/>
  <c r="B1014" i="36"/>
  <c r="A1014" i="36"/>
  <c r="B1013" i="36"/>
  <c r="A1013" i="36"/>
  <c r="B1012" i="36"/>
  <c r="A1012" i="36"/>
  <c r="B1011" i="36"/>
  <c r="A1011" i="36"/>
  <c r="B1010" i="36"/>
  <c r="A1010" i="36"/>
  <c r="B1009" i="36"/>
  <c r="A1009" i="36"/>
  <c r="B1008" i="36"/>
  <c r="A1008" i="36"/>
  <c r="B1007" i="36"/>
  <c r="A1007" i="36"/>
  <c r="B1006" i="36"/>
  <c r="A1006" i="36"/>
  <c r="B1005" i="36"/>
  <c r="A1005" i="36"/>
  <c r="B1004" i="36"/>
  <c r="A1004" i="36"/>
  <c r="B1003" i="36"/>
  <c r="A1003" i="36"/>
  <c r="B1002" i="36"/>
  <c r="A1002" i="36"/>
  <c r="B1001" i="36"/>
  <c r="A1001" i="36"/>
  <c r="B1000" i="36"/>
  <c r="A1000" i="36"/>
  <c r="B999" i="36"/>
  <c r="A999" i="36"/>
  <c r="B998" i="36"/>
  <c r="A998" i="36"/>
  <c r="B997" i="36"/>
  <c r="A997" i="36"/>
  <c r="B996" i="36"/>
  <c r="A996" i="36"/>
  <c r="B995" i="36"/>
  <c r="A995" i="36"/>
  <c r="B994" i="36"/>
  <c r="A994" i="36"/>
  <c r="B993" i="36"/>
  <c r="A993" i="36"/>
  <c r="B992" i="36"/>
  <c r="A992" i="36"/>
  <c r="B991" i="36"/>
  <c r="A991" i="36"/>
  <c r="B990" i="36"/>
  <c r="A990" i="36"/>
  <c r="B989" i="36"/>
  <c r="A989" i="36"/>
  <c r="B988" i="36"/>
  <c r="A988" i="36"/>
  <c r="B987" i="36"/>
  <c r="A987" i="36"/>
  <c r="B986" i="36"/>
  <c r="A986" i="36"/>
  <c r="B985" i="36"/>
  <c r="A985" i="36"/>
  <c r="B984" i="36"/>
  <c r="A984" i="36"/>
  <c r="B983" i="36"/>
  <c r="A983" i="36"/>
  <c r="B982" i="36"/>
  <c r="A982" i="36"/>
  <c r="B981" i="36"/>
  <c r="A981" i="36"/>
  <c r="B980" i="36"/>
  <c r="A980" i="36"/>
  <c r="B979" i="36"/>
  <c r="A979" i="36"/>
  <c r="B978" i="36"/>
  <c r="A978" i="36"/>
  <c r="B977" i="36"/>
  <c r="A977" i="36"/>
  <c r="B976" i="36"/>
  <c r="A976" i="36"/>
  <c r="B975" i="36"/>
  <c r="A975" i="36"/>
  <c r="B974" i="36"/>
  <c r="A974" i="36"/>
  <c r="B973" i="36"/>
  <c r="A973" i="36"/>
  <c r="B972" i="36"/>
  <c r="A972" i="36"/>
  <c r="B971" i="36"/>
  <c r="A971" i="36"/>
  <c r="B970" i="36"/>
  <c r="A970" i="36"/>
  <c r="B969" i="36"/>
  <c r="A969" i="36"/>
  <c r="B968" i="36"/>
  <c r="A968" i="36"/>
  <c r="B967" i="36"/>
  <c r="A967" i="36"/>
  <c r="B966" i="36"/>
  <c r="A966" i="36"/>
  <c r="B965" i="36"/>
  <c r="A965" i="36"/>
  <c r="B964" i="36"/>
  <c r="A964" i="36"/>
  <c r="B963" i="36"/>
  <c r="A963" i="36"/>
  <c r="B962" i="36"/>
  <c r="A962" i="36"/>
  <c r="B961" i="36"/>
  <c r="A961" i="36"/>
  <c r="B960" i="36"/>
  <c r="A960" i="36"/>
  <c r="B959" i="36"/>
  <c r="A959" i="36"/>
  <c r="B958" i="36"/>
  <c r="A958" i="36"/>
  <c r="B957" i="36"/>
  <c r="A957" i="36"/>
  <c r="B956" i="36"/>
  <c r="A956" i="36"/>
  <c r="B955" i="36"/>
  <c r="A955" i="36"/>
  <c r="B954" i="36"/>
  <c r="A954" i="36"/>
  <c r="B953" i="36"/>
  <c r="A953" i="36"/>
  <c r="B952" i="36"/>
  <c r="A952" i="36"/>
  <c r="B951" i="36"/>
  <c r="A951" i="36"/>
  <c r="B950" i="36"/>
  <c r="A950" i="36"/>
  <c r="B949" i="36"/>
  <c r="A949" i="36"/>
  <c r="B948" i="36"/>
  <c r="A948" i="36"/>
  <c r="B947" i="36"/>
  <c r="A947" i="36"/>
  <c r="B946" i="36"/>
  <c r="A946" i="36"/>
  <c r="B945" i="36"/>
  <c r="A945" i="36"/>
  <c r="B944" i="36"/>
  <c r="A944" i="36"/>
  <c r="B943" i="36"/>
  <c r="A943" i="36"/>
  <c r="B942" i="36"/>
  <c r="A942" i="36"/>
  <c r="B941" i="36"/>
  <c r="A941" i="36"/>
  <c r="B940" i="36"/>
  <c r="A940" i="36"/>
  <c r="B939" i="36"/>
  <c r="A939" i="36"/>
  <c r="B938" i="36"/>
  <c r="A938" i="36"/>
  <c r="B937" i="36"/>
  <c r="A937" i="36"/>
  <c r="B936" i="36"/>
  <c r="A936" i="36"/>
  <c r="B935" i="36"/>
  <c r="A935" i="36"/>
  <c r="B934" i="36"/>
  <c r="A934" i="36"/>
  <c r="B933" i="36"/>
  <c r="A933" i="36"/>
  <c r="B932" i="36"/>
  <c r="A932" i="36"/>
  <c r="B931" i="36"/>
  <c r="A931" i="36"/>
  <c r="B930" i="36"/>
  <c r="A930" i="36"/>
  <c r="B929" i="36"/>
  <c r="A929" i="36"/>
  <c r="B928" i="36"/>
  <c r="A928" i="36"/>
  <c r="B927" i="36"/>
  <c r="A927" i="36"/>
  <c r="B926" i="36"/>
  <c r="A926" i="36"/>
  <c r="B925" i="36"/>
  <c r="A925" i="36"/>
  <c r="B924" i="36"/>
  <c r="A924" i="36"/>
  <c r="B923" i="36"/>
  <c r="A923" i="36"/>
  <c r="B922" i="36"/>
  <c r="A922" i="36"/>
  <c r="B921" i="36"/>
  <c r="A921" i="36"/>
  <c r="B920" i="36"/>
  <c r="A920" i="36"/>
  <c r="B919" i="36"/>
  <c r="A919" i="36"/>
  <c r="B918" i="36"/>
  <c r="A918" i="36"/>
  <c r="B917" i="36"/>
  <c r="A917" i="36"/>
  <c r="B916" i="36"/>
  <c r="A916" i="36"/>
  <c r="B915" i="36"/>
  <c r="A915" i="36"/>
  <c r="B914" i="36"/>
  <c r="A914" i="36"/>
  <c r="B913" i="36"/>
  <c r="A913" i="36"/>
  <c r="B912" i="36"/>
  <c r="A912" i="36"/>
  <c r="B911" i="36"/>
  <c r="A911" i="36"/>
  <c r="B910" i="36"/>
  <c r="A910" i="36"/>
  <c r="B909" i="36"/>
  <c r="A909" i="36"/>
  <c r="B908" i="36"/>
  <c r="A908" i="36"/>
  <c r="B907" i="36"/>
  <c r="A907" i="36"/>
  <c r="B906" i="36"/>
  <c r="A906" i="36"/>
  <c r="B905" i="36"/>
  <c r="A905" i="36"/>
  <c r="B904" i="36"/>
  <c r="A904" i="36"/>
  <c r="B903" i="36"/>
  <c r="A903" i="36"/>
  <c r="B902" i="36"/>
  <c r="A902" i="36"/>
  <c r="B901" i="36"/>
  <c r="A901" i="36"/>
  <c r="B900" i="36"/>
  <c r="A900" i="36"/>
  <c r="B899" i="36"/>
  <c r="A899" i="36"/>
  <c r="B898" i="36"/>
  <c r="A898" i="36"/>
  <c r="B897" i="36"/>
  <c r="A897" i="36"/>
  <c r="B896" i="36"/>
  <c r="A896" i="36"/>
  <c r="B895" i="36"/>
  <c r="A895" i="36"/>
  <c r="B894" i="36"/>
  <c r="A894" i="36"/>
  <c r="B893" i="36"/>
  <c r="A893" i="36"/>
  <c r="B892" i="36"/>
  <c r="A892" i="36"/>
  <c r="B891" i="36"/>
  <c r="A891" i="36"/>
  <c r="B890" i="36"/>
  <c r="A890" i="36"/>
  <c r="B889" i="36"/>
  <c r="A889" i="36"/>
  <c r="B888" i="36"/>
  <c r="A888" i="36"/>
  <c r="B887" i="36"/>
  <c r="A887" i="36"/>
  <c r="B886" i="36"/>
  <c r="A886" i="36"/>
  <c r="B885" i="36"/>
  <c r="A885" i="36"/>
  <c r="B884" i="36"/>
  <c r="A884" i="36"/>
  <c r="B883" i="36"/>
  <c r="A883" i="36"/>
  <c r="B882" i="36"/>
  <c r="A882" i="36"/>
  <c r="B881" i="36"/>
  <c r="A881" i="36"/>
  <c r="B880" i="36"/>
  <c r="A880" i="36"/>
  <c r="B879" i="36"/>
  <c r="A879" i="36"/>
  <c r="B878" i="36"/>
  <c r="A878" i="36"/>
  <c r="B877" i="36"/>
  <c r="A877" i="36"/>
  <c r="B876" i="36"/>
  <c r="A876" i="36"/>
  <c r="B875" i="36"/>
  <c r="A875" i="36"/>
  <c r="B874" i="36"/>
  <c r="A874" i="36"/>
  <c r="B873" i="36"/>
  <c r="A873" i="36"/>
  <c r="B872" i="36"/>
  <c r="A872" i="36"/>
  <c r="B871" i="36"/>
  <c r="A871" i="36"/>
  <c r="B870" i="36"/>
  <c r="A870" i="36"/>
  <c r="B869" i="36"/>
  <c r="A869" i="36"/>
  <c r="B868" i="36"/>
  <c r="A868" i="36"/>
  <c r="B867" i="36"/>
  <c r="A867" i="36"/>
  <c r="B866" i="36"/>
  <c r="A866" i="36"/>
  <c r="B865" i="36"/>
  <c r="A865" i="36"/>
  <c r="B864" i="36"/>
  <c r="A864" i="36"/>
  <c r="B863" i="36"/>
  <c r="A863" i="36"/>
  <c r="B862" i="36"/>
  <c r="A862" i="36"/>
  <c r="B861" i="36"/>
  <c r="A861" i="36"/>
  <c r="B860" i="36"/>
  <c r="A860" i="36"/>
  <c r="B859" i="36"/>
  <c r="A859" i="36"/>
  <c r="B858" i="36"/>
  <c r="A858" i="36"/>
  <c r="B857" i="36"/>
  <c r="A857" i="36"/>
  <c r="B856" i="36"/>
  <c r="A856" i="36"/>
  <c r="B855" i="36"/>
  <c r="A855" i="36"/>
  <c r="B854" i="36"/>
  <c r="A854" i="36"/>
  <c r="B853" i="36"/>
  <c r="A853" i="36"/>
  <c r="B852" i="36"/>
  <c r="A852" i="36"/>
  <c r="B851" i="36"/>
  <c r="A851" i="36"/>
  <c r="B850" i="36"/>
  <c r="A850" i="36"/>
  <c r="B849" i="36"/>
  <c r="A849" i="36"/>
  <c r="B848" i="36"/>
  <c r="A848" i="36"/>
  <c r="B847" i="36"/>
  <c r="A847" i="36"/>
  <c r="B846" i="36"/>
  <c r="A846" i="36"/>
  <c r="B845" i="36"/>
  <c r="A845" i="36"/>
  <c r="B844" i="36"/>
  <c r="A844" i="36"/>
  <c r="B843" i="36"/>
  <c r="A843" i="36"/>
  <c r="B842" i="36"/>
  <c r="A842" i="36"/>
  <c r="B841" i="36"/>
  <c r="A841" i="36"/>
  <c r="B840" i="36"/>
  <c r="A840" i="36"/>
  <c r="B839" i="36"/>
  <c r="A839" i="36"/>
  <c r="B838" i="36"/>
  <c r="A838" i="36"/>
  <c r="B837" i="36"/>
  <c r="A837" i="36"/>
  <c r="B836" i="36"/>
  <c r="A836" i="36"/>
  <c r="B835" i="36"/>
  <c r="A835" i="36"/>
  <c r="B834" i="36"/>
  <c r="A834" i="36"/>
  <c r="B833" i="36"/>
  <c r="A833" i="36"/>
  <c r="B832" i="36"/>
  <c r="A832" i="36"/>
  <c r="B831" i="36"/>
  <c r="A831" i="36"/>
  <c r="B830" i="36"/>
  <c r="A830" i="36"/>
  <c r="B829" i="36"/>
  <c r="A829" i="36"/>
  <c r="B828" i="36"/>
  <c r="A828" i="36"/>
  <c r="B827" i="36"/>
  <c r="A827" i="36"/>
  <c r="B826" i="36"/>
  <c r="A826" i="36"/>
  <c r="B825" i="36"/>
  <c r="A825" i="36"/>
  <c r="B824" i="36"/>
  <c r="A824" i="36"/>
  <c r="B823" i="36"/>
  <c r="A823" i="36"/>
  <c r="B822" i="36"/>
  <c r="A822" i="36"/>
  <c r="B821" i="36"/>
  <c r="A821" i="36"/>
  <c r="B820" i="36"/>
  <c r="A820" i="36"/>
  <c r="B819" i="36"/>
  <c r="A819" i="36"/>
  <c r="B818" i="36"/>
  <c r="A818" i="36"/>
  <c r="B817" i="36"/>
  <c r="A817" i="36"/>
  <c r="B816" i="36"/>
  <c r="A816" i="36"/>
  <c r="B815" i="36"/>
  <c r="A815" i="36"/>
  <c r="B814" i="36"/>
  <c r="A814" i="36"/>
  <c r="B813" i="36"/>
  <c r="A813" i="36"/>
  <c r="B812" i="36"/>
  <c r="A812" i="36"/>
  <c r="B811" i="36"/>
  <c r="A811" i="36"/>
  <c r="B810" i="36"/>
  <c r="A810" i="36"/>
  <c r="B809" i="36"/>
  <c r="A809" i="36"/>
  <c r="B808" i="36"/>
  <c r="A808" i="36"/>
  <c r="B807" i="36"/>
  <c r="A807" i="36"/>
  <c r="B806" i="36"/>
  <c r="A806" i="36"/>
  <c r="B805" i="36"/>
  <c r="A805" i="36"/>
  <c r="B804" i="36"/>
  <c r="A804" i="36"/>
  <c r="B803" i="36"/>
  <c r="A803" i="36"/>
  <c r="B802" i="36"/>
  <c r="A802" i="36"/>
  <c r="B801" i="36"/>
  <c r="A801" i="36"/>
  <c r="B800" i="36"/>
  <c r="A800" i="36"/>
  <c r="B799" i="36"/>
  <c r="A799" i="36"/>
  <c r="B798" i="36"/>
  <c r="A798" i="36"/>
  <c r="B797" i="36"/>
  <c r="A797" i="36"/>
  <c r="B796" i="36"/>
  <c r="A796" i="36"/>
  <c r="B795" i="36"/>
  <c r="A795" i="36"/>
  <c r="B794" i="36"/>
  <c r="A794" i="36"/>
  <c r="B793" i="36"/>
  <c r="A793" i="36"/>
  <c r="B792" i="36"/>
  <c r="A792" i="36"/>
  <c r="B791" i="36"/>
  <c r="A791" i="36"/>
  <c r="B790" i="36"/>
  <c r="A790" i="36"/>
  <c r="B789" i="36"/>
  <c r="A789" i="36"/>
  <c r="B788" i="36"/>
  <c r="A788" i="36"/>
  <c r="B787" i="36"/>
  <c r="A787" i="36"/>
  <c r="B786" i="36"/>
  <c r="A786" i="36"/>
  <c r="B785" i="36"/>
  <c r="A785" i="36"/>
  <c r="B784" i="36"/>
  <c r="A784" i="36"/>
  <c r="B783" i="36"/>
  <c r="A783" i="36"/>
  <c r="B782" i="36"/>
  <c r="A782" i="36"/>
  <c r="B781" i="36"/>
  <c r="A781" i="36"/>
  <c r="B780" i="36"/>
  <c r="A780" i="36"/>
  <c r="B779" i="36"/>
  <c r="A779" i="36"/>
  <c r="B778" i="36"/>
  <c r="A778" i="36"/>
  <c r="B777" i="36"/>
  <c r="A777" i="36"/>
  <c r="B776" i="36"/>
  <c r="A776" i="36"/>
  <c r="B775" i="36"/>
  <c r="A775" i="36"/>
  <c r="B774" i="36"/>
  <c r="A774" i="36"/>
  <c r="B773" i="36"/>
  <c r="A773" i="36"/>
  <c r="B772" i="36"/>
  <c r="A772" i="36"/>
  <c r="B771" i="36"/>
  <c r="A771" i="36"/>
  <c r="B770" i="36"/>
  <c r="A770" i="36"/>
  <c r="B769" i="36"/>
  <c r="A769" i="36"/>
  <c r="B768" i="36"/>
  <c r="A768" i="36"/>
  <c r="B767" i="36"/>
  <c r="A767" i="36"/>
  <c r="B766" i="36"/>
  <c r="A766" i="36"/>
  <c r="B765" i="36"/>
  <c r="A765" i="36"/>
  <c r="B764" i="36"/>
  <c r="A764" i="36"/>
  <c r="B763" i="36"/>
  <c r="A763" i="36"/>
  <c r="B762" i="36"/>
  <c r="A762" i="36"/>
  <c r="B761" i="36"/>
  <c r="A761" i="36"/>
  <c r="B760" i="36"/>
  <c r="A760" i="36"/>
  <c r="B759" i="36"/>
  <c r="A759" i="36"/>
  <c r="B758" i="36"/>
  <c r="A758" i="36"/>
  <c r="B757" i="36"/>
  <c r="A757" i="36"/>
  <c r="B756" i="36"/>
  <c r="A756" i="36"/>
  <c r="B755" i="36"/>
  <c r="A755" i="36"/>
  <c r="B754" i="36"/>
  <c r="A754" i="36"/>
  <c r="B753" i="36"/>
  <c r="A753" i="36"/>
  <c r="B752" i="36"/>
  <c r="A752" i="36"/>
  <c r="B751" i="36"/>
  <c r="A751" i="36"/>
  <c r="B750" i="36"/>
  <c r="A750" i="36"/>
  <c r="B749" i="36"/>
  <c r="A749" i="36"/>
  <c r="B748" i="36"/>
  <c r="A748" i="36"/>
  <c r="B747" i="36"/>
  <c r="A747" i="36"/>
  <c r="B746" i="36"/>
  <c r="A746" i="36"/>
  <c r="B745" i="36"/>
  <c r="A745" i="36"/>
  <c r="B744" i="36"/>
  <c r="A744" i="36"/>
  <c r="B743" i="36"/>
  <c r="A743" i="36"/>
  <c r="B742" i="36"/>
  <c r="A742" i="36"/>
  <c r="B741" i="36"/>
  <c r="A741" i="36"/>
  <c r="B740" i="36"/>
  <c r="A740" i="36"/>
  <c r="B739" i="36"/>
  <c r="A739" i="36"/>
  <c r="B738" i="36"/>
  <c r="A738" i="36"/>
  <c r="B737" i="36"/>
  <c r="A737" i="36"/>
  <c r="B736" i="36"/>
  <c r="A736" i="36"/>
  <c r="B735" i="36"/>
  <c r="A735" i="36"/>
  <c r="B734" i="36"/>
  <c r="A734" i="36"/>
  <c r="B733" i="36"/>
  <c r="A733" i="36"/>
  <c r="B732" i="36"/>
  <c r="A732" i="36"/>
  <c r="B731" i="36"/>
  <c r="A731" i="36"/>
  <c r="B730" i="36"/>
  <c r="A730" i="36"/>
  <c r="B729" i="36"/>
  <c r="A729" i="36"/>
  <c r="B728" i="36"/>
  <c r="A728" i="36"/>
  <c r="B727" i="36"/>
  <c r="A727" i="36"/>
  <c r="B726" i="36"/>
  <c r="A726" i="36"/>
  <c r="B725" i="36"/>
  <c r="A725" i="36"/>
  <c r="B724" i="36"/>
  <c r="A724" i="36"/>
  <c r="B723" i="36"/>
  <c r="A723" i="36"/>
  <c r="B722" i="36"/>
  <c r="A722" i="36"/>
  <c r="B721" i="36"/>
  <c r="A721" i="36"/>
  <c r="B720" i="36"/>
  <c r="A720" i="36"/>
  <c r="B719" i="36"/>
  <c r="A719" i="36"/>
  <c r="B718" i="36"/>
  <c r="A718" i="36"/>
  <c r="B717" i="36"/>
  <c r="A717" i="36"/>
  <c r="B716" i="36"/>
  <c r="A716" i="36"/>
  <c r="B715" i="36"/>
  <c r="A715" i="36"/>
  <c r="B714" i="36"/>
  <c r="A714" i="36"/>
  <c r="B713" i="36"/>
  <c r="A713" i="36"/>
  <c r="B712" i="36"/>
  <c r="A712" i="36"/>
  <c r="B711" i="36"/>
  <c r="A711" i="36"/>
  <c r="B710" i="36"/>
  <c r="A710" i="36"/>
  <c r="B709" i="36"/>
  <c r="A709" i="36"/>
  <c r="B708" i="36"/>
  <c r="A708" i="36"/>
  <c r="B707" i="36"/>
  <c r="A707" i="36"/>
  <c r="B706" i="36"/>
  <c r="A706" i="36"/>
  <c r="B705" i="36"/>
  <c r="A705" i="36"/>
  <c r="B704" i="36"/>
  <c r="A704" i="36"/>
  <c r="B703" i="36"/>
  <c r="A703" i="36"/>
  <c r="B702" i="36"/>
  <c r="A702" i="36"/>
  <c r="B701" i="36"/>
  <c r="A701" i="36"/>
  <c r="B700" i="36"/>
  <c r="A700" i="36"/>
  <c r="B699" i="36"/>
  <c r="A699" i="36"/>
  <c r="B698" i="36"/>
  <c r="A698" i="36"/>
  <c r="B697" i="36"/>
  <c r="A697" i="36"/>
  <c r="B696" i="36"/>
  <c r="A696" i="36"/>
  <c r="B695" i="36"/>
  <c r="A695" i="36"/>
  <c r="B694" i="36"/>
  <c r="A694" i="36"/>
  <c r="B693" i="36"/>
  <c r="A693" i="36"/>
  <c r="B692" i="36"/>
  <c r="A692" i="36"/>
  <c r="B691" i="36"/>
  <c r="A691" i="36"/>
  <c r="B690" i="36"/>
  <c r="A690" i="36"/>
  <c r="B689" i="36"/>
  <c r="A689" i="36"/>
  <c r="B688" i="36"/>
  <c r="A688" i="36"/>
  <c r="B687" i="36"/>
  <c r="A687" i="36"/>
  <c r="B686" i="36"/>
  <c r="A686" i="36"/>
  <c r="B685" i="36"/>
  <c r="A685" i="36"/>
  <c r="B684" i="36"/>
  <c r="A684" i="36"/>
  <c r="B683" i="36"/>
  <c r="A683" i="36"/>
  <c r="B682" i="36"/>
  <c r="A682" i="36"/>
  <c r="B681" i="36"/>
  <c r="A681" i="36"/>
  <c r="B680" i="36"/>
  <c r="A680" i="36"/>
  <c r="B679" i="36"/>
  <c r="A679" i="36"/>
  <c r="B678" i="36"/>
  <c r="A678" i="36"/>
  <c r="B677" i="36"/>
  <c r="A677" i="36"/>
  <c r="B676" i="36"/>
  <c r="A676" i="36"/>
  <c r="B675" i="36"/>
  <c r="A675" i="36"/>
  <c r="B674" i="36"/>
  <c r="A674" i="36"/>
  <c r="B673" i="36"/>
  <c r="A673" i="36"/>
  <c r="B672" i="36"/>
  <c r="A672" i="36"/>
  <c r="B671" i="36"/>
  <c r="A671" i="36"/>
  <c r="B670" i="36"/>
  <c r="A670" i="36"/>
  <c r="B669" i="36"/>
  <c r="A669" i="36"/>
  <c r="B668" i="36"/>
  <c r="A668" i="36"/>
  <c r="B667" i="36"/>
  <c r="A667" i="36"/>
  <c r="B666" i="36"/>
  <c r="A666" i="36"/>
  <c r="B665" i="36"/>
  <c r="A665" i="36"/>
  <c r="B664" i="36"/>
  <c r="A664" i="36"/>
  <c r="B663" i="36"/>
  <c r="A663" i="36"/>
  <c r="B662" i="36"/>
  <c r="A662" i="36"/>
  <c r="B661" i="36"/>
  <c r="A661" i="36"/>
  <c r="B660" i="36"/>
  <c r="A660" i="36"/>
  <c r="B659" i="36"/>
  <c r="A659" i="36"/>
  <c r="B658" i="36"/>
  <c r="A658" i="36"/>
  <c r="B657" i="36"/>
  <c r="A657" i="36"/>
  <c r="B656" i="36"/>
  <c r="A656" i="36"/>
  <c r="B655" i="36"/>
  <c r="A655" i="36"/>
  <c r="B654" i="36"/>
  <c r="A654" i="36"/>
  <c r="B653" i="36"/>
  <c r="A653" i="36"/>
  <c r="B652" i="36"/>
  <c r="A652" i="36"/>
  <c r="B651" i="36"/>
  <c r="A651" i="36"/>
  <c r="B650" i="36"/>
  <c r="A650" i="36"/>
  <c r="B649" i="36"/>
  <c r="A649" i="36"/>
  <c r="B648" i="36"/>
  <c r="A648" i="36"/>
  <c r="B647" i="36"/>
  <c r="A647" i="36"/>
  <c r="B646" i="36"/>
  <c r="A646" i="36"/>
  <c r="B645" i="36"/>
  <c r="A645" i="36"/>
  <c r="B644" i="36"/>
  <c r="A644" i="36"/>
  <c r="B643" i="36"/>
  <c r="A643" i="36"/>
  <c r="B642" i="36"/>
  <c r="A642" i="36"/>
  <c r="B641" i="36"/>
  <c r="A641" i="36"/>
  <c r="B640" i="36"/>
  <c r="A640" i="36"/>
  <c r="B639" i="36"/>
  <c r="A639" i="36"/>
  <c r="B638" i="36"/>
  <c r="A638" i="36"/>
  <c r="B637" i="36"/>
  <c r="A637" i="36"/>
  <c r="B636" i="36"/>
  <c r="A636" i="36"/>
  <c r="B635" i="36"/>
  <c r="A635" i="36"/>
  <c r="B634" i="36"/>
  <c r="A634" i="36"/>
  <c r="B633" i="36"/>
  <c r="A633" i="36"/>
  <c r="B632" i="36"/>
  <c r="A632" i="36"/>
  <c r="B631" i="36"/>
  <c r="A631" i="36"/>
  <c r="B630" i="36"/>
  <c r="A630" i="36"/>
  <c r="B629" i="36"/>
  <c r="A629" i="36"/>
  <c r="B628" i="36"/>
  <c r="A628" i="36"/>
  <c r="B627" i="36"/>
  <c r="A627" i="36"/>
  <c r="B626" i="36"/>
  <c r="A626" i="36"/>
  <c r="B625" i="36"/>
  <c r="A625" i="36"/>
  <c r="B624" i="36"/>
  <c r="A624" i="36"/>
  <c r="B623" i="36"/>
  <c r="A623" i="36"/>
  <c r="B622" i="36"/>
  <c r="A622" i="36"/>
  <c r="B621" i="36"/>
  <c r="A621" i="36"/>
  <c r="B620" i="36"/>
  <c r="A620" i="36"/>
  <c r="B619" i="36"/>
  <c r="A619" i="36"/>
  <c r="B618" i="36"/>
  <c r="A618" i="36"/>
  <c r="B617" i="36"/>
  <c r="A617" i="36"/>
  <c r="B616" i="36"/>
  <c r="A616" i="36"/>
  <c r="B615" i="36"/>
  <c r="A615" i="36"/>
  <c r="B614" i="36"/>
  <c r="A614" i="36"/>
  <c r="B613" i="36"/>
  <c r="A613" i="36"/>
  <c r="B612" i="36"/>
  <c r="A612" i="36"/>
  <c r="B611" i="36"/>
  <c r="A611" i="36"/>
  <c r="B610" i="36"/>
  <c r="A610" i="36"/>
  <c r="B609" i="36"/>
  <c r="A609" i="36"/>
  <c r="B608" i="36"/>
  <c r="A608" i="36"/>
  <c r="B607" i="36"/>
  <c r="A607" i="36"/>
  <c r="B606" i="36"/>
  <c r="A606" i="36"/>
  <c r="B605" i="36"/>
  <c r="A605" i="36"/>
  <c r="B604" i="36"/>
  <c r="A604" i="36"/>
  <c r="B603" i="36"/>
  <c r="A603" i="36"/>
  <c r="B602" i="36"/>
  <c r="A602" i="36"/>
  <c r="B601" i="36"/>
  <c r="A601" i="36"/>
  <c r="B600" i="36"/>
  <c r="A600" i="36"/>
  <c r="B599" i="36"/>
  <c r="A599" i="36"/>
  <c r="B598" i="36"/>
  <c r="A598" i="36"/>
  <c r="B597" i="36"/>
  <c r="A597" i="36"/>
  <c r="B596" i="36"/>
  <c r="A596" i="36"/>
  <c r="B595" i="36"/>
  <c r="A595" i="36"/>
  <c r="B594" i="36"/>
  <c r="A594" i="36"/>
  <c r="B593" i="36"/>
  <c r="A593" i="36"/>
  <c r="B592" i="36"/>
  <c r="A592" i="36"/>
  <c r="B591" i="36"/>
  <c r="A591" i="36"/>
  <c r="B590" i="36"/>
  <c r="A590" i="36"/>
  <c r="B589" i="36"/>
  <c r="A589" i="36"/>
  <c r="B588" i="36"/>
  <c r="A588" i="36"/>
  <c r="B587" i="36"/>
  <c r="A587" i="36"/>
  <c r="B586" i="36"/>
  <c r="A586" i="36"/>
  <c r="B585" i="36"/>
  <c r="A585" i="36"/>
  <c r="B584" i="36"/>
  <c r="A584" i="36"/>
  <c r="B583" i="36"/>
  <c r="A583" i="36"/>
  <c r="B582" i="36"/>
  <c r="A582" i="36"/>
  <c r="B581" i="36"/>
  <c r="A581" i="36"/>
  <c r="B580" i="36"/>
  <c r="A580" i="36"/>
  <c r="B579" i="36"/>
  <c r="A579" i="36"/>
  <c r="B578" i="36"/>
  <c r="A578" i="36"/>
  <c r="B577" i="36"/>
  <c r="A577" i="36"/>
  <c r="B576" i="36"/>
  <c r="A576" i="36"/>
  <c r="B575" i="36"/>
  <c r="A575" i="36"/>
  <c r="B574" i="36"/>
  <c r="A574" i="36"/>
  <c r="B573" i="36"/>
  <c r="A573" i="36"/>
  <c r="B572" i="36"/>
  <c r="A572" i="36"/>
  <c r="B571" i="36"/>
  <c r="A571" i="36"/>
  <c r="B570" i="36"/>
  <c r="A570" i="36"/>
  <c r="B569" i="36"/>
  <c r="A569" i="36"/>
  <c r="B568" i="36"/>
  <c r="A568" i="36"/>
  <c r="B567" i="36"/>
  <c r="A567" i="36"/>
  <c r="B566" i="36"/>
  <c r="A566" i="36"/>
  <c r="B565" i="36"/>
  <c r="A565" i="36"/>
  <c r="B564" i="36"/>
  <c r="A564" i="36"/>
  <c r="B563" i="36"/>
  <c r="A563" i="36"/>
  <c r="B562" i="36"/>
  <c r="A562" i="36"/>
  <c r="B561" i="36"/>
  <c r="A561" i="36"/>
  <c r="B560" i="36"/>
  <c r="A560" i="36"/>
  <c r="B559" i="36"/>
  <c r="A559" i="36"/>
  <c r="B558" i="36"/>
  <c r="A558" i="36"/>
  <c r="B557" i="36"/>
  <c r="A557" i="36"/>
  <c r="B556" i="36"/>
  <c r="A556" i="36"/>
  <c r="B555" i="36"/>
  <c r="A555" i="36"/>
  <c r="B554" i="36"/>
  <c r="A554" i="36"/>
  <c r="B553" i="36"/>
  <c r="A553" i="36"/>
  <c r="B552" i="36"/>
  <c r="A552" i="36"/>
  <c r="B551" i="36"/>
  <c r="A551" i="36"/>
  <c r="B550" i="36"/>
  <c r="A550" i="36"/>
  <c r="B549" i="36"/>
  <c r="A549" i="36"/>
  <c r="B548" i="36"/>
  <c r="A548" i="36"/>
  <c r="B547" i="36"/>
  <c r="A547" i="36"/>
  <c r="B546" i="36"/>
  <c r="A546" i="36"/>
  <c r="B545" i="36"/>
  <c r="A545" i="36"/>
  <c r="B544" i="36"/>
  <c r="A544" i="36"/>
  <c r="B543" i="36"/>
  <c r="A543" i="36"/>
  <c r="B542" i="36"/>
  <c r="A542" i="36"/>
  <c r="B541" i="36"/>
  <c r="A541" i="36"/>
  <c r="B540" i="36"/>
  <c r="A540" i="36"/>
  <c r="B539" i="36"/>
  <c r="A539" i="36"/>
  <c r="B538" i="36"/>
  <c r="A538" i="36"/>
  <c r="B537" i="36"/>
  <c r="A537" i="36"/>
  <c r="B536" i="36"/>
  <c r="A536" i="36"/>
  <c r="B535" i="36"/>
  <c r="A535" i="36"/>
  <c r="B534" i="36"/>
  <c r="A534" i="36"/>
  <c r="B533" i="36"/>
  <c r="A533" i="36"/>
  <c r="B532" i="36"/>
  <c r="A532" i="36"/>
  <c r="B531" i="36"/>
  <c r="A531" i="36"/>
  <c r="B530" i="36"/>
  <c r="A530" i="36"/>
  <c r="B529" i="36"/>
  <c r="A529" i="36"/>
  <c r="B528" i="36"/>
  <c r="A528" i="36"/>
  <c r="B527" i="36"/>
  <c r="A527" i="36"/>
  <c r="B526" i="36"/>
  <c r="A526" i="36"/>
  <c r="B525" i="36"/>
  <c r="A525" i="36"/>
  <c r="B524" i="36"/>
  <c r="A524" i="36"/>
  <c r="B523" i="36"/>
  <c r="A523" i="36"/>
  <c r="B522" i="36"/>
  <c r="A522" i="36"/>
  <c r="B521" i="36"/>
  <c r="A521" i="36"/>
  <c r="B520" i="36"/>
  <c r="A520" i="36"/>
  <c r="B519" i="36"/>
  <c r="A519" i="36"/>
  <c r="B518" i="36"/>
  <c r="A518" i="36"/>
  <c r="B517" i="36"/>
  <c r="A517" i="36"/>
  <c r="B516" i="36"/>
  <c r="A516" i="36"/>
  <c r="B515" i="36"/>
  <c r="A515" i="36"/>
  <c r="B514" i="36"/>
  <c r="A514" i="36"/>
  <c r="B513" i="36"/>
  <c r="A513" i="36"/>
  <c r="B512" i="36"/>
  <c r="A512" i="36"/>
  <c r="B511" i="36"/>
  <c r="A511" i="36"/>
  <c r="B510" i="36"/>
  <c r="A510" i="36"/>
  <c r="B509" i="36"/>
  <c r="A509" i="36"/>
  <c r="B508" i="36"/>
  <c r="A508" i="36"/>
  <c r="B507" i="36"/>
  <c r="A507" i="36"/>
  <c r="B506" i="36"/>
  <c r="A506" i="36"/>
  <c r="B505" i="36"/>
  <c r="A505" i="36"/>
  <c r="B504" i="36"/>
  <c r="A504" i="36"/>
  <c r="B503" i="36"/>
  <c r="A503" i="36"/>
  <c r="B502" i="36"/>
  <c r="A502" i="36"/>
  <c r="B501" i="36"/>
  <c r="A501" i="36"/>
  <c r="B500" i="36"/>
  <c r="A500" i="36"/>
  <c r="B499" i="36"/>
  <c r="A499" i="36"/>
  <c r="B498" i="36"/>
  <c r="A498" i="36"/>
  <c r="B497" i="36"/>
  <c r="A497" i="36"/>
  <c r="B496" i="36"/>
  <c r="A496" i="36"/>
  <c r="B495" i="36"/>
  <c r="A495" i="36"/>
  <c r="B494" i="36"/>
  <c r="A494" i="36"/>
  <c r="B493" i="36"/>
  <c r="A493" i="36"/>
  <c r="B492" i="36"/>
  <c r="A492" i="36"/>
  <c r="B491" i="36"/>
  <c r="A491" i="36"/>
  <c r="B490" i="36"/>
  <c r="A490" i="36"/>
  <c r="B489" i="36"/>
  <c r="A489" i="36"/>
  <c r="B488" i="36"/>
  <c r="A488" i="36"/>
  <c r="B487" i="36"/>
  <c r="A487" i="36"/>
  <c r="B486" i="36"/>
  <c r="A486" i="36"/>
  <c r="B485" i="36"/>
  <c r="A485" i="36"/>
  <c r="B484" i="36"/>
  <c r="A484" i="36"/>
  <c r="B483" i="36"/>
  <c r="A483" i="36"/>
  <c r="B482" i="36"/>
  <c r="A482" i="36"/>
  <c r="B481" i="36"/>
  <c r="A481" i="36"/>
  <c r="B480" i="36"/>
  <c r="A480" i="36"/>
  <c r="B479" i="36"/>
  <c r="A479" i="36"/>
  <c r="B478" i="36"/>
  <c r="A478" i="36"/>
  <c r="B477" i="36"/>
  <c r="A477" i="36"/>
  <c r="B476" i="36"/>
  <c r="A476" i="36"/>
  <c r="B475" i="36"/>
  <c r="A475" i="36"/>
  <c r="B474" i="36"/>
  <c r="A474" i="36"/>
  <c r="B473" i="36"/>
  <c r="A473" i="36"/>
  <c r="B472" i="36"/>
  <c r="A472" i="36"/>
  <c r="B471" i="36"/>
  <c r="A471" i="36"/>
  <c r="B470" i="36"/>
  <c r="A470" i="36"/>
  <c r="B469" i="36"/>
  <c r="A469" i="36"/>
  <c r="B468" i="36"/>
  <c r="A468" i="36"/>
  <c r="B467" i="36"/>
  <c r="A467" i="36"/>
  <c r="B466" i="36"/>
  <c r="A466" i="36"/>
  <c r="B465" i="36"/>
  <c r="A465" i="36"/>
  <c r="B464" i="36"/>
  <c r="A464" i="36"/>
  <c r="B463" i="36"/>
  <c r="A463" i="36"/>
  <c r="B462" i="36"/>
  <c r="A462" i="36"/>
  <c r="B461" i="36"/>
  <c r="A461" i="36"/>
  <c r="B460" i="36"/>
  <c r="A460" i="36"/>
  <c r="B459" i="36"/>
  <c r="A459" i="36"/>
  <c r="B458" i="36"/>
  <c r="A458" i="36"/>
  <c r="B457" i="36"/>
  <c r="A457" i="36"/>
  <c r="B456" i="36"/>
  <c r="A456" i="36"/>
  <c r="B455" i="36"/>
  <c r="A455" i="36"/>
  <c r="B454" i="36"/>
  <c r="A454" i="36"/>
  <c r="B453" i="36"/>
  <c r="A453" i="36"/>
  <c r="B452" i="36"/>
  <c r="A452" i="36"/>
  <c r="B451" i="36"/>
  <c r="A451" i="36"/>
  <c r="B450" i="36"/>
  <c r="A450" i="36"/>
  <c r="B449" i="36"/>
  <c r="A449" i="36"/>
  <c r="B448" i="36"/>
  <c r="A448" i="36"/>
  <c r="B447" i="36"/>
  <c r="A447" i="36"/>
  <c r="B446" i="36"/>
  <c r="A446" i="36"/>
  <c r="B445" i="36"/>
  <c r="A445" i="36"/>
  <c r="B444" i="36"/>
  <c r="A444" i="36"/>
  <c r="B443" i="36"/>
  <c r="A443" i="36"/>
  <c r="B442" i="36"/>
  <c r="A442" i="36"/>
  <c r="B441" i="36"/>
  <c r="A441" i="36"/>
  <c r="B440" i="36"/>
  <c r="A440" i="36"/>
  <c r="B439" i="36"/>
  <c r="A439" i="36"/>
  <c r="B438" i="36"/>
  <c r="A438" i="36"/>
  <c r="B437" i="36"/>
  <c r="A437" i="36"/>
  <c r="B436" i="36"/>
  <c r="A436" i="36"/>
  <c r="B435" i="36"/>
  <c r="A435" i="36"/>
  <c r="B434" i="36"/>
  <c r="A434" i="36"/>
  <c r="B433" i="36"/>
  <c r="A433" i="36"/>
  <c r="B432" i="36"/>
  <c r="A432" i="36"/>
  <c r="B431" i="36"/>
  <c r="A431" i="36"/>
  <c r="B430" i="36"/>
  <c r="A430" i="36"/>
  <c r="B429" i="36"/>
  <c r="A429" i="36"/>
  <c r="B428" i="36"/>
  <c r="A428" i="36"/>
  <c r="B427" i="36"/>
  <c r="A427" i="36"/>
  <c r="B426" i="36"/>
  <c r="A426" i="36"/>
  <c r="B425" i="36"/>
  <c r="A425" i="36"/>
  <c r="B424" i="36"/>
  <c r="A424" i="36"/>
  <c r="B423" i="36"/>
  <c r="A423" i="36"/>
  <c r="B422" i="36"/>
  <c r="A422" i="36"/>
  <c r="B421" i="36"/>
  <c r="A421" i="36"/>
  <c r="B420" i="36"/>
  <c r="A420" i="36"/>
  <c r="B419" i="36"/>
  <c r="A419" i="36"/>
  <c r="B418" i="36"/>
  <c r="A418" i="36"/>
  <c r="B417" i="36"/>
  <c r="A417" i="36"/>
  <c r="B416" i="36"/>
  <c r="A416" i="36"/>
  <c r="B415" i="36"/>
  <c r="A415" i="36"/>
  <c r="B414" i="36"/>
  <c r="A414" i="36"/>
  <c r="B413" i="36"/>
  <c r="A413" i="36"/>
  <c r="B412" i="36"/>
  <c r="A412" i="36"/>
  <c r="B411" i="36"/>
  <c r="A411" i="36"/>
  <c r="B410" i="36"/>
  <c r="A410" i="36"/>
  <c r="B409" i="36"/>
  <c r="A409" i="36"/>
  <c r="B408" i="36"/>
  <c r="A408" i="36"/>
  <c r="B407" i="36"/>
  <c r="A407" i="36"/>
  <c r="B406" i="36"/>
  <c r="A406" i="36"/>
  <c r="B405" i="36"/>
  <c r="A405" i="36"/>
  <c r="B404" i="36"/>
  <c r="A404" i="36"/>
  <c r="B403" i="36"/>
  <c r="A403" i="36"/>
  <c r="B402" i="36"/>
  <c r="A402" i="36"/>
  <c r="B401" i="36"/>
  <c r="A401" i="36"/>
  <c r="B400" i="36"/>
  <c r="A400" i="36"/>
  <c r="B399" i="36"/>
  <c r="A399" i="36"/>
  <c r="B398" i="36"/>
  <c r="A398" i="36"/>
  <c r="B397" i="36"/>
  <c r="A397" i="36"/>
  <c r="B396" i="36"/>
  <c r="A396" i="36"/>
  <c r="B395" i="36"/>
  <c r="A395" i="36"/>
  <c r="B394" i="36"/>
  <c r="A394" i="36"/>
  <c r="B393" i="36"/>
  <c r="A393" i="36"/>
  <c r="B392" i="36"/>
  <c r="A392" i="36"/>
  <c r="B391" i="36"/>
  <c r="A391" i="36"/>
  <c r="B390" i="36"/>
  <c r="A390" i="36"/>
  <c r="B389" i="36"/>
  <c r="A389" i="36"/>
  <c r="B388" i="36"/>
  <c r="A388" i="36"/>
  <c r="B387" i="36"/>
  <c r="A387" i="36"/>
  <c r="B386" i="36"/>
  <c r="A386" i="36"/>
  <c r="B385" i="36"/>
  <c r="A385" i="36"/>
  <c r="B384" i="36"/>
  <c r="A384" i="36"/>
  <c r="B383" i="36"/>
  <c r="A383" i="36"/>
  <c r="B382" i="36"/>
  <c r="A382" i="36"/>
  <c r="B381" i="36"/>
  <c r="A381" i="36"/>
  <c r="B380" i="36"/>
  <c r="A380" i="36"/>
  <c r="B379" i="36"/>
  <c r="A379" i="36"/>
  <c r="B378" i="36"/>
  <c r="A378" i="36"/>
  <c r="B377" i="36"/>
  <c r="A377" i="36"/>
  <c r="B376" i="36"/>
  <c r="A376" i="36"/>
  <c r="B375" i="36"/>
  <c r="A375" i="36"/>
  <c r="B374" i="36"/>
  <c r="A374" i="36"/>
  <c r="B373" i="36"/>
  <c r="A373" i="36"/>
  <c r="B372" i="36"/>
  <c r="A372" i="36"/>
  <c r="B371" i="36"/>
  <c r="A371" i="36"/>
  <c r="B370" i="36"/>
  <c r="A370" i="36"/>
  <c r="B369" i="36"/>
  <c r="A369" i="36"/>
  <c r="B368" i="36"/>
  <c r="A368" i="36"/>
  <c r="B367" i="36"/>
  <c r="A367" i="36"/>
  <c r="B366" i="36"/>
  <c r="A366" i="36"/>
  <c r="B365" i="36"/>
  <c r="A365" i="36"/>
  <c r="B364" i="36"/>
  <c r="A364" i="36"/>
  <c r="B363" i="36"/>
  <c r="A363" i="36"/>
  <c r="B362" i="36"/>
  <c r="A362" i="36"/>
  <c r="B361" i="36"/>
  <c r="A361" i="36"/>
  <c r="B360" i="36"/>
  <c r="A360" i="36"/>
  <c r="B359" i="36"/>
  <c r="A359" i="36"/>
  <c r="B358" i="36"/>
  <c r="A358" i="36"/>
  <c r="B357" i="36"/>
  <c r="A357" i="36"/>
  <c r="B356" i="36"/>
  <c r="A356" i="36"/>
  <c r="B355" i="36"/>
  <c r="A355" i="36"/>
  <c r="B354" i="36"/>
  <c r="A354" i="36"/>
  <c r="B353" i="36"/>
  <c r="A353" i="36"/>
  <c r="B352" i="36"/>
  <c r="A352" i="36"/>
  <c r="B351" i="36"/>
  <c r="A351" i="36"/>
  <c r="B350" i="36"/>
  <c r="A350" i="36"/>
  <c r="B349" i="36"/>
  <c r="A349" i="36"/>
  <c r="B348" i="36"/>
  <c r="A348" i="36"/>
  <c r="B347" i="36"/>
  <c r="A347" i="36"/>
  <c r="B346" i="36"/>
  <c r="A346" i="36"/>
  <c r="B345" i="36"/>
  <c r="A345" i="36"/>
  <c r="B344" i="36"/>
  <c r="A344" i="36"/>
  <c r="B343" i="36"/>
  <c r="A343" i="36"/>
  <c r="B342" i="36"/>
  <c r="A342" i="36"/>
  <c r="B341" i="36"/>
  <c r="A341" i="36"/>
  <c r="B340" i="36"/>
  <c r="A340" i="36"/>
  <c r="B339" i="36"/>
  <c r="A339" i="36"/>
  <c r="B338" i="36"/>
  <c r="A338" i="36"/>
  <c r="B337" i="36"/>
  <c r="A337" i="36"/>
  <c r="B336" i="36"/>
  <c r="A336" i="36"/>
  <c r="B335" i="36"/>
  <c r="A335" i="36"/>
  <c r="B334" i="36"/>
  <c r="A334" i="36"/>
  <c r="B333" i="36"/>
  <c r="A333" i="36"/>
  <c r="B332" i="36"/>
  <c r="A332" i="36"/>
  <c r="B331" i="36"/>
  <c r="A331" i="36"/>
  <c r="B330" i="36"/>
  <c r="A330" i="36"/>
  <c r="B329" i="36"/>
  <c r="A329" i="36"/>
  <c r="B328" i="36"/>
  <c r="A328" i="36"/>
  <c r="B327" i="36"/>
  <c r="A327" i="36"/>
  <c r="B326" i="36"/>
  <c r="A326" i="36"/>
  <c r="B325" i="36"/>
  <c r="A325" i="36"/>
  <c r="B324" i="36"/>
  <c r="A324" i="36"/>
  <c r="B323" i="36"/>
  <c r="A323" i="36"/>
  <c r="B322" i="36"/>
  <c r="A322" i="36"/>
  <c r="B321" i="36"/>
  <c r="A321" i="36"/>
  <c r="B320" i="36"/>
  <c r="A320" i="36"/>
  <c r="B319" i="36"/>
  <c r="A319" i="36"/>
  <c r="B318" i="36"/>
  <c r="A318" i="36"/>
  <c r="B317" i="36"/>
  <c r="A317" i="36"/>
  <c r="B316" i="36"/>
  <c r="A316" i="36"/>
  <c r="B315" i="36"/>
  <c r="A315" i="36"/>
  <c r="B314" i="36"/>
  <c r="A314" i="36"/>
  <c r="B313" i="36"/>
  <c r="A313" i="36"/>
  <c r="B312" i="36"/>
  <c r="A312" i="36"/>
  <c r="B311" i="36"/>
  <c r="A311" i="36"/>
  <c r="B310" i="36"/>
  <c r="A310" i="36"/>
  <c r="B309" i="36"/>
  <c r="A309" i="36"/>
  <c r="B308" i="36"/>
  <c r="A308" i="36"/>
  <c r="B307" i="36"/>
  <c r="A307" i="36"/>
  <c r="B306" i="36"/>
  <c r="A306" i="36"/>
  <c r="B305" i="36"/>
  <c r="A305" i="36"/>
  <c r="B304" i="36"/>
  <c r="A304" i="36"/>
  <c r="B303" i="36"/>
  <c r="A303" i="36"/>
  <c r="B302" i="36"/>
  <c r="A302" i="36"/>
  <c r="B301" i="36"/>
  <c r="A301" i="36"/>
  <c r="B300" i="36"/>
  <c r="A300" i="36"/>
  <c r="B299" i="36"/>
  <c r="A299" i="36"/>
  <c r="B298" i="36"/>
  <c r="A298" i="36"/>
  <c r="B297" i="36"/>
  <c r="A297" i="36"/>
  <c r="B296" i="36"/>
  <c r="A296" i="36"/>
  <c r="B295" i="36"/>
  <c r="A295" i="36"/>
  <c r="B294" i="36"/>
  <c r="A294" i="36"/>
  <c r="B293" i="36"/>
  <c r="A293" i="36"/>
  <c r="B292" i="36"/>
  <c r="A292" i="36"/>
  <c r="B291" i="36"/>
  <c r="A291" i="36"/>
  <c r="B290" i="36"/>
  <c r="A290" i="36"/>
  <c r="B289" i="36"/>
  <c r="A289" i="36"/>
  <c r="B288" i="36"/>
  <c r="A288" i="36"/>
  <c r="B287" i="36"/>
  <c r="A287" i="36"/>
  <c r="B286" i="36"/>
  <c r="A286" i="36"/>
  <c r="B285" i="36"/>
  <c r="A285" i="36"/>
  <c r="B284" i="36"/>
  <c r="A284" i="36"/>
  <c r="B283" i="36"/>
  <c r="A283" i="36"/>
  <c r="B282" i="36"/>
  <c r="A282" i="36"/>
  <c r="B281" i="36"/>
  <c r="A281" i="36"/>
  <c r="B280" i="36"/>
  <c r="A280" i="36"/>
  <c r="B279" i="36"/>
  <c r="A279" i="36"/>
  <c r="B278" i="36"/>
  <c r="A278" i="36"/>
  <c r="B277" i="36"/>
  <c r="A277" i="36"/>
  <c r="B276" i="36"/>
  <c r="A276" i="36"/>
  <c r="B275" i="36"/>
  <c r="A275" i="36"/>
  <c r="B274" i="36"/>
  <c r="A274" i="36"/>
  <c r="B273" i="36"/>
  <c r="A273" i="36"/>
  <c r="B272" i="36"/>
  <c r="A272" i="36"/>
  <c r="B271" i="36"/>
  <c r="A271" i="36"/>
  <c r="B270" i="36"/>
  <c r="A270" i="36"/>
  <c r="B269" i="36"/>
  <c r="A269" i="36"/>
  <c r="B268" i="36"/>
  <c r="A268" i="36"/>
  <c r="B267" i="36"/>
  <c r="A267" i="36"/>
  <c r="B266" i="36"/>
  <c r="A266" i="36"/>
  <c r="B265" i="36"/>
  <c r="A265" i="36"/>
  <c r="B264" i="36"/>
  <c r="A264" i="36"/>
  <c r="B263" i="36"/>
  <c r="A263" i="36"/>
  <c r="B262" i="36"/>
  <c r="A262" i="36"/>
  <c r="B261" i="36"/>
  <c r="A261" i="36"/>
  <c r="B260" i="36"/>
  <c r="A260" i="36"/>
  <c r="B259" i="36"/>
  <c r="A259" i="36"/>
  <c r="B258" i="36"/>
  <c r="A258" i="36"/>
  <c r="B257" i="36"/>
  <c r="A257" i="36"/>
  <c r="B256" i="36"/>
  <c r="A256" i="36"/>
  <c r="B255" i="36"/>
  <c r="A255" i="36"/>
  <c r="B254" i="36"/>
  <c r="A254" i="36"/>
  <c r="B253" i="36"/>
  <c r="A253" i="36"/>
  <c r="B252" i="36"/>
  <c r="A252" i="36"/>
  <c r="B251" i="36"/>
  <c r="A251" i="36"/>
  <c r="B250" i="36"/>
  <c r="A250" i="36"/>
  <c r="B249" i="36"/>
  <c r="A249" i="36"/>
  <c r="B248" i="36"/>
  <c r="A248" i="36"/>
  <c r="B247" i="36"/>
  <c r="A247" i="36"/>
  <c r="B246" i="36"/>
  <c r="A246" i="36"/>
  <c r="B245" i="36"/>
  <c r="A245" i="36"/>
  <c r="B244" i="36"/>
  <c r="A244" i="36"/>
  <c r="B243" i="36"/>
  <c r="A243" i="36"/>
  <c r="B242" i="36"/>
  <c r="A242" i="36"/>
  <c r="B241" i="36"/>
  <c r="A241" i="36"/>
  <c r="B240" i="36"/>
  <c r="A240" i="36"/>
  <c r="B239" i="36"/>
  <c r="A239" i="36"/>
  <c r="B238" i="36"/>
  <c r="A238" i="36"/>
  <c r="B237" i="36"/>
  <c r="A237" i="36"/>
  <c r="B236" i="36"/>
  <c r="A236" i="36"/>
  <c r="B235" i="36"/>
  <c r="A235" i="36"/>
  <c r="B234" i="36"/>
  <c r="A234" i="36"/>
  <c r="B233" i="36"/>
  <c r="A233" i="36"/>
  <c r="B232" i="36"/>
  <c r="A232" i="36"/>
  <c r="B231" i="36"/>
  <c r="A231" i="36"/>
  <c r="B230" i="36"/>
  <c r="A230" i="36"/>
  <c r="B229" i="36"/>
  <c r="A229" i="36"/>
  <c r="B228" i="36"/>
  <c r="A228" i="36"/>
  <c r="B227" i="36"/>
  <c r="A227" i="36"/>
  <c r="B226" i="36"/>
  <c r="A226" i="36"/>
  <c r="B225" i="36"/>
  <c r="A225" i="36"/>
  <c r="B224" i="36"/>
  <c r="A224" i="36"/>
  <c r="B223" i="36"/>
  <c r="A223" i="36"/>
  <c r="B222" i="36"/>
  <c r="A222" i="36"/>
  <c r="B221" i="36"/>
  <c r="A221" i="36"/>
  <c r="B220" i="36"/>
  <c r="A220" i="36"/>
  <c r="B219" i="36"/>
  <c r="A219" i="36"/>
  <c r="B218" i="36"/>
  <c r="A218" i="36"/>
  <c r="B217" i="36"/>
  <c r="A217" i="36"/>
  <c r="B216" i="36"/>
  <c r="A216" i="36"/>
  <c r="B215" i="36"/>
  <c r="A215" i="36"/>
  <c r="B214" i="36"/>
  <c r="A214" i="36"/>
  <c r="B213" i="36"/>
  <c r="A213" i="36"/>
  <c r="B212" i="36"/>
  <c r="A212" i="36"/>
  <c r="B211" i="36"/>
  <c r="A211" i="36"/>
  <c r="B210" i="36"/>
  <c r="A210" i="36"/>
  <c r="B209" i="36"/>
  <c r="A209" i="36"/>
  <c r="B208" i="36"/>
  <c r="A208" i="36"/>
  <c r="B207" i="36"/>
  <c r="A207" i="36"/>
  <c r="B206" i="36"/>
  <c r="A206" i="36"/>
  <c r="B205" i="36"/>
  <c r="A205" i="36"/>
  <c r="B204" i="36"/>
  <c r="A204" i="36"/>
  <c r="B203" i="36"/>
  <c r="A203" i="36"/>
  <c r="B202" i="36"/>
  <c r="A202" i="36"/>
  <c r="B201" i="36"/>
  <c r="A201" i="36"/>
  <c r="B200" i="36"/>
  <c r="A200" i="36"/>
  <c r="B199" i="36"/>
  <c r="A199" i="36"/>
  <c r="B198" i="36"/>
  <c r="A198" i="36"/>
  <c r="B197" i="36"/>
  <c r="A197" i="36"/>
  <c r="B196" i="36"/>
  <c r="A196" i="36"/>
  <c r="B195" i="36"/>
  <c r="A195" i="36"/>
  <c r="B194" i="36"/>
  <c r="A194" i="36"/>
  <c r="B193" i="36"/>
  <c r="A193" i="36"/>
  <c r="B192" i="36"/>
  <c r="A192" i="36"/>
  <c r="B191" i="36"/>
  <c r="A191" i="36"/>
  <c r="B190" i="36"/>
  <c r="A190" i="36"/>
  <c r="B189" i="36"/>
  <c r="A189" i="36"/>
  <c r="B188" i="36"/>
  <c r="A188" i="36"/>
  <c r="B187" i="36"/>
  <c r="A187" i="36"/>
  <c r="B186" i="36"/>
  <c r="A186" i="36"/>
  <c r="B185" i="36"/>
  <c r="A185" i="36"/>
  <c r="B184" i="36"/>
  <c r="A184" i="36"/>
  <c r="B183" i="36"/>
  <c r="A183" i="36"/>
  <c r="B182" i="36"/>
  <c r="A182" i="36"/>
  <c r="B181" i="36"/>
  <c r="A181" i="36"/>
  <c r="B180" i="36"/>
  <c r="A180" i="36"/>
  <c r="B179" i="36"/>
  <c r="A179" i="36"/>
  <c r="B178" i="36"/>
  <c r="A178" i="36"/>
  <c r="B177" i="36"/>
  <c r="A177" i="36"/>
  <c r="B176" i="36"/>
  <c r="A176" i="36"/>
  <c r="B175" i="36"/>
  <c r="A175" i="36"/>
  <c r="B174" i="36"/>
  <c r="A174" i="36"/>
  <c r="B173" i="36"/>
  <c r="A173" i="36"/>
  <c r="B172" i="36"/>
  <c r="A172" i="36"/>
  <c r="B171" i="36"/>
  <c r="A171" i="36"/>
  <c r="B170" i="36"/>
  <c r="A170" i="36"/>
  <c r="B169" i="36"/>
  <c r="A169" i="36"/>
  <c r="B168" i="36"/>
  <c r="A168" i="36"/>
  <c r="B167" i="36"/>
  <c r="A167" i="36"/>
  <c r="B166" i="36"/>
  <c r="A166" i="36"/>
  <c r="B165" i="36"/>
  <c r="A165" i="36"/>
  <c r="B164" i="36"/>
  <c r="A164" i="36"/>
  <c r="B163" i="36"/>
  <c r="A163" i="36"/>
  <c r="B162" i="36"/>
  <c r="A162" i="36"/>
  <c r="B161" i="36"/>
  <c r="A161" i="36"/>
  <c r="B160" i="36"/>
  <c r="A160" i="36"/>
  <c r="B159" i="36"/>
  <c r="A159" i="36"/>
  <c r="B158" i="36"/>
  <c r="A158" i="36"/>
  <c r="B157" i="36"/>
  <c r="A157" i="36"/>
  <c r="B156" i="36"/>
  <c r="A156" i="36"/>
  <c r="B155" i="36"/>
  <c r="A155" i="36"/>
  <c r="B154" i="36"/>
  <c r="A154" i="36"/>
  <c r="B153" i="36"/>
  <c r="A153" i="36"/>
  <c r="B152" i="36"/>
  <c r="A152" i="36"/>
  <c r="B151" i="36"/>
  <c r="A151" i="36"/>
  <c r="B150" i="36"/>
  <c r="A150" i="36"/>
  <c r="B149" i="36"/>
  <c r="A149" i="36"/>
  <c r="B148" i="36"/>
  <c r="A148" i="36"/>
  <c r="B147" i="36"/>
  <c r="A147" i="36"/>
  <c r="B146" i="36"/>
  <c r="A146" i="36"/>
  <c r="B145" i="36"/>
  <c r="A145" i="36"/>
  <c r="B144" i="36"/>
  <c r="A144" i="36"/>
  <c r="B143" i="36"/>
  <c r="A143" i="36"/>
  <c r="B142" i="36"/>
  <c r="A142" i="36"/>
  <c r="B141" i="36"/>
  <c r="A141" i="36"/>
  <c r="B140" i="36"/>
  <c r="A140" i="36"/>
  <c r="B139" i="36"/>
  <c r="A139" i="36"/>
  <c r="B138" i="36"/>
  <c r="A138" i="36"/>
  <c r="B137" i="36"/>
  <c r="A137" i="36"/>
  <c r="B136" i="36"/>
  <c r="A136" i="36"/>
  <c r="B135" i="36"/>
  <c r="A135" i="36"/>
  <c r="B134" i="36"/>
  <c r="A134" i="36"/>
  <c r="B133" i="36"/>
  <c r="A133" i="36"/>
  <c r="B132" i="36"/>
  <c r="A132" i="36"/>
  <c r="B131" i="36"/>
  <c r="A131" i="36"/>
  <c r="B130" i="36"/>
  <c r="A130" i="36"/>
  <c r="B129" i="36"/>
  <c r="A129" i="36"/>
  <c r="B128" i="36"/>
  <c r="A128" i="36"/>
  <c r="B127" i="36"/>
  <c r="A127" i="36"/>
  <c r="B126" i="36"/>
  <c r="A126" i="36"/>
  <c r="B125" i="36"/>
  <c r="A125" i="36"/>
  <c r="B124" i="36"/>
  <c r="A124" i="36"/>
  <c r="B123" i="36"/>
  <c r="A123" i="36"/>
  <c r="B122" i="36"/>
  <c r="A122" i="36"/>
  <c r="B121" i="36"/>
  <c r="A121" i="36"/>
  <c r="B120" i="36"/>
  <c r="A120" i="36"/>
  <c r="B119" i="36"/>
  <c r="A119" i="36"/>
  <c r="B118" i="36"/>
  <c r="A118" i="36"/>
  <c r="B117" i="36"/>
  <c r="A117" i="36"/>
  <c r="B116" i="36"/>
  <c r="A116" i="36"/>
  <c r="B115" i="36"/>
  <c r="A115" i="36"/>
  <c r="B114" i="36"/>
  <c r="A114" i="36"/>
  <c r="B113" i="36"/>
  <c r="A113" i="36"/>
  <c r="B112" i="36"/>
  <c r="A112" i="36"/>
  <c r="B111" i="36"/>
  <c r="A111" i="36"/>
  <c r="B110" i="36"/>
  <c r="A110" i="36"/>
  <c r="B109" i="36"/>
  <c r="A109" i="36"/>
  <c r="B108" i="36"/>
  <c r="A108" i="36"/>
  <c r="B107" i="36"/>
  <c r="A107" i="36"/>
  <c r="B106" i="36"/>
  <c r="A106" i="36"/>
  <c r="B105" i="36"/>
  <c r="A105" i="36"/>
  <c r="B104" i="36"/>
  <c r="A104" i="36"/>
  <c r="B103" i="36"/>
  <c r="A103" i="36"/>
  <c r="B102" i="36"/>
  <c r="A102" i="36"/>
  <c r="B101" i="36"/>
  <c r="A101" i="36"/>
  <c r="B100" i="36"/>
  <c r="A100" i="36"/>
  <c r="B99" i="36"/>
  <c r="A99" i="36"/>
  <c r="B98" i="36"/>
  <c r="A98" i="36"/>
  <c r="B97" i="36"/>
  <c r="A97" i="36"/>
  <c r="B96" i="36"/>
  <c r="A96" i="36"/>
  <c r="B95" i="36"/>
  <c r="A95" i="36"/>
  <c r="B94" i="36"/>
  <c r="A94" i="36"/>
  <c r="B93" i="36"/>
  <c r="A93" i="36"/>
  <c r="B92" i="36"/>
  <c r="A92" i="36"/>
  <c r="B91" i="36"/>
  <c r="A91" i="36"/>
  <c r="B90" i="36"/>
  <c r="A90" i="36"/>
  <c r="B89" i="36"/>
  <c r="A89" i="36"/>
  <c r="B88" i="36"/>
  <c r="A88" i="36"/>
  <c r="B87" i="36"/>
  <c r="A87" i="36"/>
  <c r="B86" i="36"/>
  <c r="A86" i="36"/>
  <c r="B85" i="36"/>
  <c r="A85" i="36"/>
  <c r="B84" i="36"/>
  <c r="A84" i="36"/>
  <c r="B83" i="36"/>
  <c r="A83" i="36"/>
  <c r="B82" i="36"/>
  <c r="A82" i="36"/>
  <c r="B81" i="36"/>
  <c r="A81" i="36"/>
  <c r="B80" i="36"/>
  <c r="A80" i="36"/>
  <c r="B79" i="36"/>
  <c r="A79" i="36"/>
  <c r="B78" i="36"/>
  <c r="A78" i="36"/>
  <c r="B77" i="36"/>
  <c r="A77" i="36"/>
  <c r="B76" i="36"/>
  <c r="A76" i="36"/>
  <c r="B75" i="36"/>
  <c r="A75" i="36"/>
  <c r="B74" i="36"/>
  <c r="A74" i="36"/>
  <c r="B73" i="36"/>
  <c r="A73" i="36"/>
  <c r="B72" i="36"/>
  <c r="A72" i="36"/>
  <c r="B71" i="36"/>
  <c r="A71" i="36"/>
  <c r="B70" i="36"/>
  <c r="A70" i="36"/>
  <c r="B69" i="36"/>
  <c r="A69" i="36"/>
  <c r="B68" i="36"/>
  <c r="A68" i="36"/>
  <c r="B67" i="36"/>
  <c r="A67" i="36"/>
  <c r="B66" i="36"/>
  <c r="A66" i="36"/>
  <c r="B65" i="36"/>
  <c r="A65" i="36"/>
  <c r="B64" i="36"/>
  <c r="A64" i="36"/>
  <c r="B63" i="36"/>
  <c r="A63" i="36"/>
  <c r="B62" i="36"/>
  <c r="A62" i="36"/>
  <c r="B61" i="36"/>
  <c r="A61" i="36"/>
  <c r="B60" i="36"/>
  <c r="A60" i="36"/>
  <c r="B59" i="36"/>
  <c r="A59" i="36"/>
  <c r="B58" i="36"/>
  <c r="A58" i="36"/>
  <c r="B57" i="36"/>
  <c r="A57" i="36"/>
  <c r="B56" i="36"/>
  <c r="A56" i="36"/>
  <c r="B55" i="36"/>
  <c r="A55" i="36"/>
  <c r="B54" i="36"/>
  <c r="A54" i="36"/>
  <c r="B53" i="36"/>
  <c r="A53" i="36"/>
  <c r="B52" i="36"/>
  <c r="A52" i="36"/>
  <c r="B51" i="36"/>
  <c r="A51" i="36"/>
  <c r="B50" i="36"/>
  <c r="A50" i="36"/>
  <c r="B49" i="36"/>
  <c r="A49" i="36"/>
  <c r="B48" i="36"/>
  <c r="A48" i="36"/>
  <c r="B47" i="36"/>
  <c r="A47" i="36"/>
  <c r="B46" i="36"/>
  <c r="A46" i="36"/>
  <c r="B45" i="36"/>
  <c r="A45" i="36"/>
  <c r="B44" i="36"/>
  <c r="A44" i="36"/>
  <c r="B43" i="36"/>
  <c r="A43" i="36"/>
  <c r="B42" i="36"/>
  <c r="A42" i="36"/>
  <c r="B41" i="36"/>
  <c r="A41" i="36"/>
  <c r="B40" i="36"/>
  <c r="A40" i="36"/>
  <c r="B39" i="36"/>
  <c r="A39" i="36"/>
  <c r="B38" i="36"/>
  <c r="A38" i="36"/>
  <c r="B37" i="36"/>
  <c r="A37" i="36"/>
  <c r="B36" i="36"/>
  <c r="A36" i="36"/>
  <c r="B35" i="36"/>
  <c r="A35" i="36"/>
  <c r="B34" i="36"/>
  <c r="A34" i="36"/>
  <c r="B33" i="36"/>
  <c r="A33" i="36"/>
  <c r="B32" i="36"/>
  <c r="A32" i="36"/>
  <c r="B31" i="36"/>
  <c r="A31" i="36"/>
  <c r="B30" i="36"/>
  <c r="A30" i="36"/>
  <c r="B29" i="36"/>
  <c r="A29" i="36"/>
  <c r="B28" i="36"/>
  <c r="A28" i="36"/>
  <c r="B27" i="36"/>
  <c r="A27" i="36"/>
  <c r="B26" i="36"/>
  <c r="A26" i="36"/>
  <c r="B25" i="36"/>
  <c r="A25" i="36"/>
  <c r="B24" i="36"/>
  <c r="A24" i="36"/>
  <c r="B23" i="36"/>
  <c r="A23" i="36"/>
  <c r="B22" i="36"/>
  <c r="A22" i="36"/>
  <c r="B21" i="36"/>
  <c r="A21" i="36"/>
  <c r="B20" i="36"/>
  <c r="A20" i="36"/>
  <c r="B19" i="36"/>
  <c r="A19" i="36"/>
  <c r="B18" i="36"/>
  <c r="A18" i="36"/>
  <c r="B17" i="36"/>
  <c r="A17" i="36"/>
  <c r="B16" i="36"/>
  <c r="A16" i="36"/>
  <c r="B15" i="36"/>
  <c r="A15" i="36"/>
  <c r="B14" i="36"/>
  <c r="A14" i="36"/>
  <c r="B13" i="36"/>
  <c r="A13" i="36"/>
  <c r="B12" i="36"/>
  <c r="A12" i="36"/>
  <c r="B11" i="36"/>
  <c r="A11" i="36"/>
  <c r="B10" i="36"/>
  <c r="A10" i="36"/>
  <c r="B9" i="36"/>
  <c r="A9" i="36"/>
  <c r="B8" i="36"/>
  <c r="A8" i="36"/>
  <c r="B7" i="36"/>
  <c r="A7" i="36"/>
  <c r="B6" i="36"/>
  <c r="A6" i="36"/>
  <c r="B5" i="36"/>
  <c r="A5" i="36"/>
  <c r="B4" i="36"/>
  <c r="A4" i="36"/>
  <c r="B3" i="36"/>
  <c r="A3" i="36"/>
  <c r="B2" i="36"/>
  <c r="R10" i="45" l="1"/>
  <c r="Q10" i="45"/>
  <c r="P10" i="45"/>
  <c r="L74" i="45"/>
  <c r="L67" i="45"/>
  <c r="L63" i="45"/>
  <c r="L51" i="45"/>
  <c r="L34" i="45"/>
  <c r="J86" i="45"/>
  <c r="J85" i="45"/>
  <c r="J84" i="45"/>
  <c r="J83" i="45"/>
  <c r="J82" i="45"/>
  <c r="J81" i="45"/>
  <c r="J80" i="45"/>
  <c r="J79" i="45"/>
  <c r="J74" i="45"/>
  <c r="J71" i="45"/>
  <c r="J67" i="45"/>
  <c r="J63" i="45"/>
  <c r="J55" i="45"/>
  <c r="J54" i="45"/>
  <c r="J43" i="45"/>
  <c r="J41" i="45"/>
  <c r="J39" i="45"/>
  <c r="J38" i="45"/>
  <c r="J34" i="45"/>
  <c r="I86" i="45"/>
  <c r="I85" i="45"/>
  <c r="I84" i="45"/>
  <c r="I83" i="45"/>
  <c r="I82" i="45"/>
  <c r="I81" i="45"/>
  <c r="I80" i="45"/>
  <c r="I79" i="45"/>
  <c r="I19" i="45"/>
  <c r="I10" i="45"/>
  <c r="H74" i="45"/>
  <c r="H71" i="45"/>
  <c r="H67" i="45"/>
  <c r="H63" i="45"/>
  <c r="H55" i="45"/>
  <c r="H54" i="45"/>
  <c r="H43" i="45"/>
  <c r="H41" i="45"/>
  <c r="H39" i="45"/>
  <c r="H38" i="45"/>
  <c r="H34" i="45"/>
  <c r="F85" i="45"/>
  <c r="F84" i="45"/>
  <c r="F83" i="45"/>
  <c r="E86" i="45"/>
  <c r="C5" i="45"/>
  <c r="C4" i="45"/>
  <c r="C3" i="45"/>
  <c r="F27" i="44"/>
  <c r="R154" i="44"/>
  <c r="J26" i="44"/>
  <c r="I26" i="44"/>
  <c r="H26" i="44"/>
  <c r="G30" i="44"/>
  <c r="H12" i="44"/>
  <c r="H17" i="44"/>
  <c r="H16" i="44"/>
  <c r="H15" i="44"/>
  <c r="H159" i="44"/>
  <c r="G162" i="44" s="1"/>
  <c r="R149" i="44" s="1"/>
  <c r="F159" i="44"/>
  <c r="G161" i="44" s="1"/>
  <c r="R153" i="44"/>
  <c r="R151" i="44"/>
  <c r="AF139" i="44"/>
  <c r="AE139" i="44"/>
  <c r="AD139" i="44"/>
  <c r="F137" i="44"/>
  <c r="G137" i="44" s="1"/>
  <c r="F136" i="44"/>
  <c r="I136" i="44" s="1"/>
  <c r="D130" i="44"/>
  <c r="D129" i="44"/>
  <c r="D128" i="44"/>
  <c r="I126" i="44" s="1"/>
  <c r="G120" i="44"/>
  <c r="E120" i="44"/>
  <c r="D120" i="44"/>
  <c r="J119" i="44"/>
  <c r="V114" i="44"/>
  <c r="U114" i="44"/>
  <c r="U109" i="44"/>
  <c r="W109" i="44" s="1"/>
  <c r="Y105" i="44"/>
  <c r="I97" i="44"/>
  <c r="I92" i="44"/>
  <c r="D92" i="44"/>
  <c r="D17" i="44" s="1"/>
  <c r="I91" i="44"/>
  <c r="D91" i="44"/>
  <c r="D16" i="44" s="1"/>
  <c r="I90" i="44"/>
  <c r="D90" i="44"/>
  <c r="R85" i="44"/>
  <c r="V68" i="44"/>
  <c r="U68" i="44"/>
  <c r="I11" i="44"/>
  <c r="G11" i="44"/>
  <c r="O4" i="44"/>
  <c r="P101" i="44" s="1"/>
  <c r="G2" i="44"/>
  <c r="E2" i="44"/>
  <c r="D2" i="44"/>
  <c r="J1" i="44"/>
  <c r="C69" i="13" a="1"/>
  <c r="C69" i="13" s="1"/>
  <c r="C70" i="13" s="1"/>
  <c r="J87" i="45" l="1"/>
  <c r="J75" i="45"/>
  <c r="H75" i="45"/>
  <c r="H30" i="44"/>
  <c r="D15" i="44"/>
  <c r="I137" i="44"/>
  <c r="I5" i="44"/>
  <c r="P99" i="44"/>
  <c r="P144" i="44"/>
  <c r="P145" i="44"/>
  <c r="D101" i="44"/>
  <c r="H138" i="44"/>
  <c r="P146" i="44"/>
  <c r="E126" i="44"/>
  <c r="G163" i="44"/>
  <c r="R150" i="44" s="1"/>
  <c r="H69" i="44"/>
  <c r="R77" i="44"/>
  <c r="R82" i="44"/>
  <c r="P100" i="44"/>
  <c r="H67" i="44"/>
  <c r="U100" i="44"/>
  <c r="W100" i="44" s="1"/>
  <c r="R73" i="44"/>
  <c r="R78" i="44"/>
  <c r="R83" i="44"/>
  <c r="H68" i="44"/>
  <c r="H70" i="44"/>
  <c r="R74" i="44"/>
  <c r="R84" i="44"/>
  <c r="G136" i="44"/>
  <c r="G138" i="44" s="1"/>
  <c r="O27" i="44" s="1"/>
  <c r="R79" i="44"/>
  <c r="U91" i="44"/>
  <c r="W91" i="44" s="1"/>
  <c r="R64" i="44"/>
  <c r="R75" i="44"/>
  <c r="R80" i="44"/>
  <c r="R76" i="44"/>
  <c r="D21" i="44" l="1"/>
  <c r="D27" i="44"/>
  <c r="E21" i="44"/>
  <c r="E27" i="44"/>
  <c r="E142" i="44"/>
  <c r="E34" i="44"/>
  <c r="E33" i="44"/>
  <c r="E32" i="44"/>
  <c r="D34" i="44"/>
  <c r="D33" i="44"/>
  <c r="D32" i="44"/>
  <c r="I123" i="44"/>
  <c r="D99" i="44"/>
  <c r="E69" i="44"/>
  <c r="D69" i="44"/>
  <c r="E96" i="44"/>
  <c r="D96" i="44"/>
  <c r="E68" i="44"/>
  <c r="D68" i="44"/>
  <c r="Q93" i="44"/>
  <c r="E65" i="44"/>
  <c r="D65" i="44"/>
  <c r="E146" i="44"/>
  <c r="E101" i="44"/>
  <c r="D146" i="44"/>
  <c r="E99" i="44"/>
  <c r="D145" i="44"/>
  <c r="E100" i="44"/>
  <c r="D100" i="44"/>
  <c r="D144" i="44"/>
  <c r="E70" i="44"/>
  <c r="D70" i="44"/>
  <c r="E145" i="44"/>
  <c r="R65" i="44"/>
  <c r="D142" i="44"/>
  <c r="E144" i="44"/>
  <c r="AC139" i="44"/>
  <c r="G28" i="44" l="1"/>
  <c r="G143" i="44"/>
  <c r="G142" i="44"/>
  <c r="F144" i="44"/>
  <c r="I144" i="44" s="1"/>
  <c r="G155" i="44"/>
  <c r="G147" i="44"/>
  <c r="Q153" i="44" s="1"/>
  <c r="F145" i="44"/>
  <c r="I145" i="44" s="1"/>
  <c r="J28" i="44" l="1"/>
  <c r="I28" i="44"/>
  <c r="I51" i="44"/>
  <c r="I27" i="44"/>
  <c r="J53" i="44"/>
  <c r="I53" i="44"/>
  <c r="J52" i="44"/>
  <c r="I52" i="44"/>
  <c r="J42" i="44"/>
  <c r="I42" i="44"/>
  <c r="J35" i="44"/>
  <c r="I35" i="44"/>
  <c r="J34" i="44"/>
  <c r="J33" i="44"/>
  <c r="I29" i="44"/>
  <c r="J32" i="44"/>
  <c r="J29" i="44"/>
  <c r="I34" i="44"/>
  <c r="I33" i="44"/>
  <c r="I32" i="44"/>
  <c r="AC140" i="44"/>
  <c r="AC142" i="44" s="1"/>
  <c r="AF140" i="44"/>
  <c r="AF143" i="44" s="1"/>
  <c r="AE140" i="44"/>
  <c r="AE143" i="44" s="1"/>
  <c r="AD140" i="44"/>
  <c r="AD155" i="44" s="1"/>
  <c r="Q154" i="44"/>
  <c r="K146" i="44"/>
  <c r="G154" i="44"/>
  <c r="F146" i="44"/>
  <c r="I146" i="44" s="1"/>
  <c r="G151" i="44"/>
  <c r="K144" i="44"/>
  <c r="Q155" i="44"/>
  <c r="G150" i="44"/>
  <c r="K145" i="44"/>
  <c r="R142" i="44"/>
  <c r="AC147" i="44" l="1"/>
  <c r="AC155" i="44"/>
  <c r="AC143" i="44"/>
  <c r="AC146" i="44"/>
  <c r="AC145" i="44"/>
  <c r="AC144" i="44"/>
  <c r="AE155" i="44"/>
  <c r="AE147" i="44"/>
  <c r="AD147" i="44"/>
  <c r="AD143" i="44"/>
  <c r="G149" i="44"/>
  <c r="G148" i="44" s="1"/>
  <c r="AD151" i="44"/>
  <c r="AC151" i="44"/>
  <c r="U112" i="44"/>
  <c r="W112" i="44" s="1"/>
  <c r="AF151" i="44"/>
  <c r="AE151" i="44"/>
  <c r="AF145" i="44"/>
  <c r="AF146" i="44"/>
  <c r="AF144" i="44"/>
  <c r="AF154" i="44"/>
  <c r="AE154" i="44"/>
  <c r="AD154" i="44"/>
  <c r="AC154" i="44"/>
  <c r="AF155" i="44"/>
  <c r="AF150" i="44"/>
  <c r="AE150" i="44"/>
  <c r="U111" i="44"/>
  <c r="W111" i="44" s="1"/>
  <c r="AD150" i="44"/>
  <c r="AC150" i="44"/>
  <c r="AD144" i="44"/>
  <c r="AD145" i="44"/>
  <c r="AD146" i="44"/>
  <c r="AE142" i="44"/>
  <c r="AF142" i="44"/>
  <c r="AF147" i="44"/>
  <c r="AE144" i="44"/>
  <c r="AE145" i="44"/>
  <c r="AE146" i="44"/>
  <c r="AD142" i="44"/>
  <c r="G152" i="44" l="1"/>
  <c r="G153" i="44" s="1"/>
  <c r="U110" i="44"/>
  <c r="W110" i="44" s="1"/>
  <c r="AC149" i="44"/>
  <c r="AD149" i="44"/>
  <c r="AE149" i="44"/>
  <c r="AF149" i="44"/>
  <c r="AF148" i="44"/>
  <c r="AE148" i="44"/>
  <c r="AD148" i="44"/>
  <c r="AC148" i="44"/>
  <c r="F148" i="44"/>
  <c r="AD152" i="44" l="1"/>
  <c r="AC152" i="44"/>
  <c r="AE152" i="44"/>
  <c r="AF152" i="44"/>
  <c r="AF153" i="44"/>
  <c r="AE153" i="44"/>
  <c r="AD153" i="44"/>
  <c r="AC153" i="44"/>
  <c r="K88" i="1" l="1"/>
  <c r="K83" i="1"/>
  <c r="K78" i="1"/>
  <c r="D88" i="1"/>
  <c r="D83" i="1"/>
  <c r="D78" i="1"/>
  <c r="O60" i="1"/>
  <c r="O43" i="1"/>
  <c r="O26" i="1"/>
  <c r="O56" i="1"/>
  <c r="O39" i="1"/>
  <c r="O22" i="1"/>
  <c r="L58" i="1"/>
  <c r="L41" i="1"/>
  <c r="L24" i="1"/>
  <c r="L56" i="1"/>
  <c r="L39" i="1"/>
  <c r="L22" i="1"/>
  <c r="D56" i="1"/>
  <c r="D39" i="1"/>
  <c r="D22" i="1"/>
  <c r="CO2" i="47" s="1"/>
  <c r="I19" i="42"/>
  <c r="AK86" i="43"/>
  <c r="AJ86" i="43"/>
  <c r="AF86" i="43"/>
  <c r="Q86" i="43"/>
  <c r="E86" i="43"/>
  <c r="AK85" i="43"/>
  <c r="AJ85" i="43"/>
  <c r="AG85" i="43"/>
  <c r="AK84" i="43"/>
  <c r="AJ84" i="43"/>
  <c r="AG84" i="43"/>
  <c r="AK83" i="43"/>
  <c r="AJ83" i="43"/>
  <c r="AG83" i="43"/>
  <c r="AK82" i="43"/>
  <c r="AJ82" i="43"/>
  <c r="AK81" i="43"/>
  <c r="AJ81" i="43"/>
  <c r="AK80" i="43"/>
  <c r="AJ80" i="43"/>
  <c r="AK79" i="43"/>
  <c r="AJ79" i="43"/>
  <c r="Q75" i="43"/>
  <c r="F75" i="43"/>
  <c r="AM74" i="43"/>
  <c r="AK74" i="43"/>
  <c r="AI74" i="43"/>
  <c r="R74" i="43"/>
  <c r="G74" i="43"/>
  <c r="H75" i="43" s="1"/>
  <c r="R73" i="43"/>
  <c r="T75" i="43" s="1"/>
  <c r="G73" i="43"/>
  <c r="R72" i="43"/>
  <c r="G72" i="43"/>
  <c r="AK71" i="43"/>
  <c r="AI71" i="43"/>
  <c r="Q69" i="43"/>
  <c r="F69" i="43"/>
  <c r="AM67" i="43"/>
  <c r="AK67" i="43"/>
  <c r="AI67" i="43"/>
  <c r="Q64" i="43"/>
  <c r="AM63" i="43"/>
  <c r="AK63" i="43"/>
  <c r="AI63" i="43"/>
  <c r="R63" i="43"/>
  <c r="F63" i="43"/>
  <c r="G62" i="43"/>
  <c r="R61" i="43"/>
  <c r="T64" i="43" s="1"/>
  <c r="G60" i="43"/>
  <c r="H63" i="43" s="1"/>
  <c r="Q57" i="43"/>
  <c r="R56" i="43"/>
  <c r="T57" i="43" s="1"/>
  <c r="H56" i="43"/>
  <c r="F56" i="43"/>
  <c r="AK55" i="43"/>
  <c r="AI55" i="43"/>
  <c r="R55" i="43"/>
  <c r="G55" i="43"/>
  <c r="AK54" i="43"/>
  <c r="AI54" i="43"/>
  <c r="G54" i="43"/>
  <c r="AM51" i="43"/>
  <c r="R51" i="43"/>
  <c r="W44" i="43" s="1"/>
  <c r="F51" i="43"/>
  <c r="R50" i="43"/>
  <c r="G50" i="43"/>
  <c r="R49" i="43"/>
  <c r="G49" i="43"/>
  <c r="R48" i="43"/>
  <c r="G48" i="43"/>
  <c r="R47" i="43"/>
  <c r="G47" i="43"/>
  <c r="R46" i="43"/>
  <c r="G46" i="43"/>
  <c r="R45" i="43"/>
  <c r="G45" i="43"/>
  <c r="Q44" i="43"/>
  <c r="Q52" i="43" s="1"/>
  <c r="G44" i="43"/>
  <c r="AK43" i="43"/>
  <c r="AI43" i="43"/>
  <c r="AF43" i="43"/>
  <c r="R43" i="43"/>
  <c r="R42" i="43"/>
  <c r="G42" i="43"/>
  <c r="AK41" i="43"/>
  <c r="AI41" i="43"/>
  <c r="W41" i="43"/>
  <c r="G41" i="43"/>
  <c r="R40" i="43"/>
  <c r="G40" i="43"/>
  <c r="AK39" i="43"/>
  <c r="AI39" i="43"/>
  <c r="R39" i="43"/>
  <c r="V40" i="43" s="1"/>
  <c r="G39" i="43"/>
  <c r="J37" i="43" s="1"/>
  <c r="AK38" i="43"/>
  <c r="AI38" i="43"/>
  <c r="R38" i="43"/>
  <c r="T52" i="43" s="1"/>
  <c r="G38" i="43"/>
  <c r="H51" i="43" s="1"/>
  <c r="W37" i="43"/>
  <c r="AM34" i="43"/>
  <c r="AK34" i="43"/>
  <c r="AI34" i="43"/>
  <c r="T34" i="43"/>
  <c r="Q34" i="43"/>
  <c r="H34" i="43"/>
  <c r="E65" i="43" s="1"/>
  <c r="F34" i="43"/>
  <c r="R33" i="43"/>
  <c r="G33" i="43"/>
  <c r="R32" i="43"/>
  <c r="G32" i="43"/>
  <c r="R31" i="43"/>
  <c r="G31" i="43"/>
  <c r="Q27" i="43"/>
  <c r="F27" i="43"/>
  <c r="R26" i="43"/>
  <c r="G26" i="43"/>
  <c r="R25" i="43"/>
  <c r="R21" i="43" s="1"/>
  <c r="R18" i="43" s="1"/>
  <c r="G25" i="43"/>
  <c r="G21" i="43" s="1"/>
  <c r="G18" i="43" s="1"/>
  <c r="R24" i="43"/>
  <c r="G24" i="43"/>
  <c r="AM17" i="43"/>
  <c r="AK17" i="43"/>
  <c r="AI17" i="43"/>
  <c r="G15" i="43"/>
  <c r="AS10" i="43"/>
  <c r="AR10" i="43"/>
  <c r="AQ10" i="43"/>
  <c r="AJ10" i="43"/>
  <c r="W9" i="43"/>
  <c r="AD5" i="43"/>
  <c r="AD4" i="43"/>
  <c r="AD3" i="43"/>
  <c r="J74" i="42"/>
  <c r="L74" i="42"/>
  <c r="L67" i="42"/>
  <c r="L63" i="42"/>
  <c r="L51" i="42"/>
  <c r="L34" i="42"/>
  <c r="H74" i="42"/>
  <c r="H71" i="42"/>
  <c r="H67" i="42"/>
  <c r="H63" i="42"/>
  <c r="H55" i="42"/>
  <c r="H54" i="42"/>
  <c r="H43" i="42"/>
  <c r="H41" i="42"/>
  <c r="H39" i="42"/>
  <c r="H38" i="42"/>
  <c r="H34" i="42"/>
  <c r="J71" i="42"/>
  <c r="J67" i="42"/>
  <c r="J63" i="42"/>
  <c r="J55" i="42"/>
  <c r="J54" i="42"/>
  <c r="J43" i="42"/>
  <c r="J41" i="42"/>
  <c r="J39" i="42"/>
  <c r="J38" i="42"/>
  <c r="J34" i="42"/>
  <c r="P10" i="42"/>
  <c r="Q10" i="42"/>
  <c r="R10" i="42"/>
  <c r="J86" i="42"/>
  <c r="J85" i="42"/>
  <c r="J84" i="42"/>
  <c r="J83" i="42"/>
  <c r="J82" i="42"/>
  <c r="J81" i="42"/>
  <c r="J80" i="42"/>
  <c r="J79" i="42"/>
  <c r="I86" i="42"/>
  <c r="I85" i="42"/>
  <c r="I84" i="42"/>
  <c r="I83" i="42"/>
  <c r="I82" i="42"/>
  <c r="I81" i="42"/>
  <c r="I80" i="42"/>
  <c r="I79" i="42"/>
  <c r="I10" i="42"/>
  <c r="AK87" i="43" l="1"/>
  <c r="AK75" i="43"/>
  <c r="AI75" i="43"/>
  <c r="J87" i="42"/>
  <c r="R67" i="43"/>
  <c r="T69" i="43" s="1"/>
  <c r="T77" i="43" s="1"/>
  <c r="T79" i="43" s="1"/>
  <c r="G67" i="43"/>
  <c r="G66" i="43"/>
  <c r="H69" i="43" s="1"/>
  <c r="H77" i="43" s="1"/>
  <c r="H79" i="43" s="1"/>
  <c r="H75" i="42"/>
  <c r="J75" i="42"/>
  <c r="O8" i="1"/>
  <c r="M8" i="1"/>
  <c r="GQ1" i="41"/>
  <c r="AAV1" i="41" s="1"/>
  <c r="GG1" i="41"/>
  <c r="AAL1" i="41" s="1"/>
  <c r="FW1" i="41"/>
  <c r="AAB1" i="41" s="1"/>
  <c r="GP1" i="41"/>
  <c r="AAU1" i="41" s="1"/>
  <c r="GF1" i="41"/>
  <c r="AAK1" i="41" s="1"/>
  <c r="GR1" i="41"/>
  <c r="AAW1" i="41" s="1"/>
  <c r="GH1" i="41"/>
  <c r="AAM1" i="41" s="1"/>
  <c r="GS1" i="41"/>
  <c r="AAX1" i="41" s="1"/>
  <c r="GI1" i="41"/>
  <c r="AAN1" i="41" s="1"/>
  <c r="FY1" i="41"/>
  <c r="AAD1" i="41" s="1"/>
  <c r="BG1" i="41"/>
  <c r="VP1" i="41" s="1"/>
  <c r="BI1" i="41"/>
  <c r="E86" i="42"/>
  <c r="F85" i="42"/>
  <c r="F84" i="42"/>
  <c r="F83" i="42"/>
  <c r="C5" i="42"/>
  <c r="C4" i="42"/>
  <c r="C3" i="42"/>
  <c r="M13" i="1" l="1"/>
  <c r="GI2" i="47" s="1"/>
  <c r="AJ2" i="47"/>
  <c r="F1" i="41"/>
  <c r="AL1" i="41" s="1"/>
  <c r="VQ1" i="41"/>
  <c r="D13" i="1"/>
  <c r="FZ2" i="47" s="1"/>
  <c r="F13" i="1"/>
  <c r="GB2" i="47" s="1"/>
  <c r="G13" i="1"/>
  <c r="GC2" i="47" s="1"/>
  <c r="H13" i="1"/>
  <c r="GD2" i="47" s="1"/>
  <c r="I13" i="1"/>
  <c r="GE2" i="47" s="1"/>
  <c r="E13" i="1"/>
  <c r="GA2" i="47" s="1"/>
  <c r="J13" i="1"/>
  <c r="GF2" i="47" s="1"/>
  <c r="K13" i="1"/>
  <c r="GG2" i="47" s="1"/>
  <c r="L13" i="1"/>
  <c r="GH2" i="47" s="1"/>
  <c r="AM1" i="41" l="1"/>
  <c r="S1" i="41" s="1"/>
  <c r="AK1" i="41"/>
  <c r="AJ1" i="41"/>
  <c r="AI1" i="41"/>
  <c r="AH1" i="41"/>
  <c r="AG1" i="41"/>
  <c r="AQ1" i="41"/>
  <c r="AS1" i="41"/>
  <c r="AR1" i="41"/>
  <c r="AP1" i="41"/>
  <c r="AO1" i="41"/>
  <c r="BD1" i="41"/>
  <c r="BE1" i="41"/>
  <c r="BF1" i="41"/>
  <c r="VR1" i="41"/>
  <c r="BL1" i="41"/>
  <c r="BR1" i="41"/>
  <c r="VZ1" i="41" s="1"/>
  <c r="BY1" i="41"/>
  <c r="WG1" i="41" s="1"/>
  <c r="BZ1" i="41"/>
  <c r="WH1" i="41" s="1"/>
  <c r="CA1" i="41"/>
  <c r="WI1" i="41" s="1"/>
  <c r="CB1" i="41"/>
  <c r="WJ1" i="41" s="1"/>
  <c r="CC1" i="41"/>
  <c r="WK1" i="41" s="1"/>
  <c r="CD1" i="41"/>
  <c r="WL1" i="41" s="1"/>
  <c r="CE1" i="41"/>
  <c r="WM1" i="41" s="1"/>
  <c r="CF1" i="41"/>
  <c r="WN1" i="41" s="1"/>
  <c r="CG1" i="41"/>
  <c r="WO1" i="41" s="1"/>
  <c r="CH1" i="41"/>
  <c r="WP1" i="41" s="1"/>
  <c r="CI1" i="41"/>
  <c r="WQ1" i="41" s="1"/>
  <c r="CJ1" i="41"/>
  <c r="WR1" i="41" s="1"/>
  <c r="CK1" i="41"/>
  <c r="CL1" i="41"/>
  <c r="WT1" i="41" s="1"/>
  <c r="CN1" i="41"/>
  <c r="WV1" i="41" s="1"/>
  <c r="CO1" i="41"/>
  <c r="WW1" i="41" s="1"/>
  <c r="EO1" i="41"/>
  <c r="YW1" i="41" s="1"/>
  <c r="EP1" i="41"/>
  <c r="YX1" i="41" s="1"/>
  <c r="EQ1" i="41"/>
  <c r="YY1" i="41" s="1"/>
  <c r="ES1" i="41"/>
  <c r="ZA1" i="41" s="1"/>
  <c r="EU1" i="41"/>
  <c r="ZC1" i="41" s="1"/>
  <c r="EW1" i="41"/>
  <c r="ZE1" i="41" s="1"/>
  <c r="EY1" i="41"/>
  <c r="ZF1" i="41" s="1"/>
  <c r="EZ1" i="41"/>
  <c r="ZG1" i="41" s="1"/>
  <c r="FA1" i="41"/>
  <c r="ZH1" i="41" s="1"/>
  <c r="FC1" i="41"/>
  <c r="ZJ1" i="41" s="1"/>
  <c r="FE1" i="41"/>
  <c r="ZL1" i="41" s="1"/>
  <c r="FG1" i="41"/>
  <c r="ZN1" i="41" s="1"/>
  <c r="FI1" i="41"/>
  <c r="ZO1" i="41" s="1"/>
  <c r="FJ1" i="41"/>
  <c r="ZP1" i="41" s="1"/>
  <c r="FK1" i="41"/>
  <c r="ZQ1" i="41" s="1"/>
  <c r="FM1" i="41"/>
  <c r="ZS1" i="41" s="1"/>
  <c r="FO1" i="41"/>
  <c r="ZU1" i="41" s="1"/>
  <c r="FQ1" i="41"/>
  <c r="ZW1" i="41" s="1"/>
  <c r="GA1" i="41"/>
  <c r="AAF1" i="41" s="1"/>
  <c r="GB1" i="41"/>
  <c r="AAG1" i="41" s="1"/>
  <c r="GK1" i="41"/>
  <c r="AAP1" i="41" s="1"/>
  <c r="GL1" i="41"/>
  <c r="AAQ1" i="41" s="1"/>
  <c r="GU1" i="41"/>
  <c r="AAZ1" i="41" s="1"/>
  <c r="GV1" i="41"/>
  <c r="ABA1" i="41" s="1"/>
  <c r="HM1" i="41"/>
  <c r="ABR1" i="41" s="1"/>
  <c r="HP1" i="41"/>
  <c r="ABU1" i="41" s="1"/>
  <c r="HS1" i="41"/>
  <c r="ABX1" i="41" s="1"/>
  <c r="HT1" i="41"/>
  <c r="ABY1" i="41" s="1"/>
  <c r="HU1" i="41"/>
  <c r="ABZ1" i="41" s="1"/>
  <c r="HW1" i="41"/>
  <c r="ACB1" i="41" s="1"/>
  <c r="HZ1" i="41"/>
  <c r="ACE1" i="41" s="1"/>
  <c r="JQ1" i="41"/>
  <c r="ADV1" i="41" s="1"/>
  <c r="JR1" i="41"/>
  <c r="ADW1" i="41" s="1"/>
  <c r="JS1" i="41"/>
  <c r="ADX1" i="41" s="1"/>
  <c r="JT1" i="41"/>
  <c r="ADY1" i="41" s="1"/>
  <c r="JU1" i="41"/>
  <c r="ADZ1" i="41" s="1"/>
  <c r="JV1" i="41"/>
  <c r="AEA1" i="41" s="1"/>
  <c r="JW1" i="41"/>
  <c r="AEB1" i="41" s="1"/>
  <c r="JX1" i="41"/>
  <c r="AEC1" i="41" s="1"/>
  <c r="JY1" i="41"/>
  <c r="AED1" i="41" s="1"/>
  <c r="JZ1" i="41"/>
  <c r="AEE1" i="41" s="1"/>
  <c r="KA1" i="41"/>
  <c r="AEF1" i="41" s="1"/>
  <c r="KB1" i="41"/>
  <c r="AEG1" i="41" s="1"/>
  <c r="KC1" i="41"/>
  <c r="AEH1" i="41" s="1"/>
  <c r="KD1" i="41"/>
  <c r="AEI1" i="41" s="1"/>
  <c r="O1" i="41" l="1"/>
  <c r="P1" i="41"/>
  <c r="Q1" i="41"/>
  <c r="M1" i="41"/>
  <c r="AN1" i="41"/>
  <c r="R1" i="41"/>
  <c r="N1" i="41"/>
  <c r="WS1" i="41"/>
  <c r="T1" i="41"/>
  <c r="B1" i="41"/>
  <c r="VM1" i="41"/>
  <c r="AEK1" i="41"/>
  <c r="VN1" i="41"/>
  <c r="C1" i="41"/>
  <c r="AU1" i="41" s="1"/>
  <c r="D1" i="41"/>
  <c r="VO1" i="41"/>
  <c r="H1" i="41"/>
  <c r="MB1" i="41" s="1"/>
  <c r="VT1" i="41"/>
  <c r="KY1" i="41"/>
  <c r="LS1" i="41" s="1"/>
  <c r="KZ1" i="41"/>
  <c r="LT1" i="41" s="1"/>
  <c r="KX1" i="41"/>
  <c r="LR1" i="41" s="1"/>
  <c r="KT1" i="41"/>
  <c r="LN1" i="41" s="1"/>
  <c r="MA1" i="41" s="1"/>
  <c r="AT1" i="41"/>
  <c r="KG1" i="41"/>
  <c r="P28" i="29"/>
  <c r="O4" i="13"/>
  <c r="I54" i="2"/>
  <c r="I23" i="2"/>
  <c r="I22" i="2"/>
  <c r="FV1" i="41"/>
  <c r="AAA1" i="41" s="1"/>
  <c r="FX1" i="41"/>
  <c r="AAC1" i="41" s="1"/>
  <c r="E26" i="1"/>
  <c r="AL26" i="1"/>
  <c r="AE27" i="1"/>
  <c r="AO29" i="1"/>
  <c r="AN30" i="1"/>
  <c r="AL43" i="1"/>
  <c r="AE44" i="1"/>
  <c r="AO46" i="1"/>
  <c r="AN47" i="1"/>
  <c r="AL60" i="1"/>
  <c r="AE61" i="1"/>
  <c r="AO63" i="1"/>
  <c r="AN64" i="1"/>
  <c r="CA2" i="1" a="1"/>
  <c r="CA2" i="1" s="1"/>
  <c r="I10" i="2" l="1"/>
  <c r="M12" i="2" s="1"/>
  <c r="J68" i="2" l="1"/>
  <c r="E69" i="2"/>
  <c r="R34" i="2"/>
  <c r="R10" i="2"/>
  <c r="I56" i="2"/>
  <c r="I55" i="2"/>
  <c r="I25" i="2"/>
  <c r="AD88" i="2" l="1"/>
  <c r="AC88" i="2"/>
  <c r="AB88" i="2"/>
  <c r="Y54" i="2"/>
  <c r="N88" i="1"/>
  <c r="F130" i="44" s="1"/>
  <c r="D77" i="2"/>
  <c r="FU1" i="41" s="1"/>
  <c r="ZZ1" i="41" s="1"/>
  <c r="D79" i="2"/>
  <c r="GO1" i="41" s="1"/>
  <c r="AAT1" i="41" s="1"/>
  <c r="D78" i="2"/>
  <c r="GE1" i="41" s="1"/>
  <c r="AAJ1" i="41" s="1"/>
  <c r="H130" i="44" l="1"/>
  <c r="G130" i="44" s="1"/>
  <c r="F79" i="2"/>
  <c r="H79" i="2" s="1"/>
  <c r="GX1" i="41" s="1"/>
  <c r="ABC1" i="41" s="1"/>
  <c r="GT1" i="41"/>
  <c r="AAY1" i="41" s="1"/>
  <c r="AE126" i="44" l="1"/>
  <c r="G79" i="2"/>
  <c r="GW1" i="41" s="1"/>
  <c r="ABB1" i="41" s="1"/>
  <c r="D36" i="29"/>
  <c r="E84" i="45" s="1"/>
  <c r="B34" i="29"/>
  <c r="B35" i="29"/>
  <c r="B33" i="29"/>
  <c r="B32" i="29"/>
  <c r="AF84" i="43" l="1"/>
  <c r="E84" i="42"/>
  <c r="AD75" i="2"/>
  <c r="F34" i="29"/>
  <c r="U2" i="47" s="1"/>
  <c r="D41" i="2"/>
  <c r="D40" i="44" s="1"/>
  <c r="D40" i="2"/>
  <c r="D39" i="44" s="1"/>
  <c r="D39" i="2"/>
  <c r="D38" i="44" s="1"/>
  <c r="I75" i="2"/>
  <c r="L60" i="1"/>
  <c r="H22" i="21"/>
  <c r="BX1" i="41" l="1"/>
  <c r="K1" i="41" s="1"/>
  <c r="F20" i="1"/>
  <c r="F54" i="1"/>
  <c r="FL1" i="41"/>
  <c r="ZR1" i="41" s="1"/>
  <c r="F37" i="1"/>
  <c r="FB1" i="41"/>
  <c r="ZI1" i="41" s="1"/>
  <c r="N83" i="1"/>
  <c r="F129" i="44" s="1"/>
  <c r="ER1" i="41"/>
  <c r="YZ1" i="41" s="1"/>
  <c r="D38" i="29"/>
  <c r="WF1" i="41" l="1"/>
  <c r="H129" i="44"/>
  <c r="G129" i="44" s="1"/>
  <c r="F78" i="2"/>
  <c r="GJ1" i="41"/>
  <c r="AAO1" i="41" s="1"/>
  <c r="G34" i="21"/>
  <c r="C4" i="13"/>
  <c r="D4" i="13"/>
  <c r="E4" i="13"/>
  <c r="F4" i="13"/>
  <c r="H4" i="13"/>
  <c r="F38" i="29"/>
  <c r="B38" i="29" s="1"/>
  <c r="KH1" i="41" l="1"/>
  <c r="IE2" i="47"/>
  <c r="AD126" i="44"/>
  <c r="H78" i="2"/>
  <c r="GN1" i="41" s="1"/>
  <c r="AAS1" i="41" s="1"/>
  <c r="D2" i="31"/>
  <c r="D2" i="29"/>
  <c r="E2" i="2"/>
  <c r="E75" i="2" s="1"/>
  <c r="F72" i="1"/>
  <c r="F2" i="1"/>
  <c r="R20" i="29" l="1"/>
  <c r="S20" i="29"/>
  <c r="S15" i="29"/>
  <c r="D37" i="29"/>
  <c r="D35" i="29"/>
  <c r="G28" i="29"/>
  <c r="N6" i="29"/>
  <c r="I26" i="29"/>
  <c r="B27" i="29" s="1"/>
  <c r="B24" i="29"/>
  <c r="G78" i="2"/>
  <c r="B45" i="29"/>
  <c r="G24" i="29"/>
  <c r="D30" i="29" l="1"/>
  <c r="D29" i="29"/>
  <c r="D28" i="29"/>
  <c r="G26" i="29"/>
  <c r="E85" i="45"/>
  <c r="E83" i="45"/>
  <c r="B26" i="29"/>
  <c r="B28" i="29"/>
  <c r="VU1" i="41"/>
  <c r="GM1" i="41"/>
  <c r="AAR1" i="41" s="1"/>
  <c r="AC75" i="2"/>
  <c r="E83" i="42"/>
  <c r="AF83" i="43"/>
  <c r="E85" i="42"/>
  <c r="I24" i="29"/>
  <c r="E29" i="29" s="1"/>
  <c r="E61" i="1"/>
  <c r="O71" i="1"/>
  <c r="M34" i="21"/>
  <c r="M33" i="21"/>
  <c r="O67" i="1"/>
  <c r="N67" i="1"/>
  <c r="M67" i="1"/>
  <c r="L67" i="1"/>
  <c r="K67" i="1"/>
  <c r="J67" i="1"/>
  <c r="I67" i="1"/>
  <c r="H67" i="1"/>
  <c r="G67" i="1"/>
  <c r="F67" i="1"/>
  <c r="E67" i="1"/>
  <c r="D67" i="1"/>
  <c r="C67" i="1"/>
  <c r="B67" i="1"/>
  <c r="C60" i="1"/>
  <c r="C58" i="1"/>
  <c r="C56" i="1"/>
  <c r="C65" i="1"/>
  <c r="C64" i="1"/>
  <c r="B65" i="1"/>
  <c r="B64" i="1"/>
  <c r="B63" i="1"/>
  <c r="B62" i="1"/>
  <c r="N63" i="1"/>
  <c r="M63" i="1"/>
  <c r="L63" i="1"/>
  <c r="K63" i="1"/>
  <c r="J63" i="1"/>
  <c r="I63" i="1"/>
  <c r="H63" i="1"/>
  <c r="G63" i="1"/>
  <c r="F63" i="1"/>
  <c r="E63" i="1"/>
  <c r="D63" i="1"/>
  <c r="H60" i="1"/>
  <c r="F60" i="1"/>
  <c r="E60" i="1"/>
  <c r="E58" i="1"/>
  <c r="K60" i="1"/>
  <c r="K58" i="1"/>
  <c r="K56" i="1"/>
  <c r="N60" i="1"/>
  <c r="N58" i="1"/>
  <c r="N56" i="1"/>
  <c r="L54" i="1"/>
  <c r="E24" i="1"/>
  <c r="N46" i="1"/>
  <c r="M46" i="1"/>
  <c r="L46" i="1"/>
  <c r="K46" i="1"/>
  <c r="J46" i="1"/>
  <c r="I46" i="1"/>
  <c r="H46" i="1"/>
  <c r="G46" i="1"/>
  <c r="F46" i="1"/>
  <c r="E46" i="1"/>
  <c r="D46" i="1"/>
  <c r="O50" i="1"/>
  <c r="N50" i="1"/>
  <c r="M50" i="1"/>
  <c r="L50" i="1"/>
  <c r="K50" i="1"/>
  <c r="J50" i="1"/>
  <c r="I50" i="1"/>
  <c r="H50" i="1"/>
  <c r="G50" i="1"/>
  <c r="F50" i="1"/>
  <c r="E50" i="1"/>
  <c r="D50" i="1"/>
  <c r="C50" i="1"/>
  <c r="B50" i="1"/>
  <c r="C48" i="1"/>
  <c r="C47" i="1"/>
  <c r="B48" i="1"/>
  <c r="B47" i="1"/>
  <c r="B46" i="1"/>
  <c r="B45" i="1"/>
  <c r="C43" i="1"/>
  <c r="C41" i="1"/>
  <c r="C39" i="1"/>
  <c r="E41" i="1"/>
  <c r="F43" i="1"/>
  <c r="E43" i="1"/>
  <c r="H43" i="1"/>
  <c r="N43" i="1"/>
  <c r="N42" i="1"/>
  <c r="N41" i="1"/>
  <c r="N40" i="1"/>
  <c r="N39" i="1"/>
  <c r="K43" i="1"/>
  <c r="K42" i="1"/>
  <c r="K41" i="1"/>
  <c r="K40" i="1"/>
  <c r="K39" i="1"/>
  <c r="L37" i="1"/>
  <c r="O33" i="1"/>
  <c r="N33" i="1"/>
  <c r="M33" i="1"/>
  <c r="L33" i="1"/>
  <c r="K33" i="1"/>
  <c r="J33" i="1"/>
  <c r="I33" i="1"/>
  <c r="H33" i="1"/>
  <c r="G33" i="1"/>
  <c r="F33" i="1"/>
  <c r="E33" i="1"/>
  <c r="D33" i="1"/>
  <c r="C33" i="1"/>
  <c r="B33" i="1"/>
  <c r="C31" i="1"/>
  <c r="C30" i="1"/>
  <c r="B31" i="1"/>
  <c r="B30" i="1"/>
  <c r="B29" i="1"/>
  <c r="B28" i="1"/>
  <c r="C22" i="1"/>
  <c r="C24" i="1"/>
  <c r="C26" i="1"/>
  <c r="F26" i="1"/>
  <c r="H26" i="1"/>
  <c r="K22" i="1"/>
  <c r="K24" i="1"/>
  <c r="K26" i="1"/>
  <c r="N26" i="1"/>
  <c r="N24" i="1"/>
  <c r="N22" i="1"/>
  <c r="L20" i="1"/>
  <c r="G69" i="2"/>
  <c r="I41" i="2"/>
  <c r="I17" i="44" s="1"/>
  <c r="I40" i="2"/>
  <c r="I16" i="44" s="1"/>
  <c r="N64" i="1"/>
  <c r="N47" i="1"/>
  <c r="L43" i="1"/>
  <c r="N30" i="1"/>
  <c r="L26" i="1"/>
  <c r="AC98" i="21"/>
  <c r="AE98" i="21" s="1"/>
  <c r="O28" i="29"/>
  <c r="AB97" i="21"/>
  <c r="AD95" i="21" l="1"/>
  <c r="H72" i="1" s="1"/>
  <c r="E81" i="45"/>
  <c r="AF85" i="43"/>
  <c r="E81" i="42"/>
  <c r="AF81" i="43"/>
  <c r="AC95" i="21"/>
  <c r="H2" i="1" l="1"/>
  <c r="F69" i="2" s="1"/>
  <c r="F2" i="44"/>
  <c r="F120" i="44"/>
  <c r="E2" i="31"/>
  <c r="I59" i="2"/>
  <c r="I58" i="2"/>
  <c r="O4" i="2"/>
  <c r="AC107" i="21"/>
  <c r="AH124" i="21"/>
  <c r="B93" i="2" l="1"/>
  <c r="B17" i="2"/>
  <c r="B48" i="2"/>
  <c r="F2" i="29"/>
  <c r="F2" i="2"/>
  <c r="D94" i="2"/>
  <c r="D48" i="2"/>
  <c r="D93" i="2"/>
  <c r="D50" i="2"/>
  <c r="D95" i="2"/>
  <c r="I14" i="2"/>
  <c r="H91" i="2"/>
  <c r="I45" i="2"/>
  <c r="D49" i="2"/>
  <c r="I5" i="2"/>
  <c r="E91" i="2" s="1"/>
  <c r="I46" i="2"/>
  <c r="C8" i="45" l="1"/>
  <c r="H17" i="45" s="1"/>
  <c r="E45" i="2"/>
  <c r="AD8" i="43"/>
  <c r="C8" i="42"/>
  <c r="M3" i="43"/>
  <c r="Q42" i="2"/>
  <c r="I72" i="2"/>
  <c r="E94" i="2"/>
  <c r="E95" i="2"/>
  <c r="E93" i="2"/>
  <c r="E50" i="2"/>
  <c r="E19" i="2"/>
  <c r="D19" i="2"/>
  <c r="E18" i="2"/>
  <c r="E17" i="2"/>
  <c r="D18" i="2"/>
  <c r="D17" i="2"/>
  <c r="D91" i="2"/>
  <c r="D14" i="2"/>
  <c r="D45" i="2"/>
  <c r="E14" i="2"/>
  <c r="E49" i="2"/>
  <c r="E48" i="2"/>
  <c r="I33" i="2"/>
  <c r="I32" i="2"/>
  <c r="I24" i="2"/>
  <c r="I27" i="2"/>
  <c r="I28" i="2"/>
  <c r="E27" i="1"/>
  <c r="I8" i="1"/>
  <c r="J17" i="45" l="1"/>
  <c r="L17" i="45"/>
  <c r="J17" i="42"/>
  <c r="H17" i="42"/>
  <c r="L17" i="42"/>
  <c r="CM1" i="41"/>
  <c r="WU1" i="41" s="1"/>
  <c r="IH1" i="41" l="1"/>
  <c r="ACM1" i="41" s="1"/>
  <c r="IG1" i="41"/>
  <c r="ACL1" i="41" s="1"/>
  <c r="IC1" i="41"/>
  <c r="ACH1" i="41" s="1"/>
  <c r="IL1" i="41"/>
  <c r="ACQ1" i="41" s="1"/>
  <c r="II1" i="41"/>
  <c r="ACN1" i="41" s="1"/>
  <c r="IF1" i="41"/>
  <c r="ACK1" i="41" s="1"/>
  <c r="IE1" i="41"/>
  <c r="ACJ1" i="41" s="1"/>
  <c r="ID1" i="41"/>
  <c r="ACI1" i="41" s="1"/>
  <c r="IK1" i="41"/>
  <c r="ACP1" i="41" s="1"/>
  <c r="IJ1" i="41"/>
  <c r="ACO1" i="41" s="1"/>
  <c r="N13" i="1" l="1"/>
  <c r="Q28" i="29"/>
  <c r="I64" i="2" l="1"/>
  <c r="I63" i="2"/>
  <c r="P45" i="29" l="1"/>
  <c r="F45" i="29" l="1"/>
  <c r="I29" i="2" l="1"/>
  <c r="I57" i="2"/>
  <c r="I62" i="2"/>
  <c r="I31" i="2"/>
  <c r="V22" i="1"/>
  <c r="V17" i="1"/>
  <c r="V16" i="1"/>
  <c r="V15" i="1"/>
  <c r="P12" i="29" l="1"/>
  <c r="I72" i="1" l="1"/>
  <c r="E72" i="1"/>
  <c r="D69" i="2"/>
  <c r="E2" i="1" l="1"/>
  <c r="D2" i="2"/>
  <c r="C2" i="29"/>
  <c r="I2" i="1"/>
  <c r="G2" i="2"/>
  <c r="G2" i="29"/>
  <c r="G2" i="31"/>
  <c r="C2" i="31"/>
  <c r="R53" i="1" l="1"/>
  <c r="R36" i="1"/>
  <c r="R78" i="1"/>
  <c r="R19" i="1"/>
  <c r="F86" i="2"/>
  <c r="HO1" i="41" s="1"/>
  <c r="ABT1" i="41" s="1"/>
  <c r="F85" i="2"/>
  <c r="HL1" i="41" s="1"/>
  <c r="ABQ1" i="41" s="1"/>
  <c r="H108" i="2"/>
  <c r="G10" i="2"/>
  <c r="I39" i="2"/>
  <c r="I15" i="44" l="1"/>
  <c r="AJ12" i="43"/>
  <c r="R12" i="43" s="1"/>
  <c r="I12" i="45"/>
  <c r="I12" i="42"/>
  <c r="R13" i="2"/>
  <c r="R33" i="2"/>
  <c r="R32" i="2"/>
  <c r="R31" i="2"/>
  <c r="R29" i="2"/>
  <c r="R27" i="2"/>
  <c r="R28" i="2"/>
  <c r="R26" i="2"/>
  <c r="R25" i="2"/>
  <c r="R24" i="2"/>
  <c r="R22" i="2"/>
  <c r="R23" i="2"/>
  <c r="R14" i="2"/>
  <c r="G37" i="21"/>
  <c r="HY1" i="41"/>
  <c r="ACD1" i="41" s="1"/>
  <c r="AO60" i="1"/>
  <c r="AM53" i="1"/>
  <c r="AD56" i="1"/>
  <c r="AL56" i="1"/>
  <c r="AO56" i="1"/>
  <c r="AL58" i="1"/>
  <c r="AM36" i="1"/>
  <c r="AD39" i="1"/>
  <c r="AL39" i="1"/>
  <c r="AO39" i="1"/>
  <c r="AL41" i="1"/>
  <c r="AO43" i="1"/>
  <c r="AM19" i="1"/>
  <c r="AD22" i="1"/>
  <c r="AL22" i="1"/>
  <c r="AO22" i="1"/>
  <c r="AL24" i="1"/>
  <c r="AO26" i="1"/>
  <c r="I12" i="2"/>
  <c r="G30" i="21"/>
  <c r="G111" i="2"/>
  <c r="I85" i="2"/>
  <c r="I86" i="2"/>
  <c r="N78" i="1"/>
  <c r="I1" i="31"/>
  <c r="K1" i="29"/>
  <c r="J1" i="2"/>
  <c r="O1" i="1"/>
  <c r="M32" i="21"/>
  <c r="H34" i="21"/>
  <c r="H33" i="21"/>
  <c r="H32" i="21"/>
  <c r="H37" i="21"/>
  <c r="DE1" i="41" l="1"/>
  <c r="XM1" i="41" s="1"/>
  <c r="BB2" i="47"/>
  <c r="DC1" i="41"/>
  <c r="XK1" i="41" s="1"/>
  <c r="AZ2" i="47"/>
  <c r="DI1" i="41"/>
  <c r="XQ1" i="41" s="1"/>
  <c r="BF2" i="47"/>
  <c r="DF1" i="41"/>
  <c r="XN1" i="41" s="1"/>
  <c r="BC2" i="47"/>
  <c r="DJ1" i="41"/>
  <c r="XR1" i="41" s="1"/>
  <c r="BG2" i="47"/>
  <c r="DA1" i="41"/>
  <c r="XI1" i="41" s="1"/>
  <c r="AX2" i="47"/>
  <c r="DD1" i="41"/>
  <c r="XL1" i="41" s="1"/>
  <c r="BA2" i="47"/>
  <c r="DG1" i="41"/>
  <c r="XO1" i="41" s="1"/>
  <c r="BD2" i="47"/>
  <c r="DH1" i="41"/>
  <c r="XP1" i="41" s="1"/>
  <c r="BE2" i="47"/>
  <c r="DK1" i="41"/>
  <c r="XS1" i="41" s="1"/>
  <c r="BH2" i="47"/>
  <c r="DB1" i="41"/>
  <c r="XJ1" i="41" s="1"/>
  <c r="AY2" i="47"/>
  <c r="CP1" i="41"/>
  <c r="WX1" i="41" s="1"/>
  <c r="AM2" i="47"/>
  <c r="CQ1" i="41"/>
  <c r="WY1" i="41" s="1"/>
  <c r="AN2" i="47"/>
  <c r="FZ1" i="41"/>
  <c r="F128" i="44"/>
  <c r="IA1" i="41"/>
  <c r="ACF1" i="41" s="1"/>
  <c r="AD60" i="1"/>
  <c r="AI60" i="1"/>
  <c r="AD43" i="1"/>
  <c r="AI43" i="1"/>
  <c r="AD26" i="1"/>
  <c r="AI26" i="1"/>
  <c r="Q46" i="1"/>
  <c r="O46" i="1" s="1"/>
  <c r="F77" i="2"/>
  <c r="Q63" i="1"/>
  <c r="O63" i="1" s="1"/>
  <c r="D60" i="1"/>
  <c r="D26" i="1"/>
  <c r="CQ2" i="47" s="1"/>
  <c r="D43" i="1"/>
  <c r="F92" i="44" l="1"/>
  <c r="DK2" i="47"/>
  <c r="F91" i="44"/>
  <c r="DA2" i="47"/>
  <c r="AAE1" i="41"/>
  <c r="Y1" i="41"/>
  <c r="M91" i="44"/>
  <c r="AD92" i="44"/>
  <c r="F16" i="44"/>
  <c r="G91" i="44"/>
  <c r="H128" i="44"/>
  <c r="G128" i="44" s="1"/>
  <c r="F131" i="44"/>
  <c r="M92" i="44"/>
  <c r="G92" i="44"/>
  <c r="F17" i="44"/>
  <c r="AE92" i="44"/>
  <c r="I26" i="1"/>
  <c r="F90" i="44"/>
  <c r="I60" i="1"/>
  <c r="FN1" i="41"/>
  <c r="ZT1" i="41" s="1"/>
  <c r="I43" i="1"/>
  <c r="DC2" i="47" s="1"/>
  <c r="FD1" i="41"/>
  <c r="ZK1" i="41" s="1"/>
  <c r="G32" i="21"/>
  <c r="ET1" i="41"/>
  <c r="ZB1" i="41" s="1"/>
  <c r="E28" i="29"/>
  <c r="E80" i="45" s="1"/>
  <c r="H77" i="2"/>
  <c r="N10" i="45" s="1"/>
  <c r="F80" i="2"/>
  <c r="G35" i="21" s="1"/>
  <c r="N4" i="13" s="1"/>
  <c r="G33" i="21"/>
  <c r="F41" i="2"/>
  <c r="F40" i="2"/>
  <c r="F39" i="2"/>
  <c r="AC41" i="2" s="1"/>
  <c r="M30" i="21"/>
  <c r="I44" i="2"/>
  <c r="I53" i="2"/>
  <c r="I13" i="2"/>
  <c r="I26" i="2"/>
  <c r="AE65" i="1" l="1"/>
  <c r="DM2" i="47"/>
  <c r="EV1" i="41"/>
  <c r="ZD1" i="41" s="1"/>
  <c r="CS2" i="47"/>
  <c r="AL65" i="1"/>
  <c r="AG65" i="1"/>
  <c r="AR12" i="43"/>
  <c r="Q12" i="45"/>
  <c r="G13" i="44"/>
  <c r="R115" i="44" s="1"/>
  <c r="P12" i="45"/>
  <c r="G131" i="44"/>
  <c r="H131" i="44" s="1"/>
  <c r="AC126" i="44"/>
  <c r="N12" i="45"/>
  <c r="F57" i="44"/>
  <c r="G16" i="44"/>
  <c r="AD17" i="44"/>
  <c r="AE17" i="44"/>
  <c r="G17" i="44"/>
  <c r="AS12" i="43"/>
  <c r="R12" i="45"/>
  <c r="G31" i="1"/>
  <c r="F31" i="1"/>
  <c r="J31" i="1"/>
  <c r="E31" i="1"/>
  <c r="I31" i="1"/>
  <c r="M31" i="1"/>
  <c r="L31" i="1"/>
  <c r="K31" i="1"/>
  <c r="D31" i="1"/>
  <c r="H31" i="1"/>
  <c r="F15" i="44"/>
  <c r="G93" i="44"/>
  <c r="M90" i="44"/>
  <c r="G90" i="44"/>
  <c r="AC92" i="44"/>
  <c r="O93" i="44"/>
  <c r="E80" i="42"/>
  <c r="AF80" i="43"/>
  <c r="P12" i="42"/>
  <c r="AQ12" i="43"/>
  <c r="AF65" i="1"/>
  <c r="AD65" i="1"/>
  <c r="AK65" i="1"/>
  <c r="AJ65" i="1"/>
  <c r="AI65" i="1"/>
  <c r="AH65" i="1"/>
  <c r="N12" i="42"/>
  <c r="AO12" i="43"/>
  <c r="J48" i="1"/>
  <c r="I48" i="1"/>
  <c r="H48" i="1"/>
  <c r="G48" i="1"/>
  <c r="L48" i="1"/>
  <c r="F48" i="1"/>
  <c r="E48" i="1"/>
  <c r="K48" i="1"/>
  <c r="M48" i="1"/>
  <c r="AM65" i="1"/>
  <c r="M65" i="1"/>
  <c r="L65" i="1"/>
  <c r="K65" i="1"/>
  <c r="J65" i="1"/>
  <c r="I65" i="1"/>
  <c r="H65" i="1"/>
  <c r="G65" i="1"/>
  <c r="F65" i="1"/>
  <c r="E65" i="1"/>
  <c r="D65" i="1"/>
  <c r="FP1" i="41"/>
  <c r="ZV1" i="41" s="1"/>
  <c r="D48" i="1"/>
  <c r="FF1" i="41"/>
  <c r="ZM1" i="41" s="1"/>
  <c r="G40" i="2"/>
  <c r="Q12" i="42"/>
  <c r="G41" i="2"/>
  <c r="R12" i="42"/>
  <c r="G77" i="2"/>
  <c r="GC1" i="41" s="1"/>
  <c r="AAH1" i="41" s="1"/>
  <c r="GD1" i="41"/>
  <c r="AAI1" i="41" s="1"/>
  <c r="AK31" i="1"/>
  <c r="AL31" i="1"/>
  <c r="AM31" i="1"/>
  <c r="AD31" i="1"/>
  <c r="AE31" i="1"/>
  <c r="AF31" i="1"/>
  <c r="AG31" i="1"/>
  <c r="AH31" i="1"/>
  <c r="AI31" i="1"/>
  <c r="AJ31" i="1"/>
  <c r="AG48" i="1"/>
  <c r="AH48" i="1"/>
  <c r="AI48" i="1"/>
  <c r="AJ48" i="1"/>
  <c r="AK48" i="1"/>
  <c r="AL48" i="1"/>
  <c r="AM48" i="1"/>
  <c r="AD48" i="1"/>
  <c r="AE48" i="1"/>
  <c r="AF48" i="1"/>
  <c r="G39" i="2"/>
  <c r="O42" i="2"/>
  <c r="M41" i="2"/>
  <c r="AE41" i="2"/>
  <c r="AD41" i="2"/>
  <c r="M40" i="2"/>
  <c r="M39" i="2"/>
  <c r="G42" i="2"/>
  <c r="G36" i="2"/>
  <c r="E30" i="29"/>
  <c r="E82" i="45" s="1"/>
  <c r="F108" i="2"/>
  <c r="HV1" i="41" s="1"/>
  <c r="ACA1" i="41" s="1"/>
  <c r="G86" i="2"/>
  <c r="HQ1" i="41" s="1"/>
  <c r="ABV1" i="41" s="1"/>
  <c r="G85" i="2"/>
  <c r="HN1" i="41" s="1"/>
  <c r="ABS1" i="41" s="1"/>
  <c r="L4" i="13"/>
  <c r="B10" i="2"/>
  <c r="JN1" i="41" l="1"/>
  <c r="ADS1" i="41" s="1"/>
  <c r="HK2" i="47"/>
  <c r="JL1" i="41"/>
  <c r="ADQ1" i="41" s="1"/>
  <c r="HI2" i="47"/>
  <c r="JP1" i="41"/>
  <c r="ADU1" i="41" s="1"/>
  <c r="HM2" i="47"/>
  <c r="JK1" i="41"/>
  <c r="ADP1" i="41" s="1"/>
  <c r="HH2" i="47"/>
  <c r="JO1" i="41"/>
  <c r="ADT1" i="41" s="1"/>
  <c r="HL2" i="47"/>
  <c r="JM1" i="41"/>
  <c r="ADR1" i="41" s="1"/>
  <c r="HJ2" i="47"/>
  <c r="JG1" i="41"/>
  <c r="ADL1" i="41" s="1"/>
  <c r="HD2" i="47"/>
  <c r="JI1" i="41"/>
  <c r="ADN1" i="41" s="1"/>
  <c r="HF2" i="47"/>
  <c r="JH1" i="41"/>
  <c r="ADM1" i="41" s="1"/>
  <c r="HE2" i="47"/>
  <c r="JJ1" i="41"/>
  <c r="ADO1" i="41" s="1"/>
  <c r="HG2" i="47"/>
  <c r="JB1" i="41"/>
  <c r="ADG1" i="41" s="1"/>
  <c r="GY2" i="47"/>
  <c r="IY1" i="41"/>
  <c r="ADD1" i="41" s="1"/>
  <c r="GV2" i="47"/>
  <c r="JE1" i="41"/>
  <c r="ADJ1" i="41" s="1"/>
  <c r="HB2" i="47"/>
  <c r="JF1" i="41"/>
  <c r="ADK1" i="41" s="1"/>
  <c r="HC2" i="47"/>
  <c r="JD1" i="41"/>
  <c r="ADI1" i="41" s="1"/>
  <c r="HA2" i="47"/>
  <c r="IX1" i="41"/>
  <c r="ADC1" i="41" s="1"/>
  <c r="GU2" i="47"/>
  <c r="IW1" i="41"/>
  <c r="ADB1" i="41" s="1"/>
  <c r="GT2" i="47"/>
  <c r="IZ1" i="41"/>
  <c r="ADE1" i="41" s="1"/>
  <c r="GW2" i="47"/>
  <c r="JC1" i="41"/>
  <c r="ADH1" i="41" s="1"/>
  <c r="GZ2" i="47"/>
  <c r="JA1" i="41"/>
  <c r="ADF1" i="41" s="1"/>
  <c r="GX2" i="47"/>
  <c r="K12" i="45"/>
  <c r="G12" i="45" s="1"/>
  <c r="BK2" i="47"/>
  <c r="IV1" i="41"/>
  <c r="ADA1" i="41" s="1"/>
  <c r="GS2" i="47"/>
  <c r="IT1" i="41"/>
  <c r="ACY1" i="41" s="1"/>
  <c r="GQ2" i="47"/>
  <c r="IN1" i="41"/>
  <c r="ACS1" i="41" s="1"/>
  <c r="GK2" i="47"/>
  <c r="IM1" i="41"/>
  <c r="ACR1" i="41" s="1"/>
  <c r="GJ2" i="47"/>
  <c r="AE42" i="2"/>
  <c r="AD42" i="2"/>
  <c r="IR1" i="41"/>
  <c r="ACW1" i="41" s="1"/>
  <c r="GO2" i="47"/>
  <c r="IS1" i="41"/>
  <c r="ACX1" i="41" s="1"/>
  <c r="GP2" i="47"/>
  <c r="IQ1" i="41"/>
  <c r="ACV1" i="41" s="1"/>
  <c r="GN2" i="47"/>
  <c r="IO1" i="41"/>
  <c r="ACT1" i="41" s="1"/>
  <c r="GL2" i="47"/>
  <c r="IP1" i="41"/>
  <c r="ACU1" i="41" s="1"/>
  <c r="GM2" i="47"/>
  <c r="IU1" i="41"/>
  <c r="ACZ1" i="41" s="1"/>
  <c r="GR2" i="47"/>
  <c r="AC42" i="2"/>
  <c r="R107" i="44"/>
  <c r="R111" i="44"/>
  <c r="H99" i="44"/>
  <c r="R109" i="44"/>
  <c r="R95" i="44"/>
  <c r="H101" i="44"/>
  <c r="R104" i="44"/>
  <c r="F19" i="44"/>
  <c r="H93" i="44"/>
  <c r="R106" i="44"/>
  <c r="R114" i="44"/>
  <c r="AN65" i="1"/>
  <c r="R94" i="44"/>
  <c r="G98" i="44"/>
  <c r="R113" i="44"/>
  <c r="H100" i="44"/>
  <c r="R110" i="44"/>
  <c r="R105" i="44"/>
  <c r="AC127" i="44"/>
  <c r="U107" i="44"/>
  <c r="W107" i="44" s="1"/>
  <c r="AE127" i="44"/>
  <c r="AD127" i="44"/>
  <c r="R108" i="44"/>
  <c r="AC93" i="44"/>
  <c r="G15" i="44"/>
  <c r="AC17" i="44"/>
  <c r="F18" i="44"/>
  <c r="G18" i="44"/>
  <c r="AE93" i="44"/>
  <c r="G95" i="44"/>
  <c r="H95" i="44" s="1"/>
  <c r="AD93" i="44"/>
  <c r="E82" i="42"/>
  <c r="AF82" i="43"/>
  <c r="R44" i="2"/>
  <c r="AL12" i="43"/>
  <c r="AB75" i="2"/>
  <c r="N65" i="1"/>
  <c r="R62" i="2"/>
  <c r="R60" i="2"/>
  <c r="R59" i="2"/>
  <c r="R43" i="2"/>
  <c r="R58" i="2"/>
  <c r="R57" i="2"/>
  <c r="R53" i="2"/>
  <c r="R63" i="2"/>
  <c r="R56" i="2"/>
  <c r="R55" i="2"/>
  <c r="R54" i="2"/>
  <c r="R64" i="2"/>
  <c r="G80" i="2"/>
  <c r="K12" i="42"/>
  <c r="DN1" i="41"/>
  <c r="AN31" i="1"/>
  <c r="AN48" i="1"/>
  <c r="G31" i="21"/>
  <c r="M4" i="13" s="1"/>
  <c r="N48" i="1"/>
  <c r="N31" i="1"/>
  <c r="G44" i="2"/>
  <c r="K16" i="45" s="1"/>
  <c r="G110" i="2"/>
  <c r="HX1" i="41" s="1"/>
  <c r="ACC1" i="41" s="1"/>
  <c r="G47" i="2"/>
  <c r="BM2" i="47" s="1"/>
  <c r="H42" i="2"/>
  <c r="BL2" i="47" s="1"/>
  <c r="F24" i="29"/>
  <c r="H16" i="2"/>
  <c r="K37" i="21"/>
  <c r="G87" i="2"/>
  <c r="G26" i="44" s="1"/>
  <c r="G27" i="44" s="1"/>
  <c r="EI1" i="41" l="1"/>
  <c r="YQ1" i="41" s="1"/>
  <c r="CF2" i="47"/>
  <c r="EJ1" i="41"/>
  <c r="YR1" i="41" s="1"/>
  <c r="CG2" i="47"/>
  <c r="EL1" i="41"/>
  <c r="YT1" i="41" s="1"/>
  <c r="CI2" i="47"/>
  <c r="EE1" i="41"/>
  <c r="YM1" i="41" s="1"/>
  <c r="CB2" i="47"/>
  <c r="EC1" i="41"/>
  <c r="YK1" i="41" s="1"/>
  <c r="BZ2" i="47"/>
  <c r="EF1" i="41"/>
  <c r="YN1" i="41" s="1"/>
  <c r="CC2" i="47"/>
  <c r="EB1" i="41"/>
  <c r="YJ1" i="41" s="1"/>
  <c r="BY2" i="47"/>
  <c r="EG1" i="41"/>
  <c r="YO1" i="41" s="1"/>
  <c r="CD2" i="47"/>
  <c r="EK1" i="41"/>
  <c r="YS1" i="41" s="1"/>
  <c r="CH2" i="47"/>
  <c r="DQ1" i="41"/>
  <c r="XY1" i="41" s="1"/>
  <c r="BN2" i="47"/>
  <c r="ED1" i="41"/>
  <c r="YL1" i="41" s="1"/>
  <c r="CA2" i="47"/>
  <c r="EH1" i="41"/>
  <c r="YP1" i="41" s="1"/>
  <c r="CE2" i="47"/>
  <c r="DR1" i="41"/>
  <c r="XZ1" i="41" s="1"/>
  <c r="BO2" i="47"/>
  <c r="BK1" i="41"/>
  <c r="VS1" i="41" s="1"/>
  <c r="H2" i="47"/>
  <c r="G4" i="13"/>
  <c r="K10" i="45"/>
  <c r="XV1" i="41"/>
  <c r="X1" i="41"/>
  <c r="AC94" i="44"/>
  <c r="G31" i="44"/>
  <c r="H31" i="44" s="1"/>
  <c r="K19" i="45"/>
  <c r="G19" i="45" s="1"/>
  <c r="E19" i="45" s="1"/>
  <c r="AO76" i="43"/>
  <c r="G57" i="44"/>
  <c r="N76" i="45"/>
  <c r="AC99" i="44"/>
  <c r="AC101" i="44"/>
  <c r="AC100" i="44"/>
  <c r="G96" i="44"/>
  <c r="AC96" i="44" s="1"/>
  <c r="H18" i="44"/>
  <c r="AD99" i="44"/>
  <c r="AD100" i="44"/>
  <c r="AD101" i="44"/>
  <c r="AE95" i="44"/>
  <c r="AD95" i="44"/>
  <c r="AC95" i="44"/>
  <c r="AE99" i="44"/>
  <c r="AE100" i="44"/>
  <c r="AE101" i="44"/>
  <c r="AD94" i="44"/>
  <c r="AE94" i="44"/>
  <c r="R13" i="43"/>
  <c r="R14" i="43" s="1"/>
  <c r="AH12" i="43"/>
  <c r="DO1" i="41"/>
  <c r="XW1" i="41" s="1"/>
  <c r="K10" i="42"/>
  <c r="AL10" i="43"/>
  <c r="AL16" i="43"/>
  <c r="K16" i="42"/>
  <c r="AC43" i="2"/>
  <c r="P19" i="45" s="1"/>
  <c r="AL19" i="43"/>
  <c r="AH19" i="43" s="1"/>
  <c r="AF19" i="43" s="1"/>
  <c r="AE43" i="2"/>
  <c r="R19" i="45" s="1"/>
  <c r="AD43" i="2"/>
  <c r="Q19" i="45" s="1"/>
  <c r="G12" i="42"/>
  <c r="FS1" i="41"/>
  <c r="ZX1" i="41" s="1"/>
  <c r="N76" i="42"/>
  <c r="F35" i="21"/>
  <c r="H80" i="2"/>
  <c r="AD76" i="2"/>
  <c r="AC76" i="2"/>
  <c r="AB76" i="2"/>
  <c r="AA88" i="2"/>
  <c r="HR1" i="41"/>
  <c r="ABW1" i="41" s="1"/>
  <c r="U56" i="2"/>
  <c r="W56" i="2" s="1"/>
  <c r="K19" i="42"/>
  <c r="DP1" i="41"/>
  <c r="XX1" i="41" s="1"/>
  <c r="H44" i="2"/>
  <c r="AD44" i="2"/>
  <c r="Q16" i="45" s="1"/>
  <c r="AE44" i="2"/>
  <c r="R16" i="45" s="1"/>
  <c r="AC44" i="2"/>
  <c r="P16" i="45" s="1"/>
  <c r="O88" i="2"/>
  <c r="G45" i="2"/>
  <c r="H87" i="2"/>
  <c r="G112" i="2"/>
  <c r="G1" i="41" l="1"/>
  <c r="O76" i="45"/>
  <c r="G58" i="44"/>
  <c r="FT1" i="41"/>
  <c r="ZY1" i="41" s="1"/>
  <c r="H57" i="44"/>
  <c r="AL17" i="43"/>
  <c r="K17" i="45"/>
  <c r="AE96" i="44"/>
  <c r="AD96" i="44"/>
  <c r="H96" i="44"/>
  <c r="G97" i="44"/>
  <c r="AP76" i="43"/>
  <c r="O76" i="42"/>
  <c r="S14" i="43"/>
  <c r="S18" i="43"/>
  <c r="K35" i="21"/>
  <c r="AS16" i="43"/>
  <c r="R16" i="42"/>
  <c r="P16" i="42"/>
  <c r="AQ16" i="43"/>
  <c r="Q16" i="42"/>
  <c r="AR16" i="43"/>
  <c r="Q19" i="42"/>
  <c r="AR19" i="43"/>
  <c r="AS19" i="43"/>
  <c r="R19" i="42"/>
  <c r="AQ19" i="43"/>
  <c r="P19" i="42"/>
  <c r="G19" i="42"/>
  <c r="E19" i="42" s="1"/>
  <c r="K17" i="42"/>
  <c r="G46" i="2"/>
  <c r="BP2" i="47" s="1"/>
  <c r="IB1" i="41"/>
  <c r="ACG1" i="41" s="1"/>
  <c r="O46" i="29"/>
  <c r="P46" i="29" s="1"/>
  <c r="F46" i="29" s="1"/>
  <c r="H45" i="2"/>
  <c r="AC45" i="2"/>
  <c r="P17" i="45" s="1"/>
  <c r="AE45" i="2"/>
  <c r="R17" i="45" s="1"/>
  <c r="AD45" i="2"/>
  <c r="Q17" i="45" s="1"/>
  <c r="G91" i="2"/>
  <c r="M17" i="45" s="1"/>
  <c r="F37" i="21"/>
  <c r="Q29" i="1"/>
  <c r="O29" i="1" s="1"/>
  <c r="N12" i="1"/>
  <c r="Q11" i="1" s="1"/>
  <c r="O11" i="1" s="1"/>
  <c r="AY30" i="2" l="1"/>
  <c r="AY26" i="2"/>
  <c r="AY29" i="2"/>
  <c r="AY28" i="2"/>
  <c r="AY27" i="2"/>
  <c r="AY25" i="2"/>
  <c r="AY32" i="2"/>
  <c r="AY31" i="2"/>
  <c r="AL18" i="43"/>
  <c r="AL21" i="43" s="1"/>
  <c r="K18" i="45"/>
  <c r="AC97" i="44"/>
  <c r="G102" i="44"/>
  <c r="AD97" i="44"/>
  <c r="H97" i="44"/>
  <c r="AE97" i="44"/>
  <c r="AR17" i="43"/>
  <c r="Q17" i="42"/>
  <c r="AQ17" i="43"/>
  <c r="P17" i="42"/>
  <c r="R17" i="42"/>
  <c r="AS17" i="43"/>
  <c r="M17" i="42"/>
  <c r="AN17" i="43"/>
  <c r="K18" i="42"/>
  <c r="K21" i="42" s="1"/>
  <c r="DS1" i="41"/>
  <c r="YA1" i="41" s="1"/>
  <c r="G92" i="2"/>
  <c r="EW2" i="47" s="1"/>
  <c r="AC46" i="2"/>
  <c r="AE46" i="2"/>
  <c r="R18" i="45" s="1"/>
  <c r="AD46" i="2"/>
  <c r="H46" i="2"/>
  <c r="G12" i="2"/>
  <c r="G12" i="44" s="1"/>
  <c r="R103" i="2" l="1"/>
  <c r="R102" i="2"/>
  <c r="R100" i="2"/>
  <c r="R99" i="2"/>
  <c r="R98" i="2"/>
  <c r="P18" i="45"/>
  <c r="P21" i="45" s="1"/>
  <c r="R21" i="45"/>
  <c r="Q18" i="45"/>
  <c r="Q21" i="45" s="1"/>
  <c r="M21" i="45"/>
  <c r="AZ27" i="2"/>
  <c r="BC27" i="2" s="1"/>
  <c r="AZ32" i="2"/>
  <c r="BC32" i="2" s="1"/>
  <c r="BF32" i="2" s="1"/>
  <c r="AZ28" i="2"/>
  <c r="BC28" i="2" s="1"/>
  <c r="BF28" i="2" s="1"/>
  <c r="AZ31" i="2"/>
  <c r="BC31" i="2" s="1"/>
  <c r="BF31" i="2" s="1"/>
  <c r="AZ26" i="2"/>
  <c r="BC26" i="2" s="1"/>
  <c r="BF26" i="2" s="1"/>
  <c r="AZ30" i="2"/>
  <c r="BC30" i="2" s="1"/>
  <c r="BF30" i="2" s="1"/>
  <c r="AZ25" i="2"/>
  <c r="BC25" i="2" s="1"/>
  <c r="AZ29" i="2"/>
  <c r="BC29" i="2" s="1"/>
  <c r="BF29" i="2" s="1"/>
  <c r="K21" i="45"/>
  <c r="F100" i="44"/>
  <c r="F101" i="44"/>
  <c r="U116" i="44" s="1"/>
  <c r="F99" i="44"/>
  <c r="H102" i="44"/>
  <c r="G106" i="44"/>
  <c r="G115" i="44"/>
  <c r="AC102" i="44"/>
  <c r="G111" i="44"/>
  <c r="AD102" i="44"/>
  <c r="G110" i="44"/>
  <c r="Q109" i="44"/>
  <c r="G105" i="44"/>
  <c r="Q108" i="44"/>
  <c r="G108" i="44"/>
  <c r="G109" i="44"/>
  <c r="G107" i="44"/>
  <c r="G114" i="44"/>
  <c r="AE102" i="44"/>
  <c r="Q110" i="44"/>
  <c r="R18" i="42"/>
  <c r="R21" i="42" s="1"/>
  <c r="AS18" i="43"/>
  <c r="AS21" i="43" s="1"/>
  <c r="AQ18" i="43"/>
  <c r="AQ21" i="43" s="1"/>
  <c r="P18" i="42"/>
  <c r="P21" i="42" s="1"/>
  <c r="Q18" i="42"/>
  <c r="Q21" i="42" s="1"/>
  <c r="AR18" i="43"/>
  <c r="AR21" i="43" s="1"/>
  <c r="GZ1" i="41"/>
  <c r="ABE1" i="41" s="1"/>
  <c r="AN21" i="43"/>
  <c r="M21" i="42"/>
  <c r="AB89" i="2"/>
  <c r="AD89" i="2"/>
  <c r="AC89" i="2"/>
  <c r="AA89" i="2"/>
  <c r="G13" i="2"/>
  <c r="HF1" i="41" l="1"/>
  <c r="ABK1" i="41" s="1"/>
  <c r="FC2" i="47"/>
  <c r="HG1" i="41"/>
  <c r="ABL1" i="41" s="1"/>
  <c r="FD2" i="47"/>
  <c r="HH1" i="41"/>
  <c r="ABM1" i="41" s="1"/>
  <c r="FE2" i="47"/>
  <c r="HI1" i="41"/>
  <c r="ABN1" i="41" s="1"/>
  <c r="FF2" i="47"/>
  <c r="HJ1" i="41"/>
  <c r="ABO1" i="41" s="1"/>
  <c r="FG2" i="47"/>
  <c r="BO25" i="2"/>
  <c r="BM25" i="2"/>
  <c r="BN25" i="2"/>
  <c r="BO32" i="2"/>
  <c r="BM32" i="2"/>
  <c r="BN32" i="2"/>
  <c r="BM31" i="2"/>
  <c r="BO31" i="2"/>
  <c r="BN31" i="2"/>
  <c r="BO30" i="2"/>
  <c r="BN30" i="2"/>
  <c r="BM30" i="2"/>
  <c r="BO29" i="2"/>
  <c r="BM29" i="2"/>
  <c r="BN29" i="2"/>
  <c r="BO28" i="2"/>
  <c r="BM28" i="2"/>
  <c r="BN28" i="2"/>
  <c r="BO27" i="2"/>
  <c r="BM27" i="2"/>
  <c r="BN27" i="2"/>
  <c r="BM26" i="2"/>
  <c r="BO26" i="2"/>
  <c r="BN26" i="2"/>
  <c r="BF25" i="2"/>
  <c r="AX45" i="2"/>
  <c r="AX44" i="2"/>
  <c r="AX43" i="2"/>
  <c r="AY44" i="2"/>
  <c r="AY43" i="2"/>
  <c r="AY45" i="2"/>
  <c r="BC45" i="2"/>
  <c r="BC44" i="2"/>
  <c r="BC43" i="2"/>
  <c r="BD45" i="2"/>
  <c r="BD44" i="2"/>
  <c r="BD43" i="2"/>
  <c r="BA45" i="2"/>
  <c r="BA44" i="2"/>
  <c r="BA43" i="2"/>
  <c r="BE45" i="2"/>
  <c r="BE44" i="2"/>
  <c r="BE43" i="2"/>
  <c r="BF27" i="2"/>
  <c r="AZ45" i="2"/>
  <c r="AZ43" i="2"/>
  <c r="AZ44" i="2"/>
  <c r="BB44" i="2"/>
  <c r="BB43" i="2"/>
  <c r="BB45" i="2"/>
  <c r="G20" i="44"/>
  <c r="I16" i="45"/>
  <c r="G16" i="45" s="1"/>
  <c r="E16" i="45" s="1"/>
  <c r="G104" i="44"/>
  <c r="AE110" i="44"/>
  <c r="AC110" i="44"/>
  <c r="AD110" i="44"/>
  <c r="AE111" i="44"/>
  <c r="U106" i="44"/>
  <c r="W106" i="44" s="1"/>
  <c r="AC111" i="44"/>
  <c r="AD111" i="44"/>
  <c r="AE114" i="44"/>
  <c r="AD114" i="44"/>
  <c r="AC114" i="44"/>
  <c r="AD109" i="44"/>
  <c r="AE109" i="44"/>
  <c r="AC109" i="44"/>
  <c r="AC107" i="44"/>
  <c r="U104" i="44"/>
  <c r="W104" i="44" s="1"/>
  <c r="AE107" i="44"/>
  <c r="AD107" i="44"/>
  <c r="AC108" i="44"/>
  <c r="U105" i="44"/>
  <c r="W105" i="44" s="1"/>
  <c r="AD108" i="44"/>
  <c r="AE108" i="44"/>
  <c r="U102" i="44"/>
  <c r="W102" i="44" s="1"/>
  <c r="AC105" i="44"/>
  <c r="AE105" i="44"/>
  <c r="AD105" i="44"/>
  <c r="AC115" i="44"/>
  <c r="AE115" i="44"/>
  <c r="AD115" i="44"/>
  <c r="U103" i="44"/>
  <c r="W103" i="44" s="1"/>
  <c r="AC106" i="44"/>
  <c r="AE106" i="44"/>
  <c r="AD106" i="44"/>
  <c r="I16" i="42"/>
  <c r="G16" i="42" s="1"/>
  <c r="E16" i="42" s="1"/>
  <c r="AJ16" i="43"/>
  <c r="AH16" i="43" s="1"/>
  <c r="AF16" i="43" s="1"/>
  <c r="AC91" i="2"/>
  <c r="U17" i="45" s="1"/>
  <c r="AB91" i="2"/>
  <c r="T17" i="45" s="1"/>
  <c r="AB92" i="2"/>
  <c r="T18" i="45" s="1"/>
  <c r="T21" i="45" s="1"/>
  <c r="AA91" i="2"/>
  <c r="S17" i="45" s="1"/>
  <c r="AD91" i="2"/>
  <c r="V17" i="45" s="1"/>
  <c r="AA92" i="2"/>
  <c r="S18" i="45" s="1"/>
  <c r="S21" i="45" s="1"/>
  <c r="AC92" i="2"/>
  <c r="U18" i="45" s="1"/>
  <c r="U21" i="45" s="1"/>
  <c r="AD92" i="2"/>
  <c r="V18" i="45" s="1"/>
  <c r="V21" i="45" s="1"/>
  <c r="G14" i="2"/>
  <c r="H13" i="2"/>
  <c r="N28" i="29"/>
  <c r="G21" i="44" l="1"/>
  <c r="I17" i="45"/>
  <c r="G17" i="45" s="1"/>
  <c r="AE104" i="44"/>
  <c r="AD104" i="44"/>
  <c r="U101" i="44"/>
  <c r="W101" i="44" s="1"/>
  <c r="G103" i="44"/>
  <c r="H103" i="44" s="1"/>
  <c r="AC104" i="44"/>
  <c r="G112" i="44"/>
  <c r="I17" i="42"/>
  <c r="G17" i="42" s="1"/>
  <c r="AJ17" i="43"/>
  <c r="AH17" i="43" s="1"/>
  <c r="AT18" i="43"/>
  <c r="AT21" i="43" s="1"/>
  <c r="S18" i="42"/>
  <c r="S21" i="42" s="1"/>
  <c r="AW18" i="43"/>
  <c r="AW21" i="43" s="1"/>
  <c r="V18" i="42"/>
  <c r="V21" i="42" s="1"/>
  <c r="AV18" i="43"/>
  <c r="AV21" i="43" s="1"/>
  <c r="U18" i="42"/>
  <c r="U21" i="42" s="1"/>
  <c r="V17" i="42"/>
  <c r="AW17" i="43"/>
  <c r="AT17" i="43"/>
  <c r="S17" i="42"/>
  <c r="AU18" i="43"/>
  <c r="AU21" i="43" s="1"/>
  <c r="T18" i="42"/>
  <c r="T21" i="42" s="1"/>
  <c r="AU17" i="43"/>
  <c r="T17" i="42"/>
  <c r="AV17" i="43"/>
  <c r="U17" i="42"/>
  <c r="G15" i="2"/>
  <c r="AO2" i="47" s="1"/>
  <c r="H14" i="2"/>
  <c r="AG10" i="2" l="1"/>
  <c r="AF14" i="2" s="1"/>
  <c r="AF15" i="2" s="1"/>
  <c r="I18" i="45"/>
  <c r="I21" i="45" s="1"/>
  <c r="G21" i="45" s="1"/>
  <c r="E21" i="45" s="1"/>
  <c r="AX32" i="2"/>
  <c r="BA32" i="2" s="1"/>
  <c r="AX31" i="2"/>
  <c r="BA31" i="2" s="1"/>
  <c r="BD31" i="2" s="1"/>
  <c r="BB31" i="2"/>
  <c r="BB30" i="2"/>
  <c r="BB32" i="2"/>
  <c r="AX30" i="2"/>
  <c r="BA30" i="2" s="1"/>
  <c r="AX25" i="2"/>
  <c r="BA25" i="2" s="1"/>
  <c r="AX37" i="2" s="1"/>
  <c r="BB29" i="2"/>
  <c r="BB26" i="2"/>
  <c r="BB25" i="2"/>
  <c r="AX29" i="2"/>
  <c r="BA29" i="2" s="1"/>
  <c r="AX27" i="2"/>
  <c r="BA27" i="2" s="1"/>
  <c r="BB28" i="2"/>
  <c r="AX28" i="2"/>
  <c r="BA28" i="2" s="1"/>
  <c r="BB27" i="2"/>
  <c r="AX26" i="2"/>
  <c r="BA26" i="2" s="1"/>
  <c r="H112" i="44"/>
  <c r="G113" i="44"/>
  <c r="H113" i="44" s="1"/>
  <c r="AE112" i="44"/>
  <c r="AD112" i="44"/>
  <c r="AC112" i="44"/>
  <c r="AD103" i="44"/>
  <c r="F103" i="44"/>
  <c r="AE103" i="44"/>
  <c r="AC103" i="44"/>
  <c r="I18" i="42"/>
  <c r="I21" i="42" s="1"/>
  <c r="AJ18" i="43"/>
  <c r="CR1" i="41"/>
  <c r="WZ1" i="41" s="1"/>
  <c r="H15" i="2"/>
  <c r="G18" i="45" l="1"/>
  <c r="G10" i="45" s="1"/>
  <c r="AF16" i="2"/>
  <c r="AF17" i="2" s="1"/>
  <c r="AF18" i="2" s="1"/>
  <c r="AF19" i="2" s="1"/>
  <c r="BD37" i="2"/>
  <c r="BD39" i="2"/>
  <c r="BD38" i="2"/>
  <c r="BA42" i="2"/>
  <c r="BE28" i="2"/>
  <c r="BA41" i="2"/>
  <c r="BA40" i="2"/>
  <c r="AY40" i="2"/>
  <c r="AY41" i="2"/>
  <c r="AY42" i="2"/>
  <c r="BE26" i="2"/>
  <c r="AX38" i="2"/>
  <c r="AX39" i="2"/>
  <c r="BD27" i="2"/>
  <c r="AZ38" i="2"/>
  <c r="AZ37" i="2"/>
  <c r="AZ39" i="2"/>
  <c r="AX40" i="2"/>
  <c r="AX42" i="2"/>
  <c r="BE25" i="2"/>
  <c r="AX41" i="2"/>
  <c r="BC42" i="2"/>
  <c r="BE30" i="2"/>
  <c r="BC41" i="2"/>
  <c r="BC40" i="2"/>
  <c r="BA38" i="2"/>
  <c r="BA37" i="2"/>
  <c r="BA39" i="2"/>
  <c r="BB42" i="2"/>
  <c r="BE29" i="2"/>
  <c r="BB41" i="2"/>
  <c r="BB40" i="2"/>
  <c r="BC38" i="2"/>
  <c r="BC37" i="2"/>
  <c r="BC39" i="2"/>
  <c r="BD42" i="2"/>
  <c r="BE31" i="2"/>
  <c r="BD41" i="2"/>
  <c r="BD40" i="2"/>
  <c r="BE42" i="2"/>
  <c r="BE32" i="2"/>
  <c r="BE41" i="2"/>
  <c r="BE40" i="2"/>
  <c r="BD32" i="2"/>
  <c r="BE39" i="2"/>
  <c r="BE37" i="2"/>
  <c r="BE38" i="2"/>
  <c r="BD29" i="2"/>
  <c r="BB37" i="2"/>
  <c r="BB39" i="2"/>
  <c r="BB38" i="2"/>
  <c r="AY37" i="2"/>
  <c r="AY39" i="2"/>
  <c r="AY38" i="2"/>
  <c r="AZ40" i="2"/>
  <c r="AZ42" i="2"/>
  <c r="BE27" i="2"/>
  <c r="AZ41" i="2"/>
  <c r="BL29" i="2"/>
  <c r="BJ29" i="2"/>
  <c r="BK29" i="2"/>
  <c r="BD25" i="2"/>
  <c r="BG25" i="2"/>
  <c r="BI25" i="2"/>
  <c r="BH25" i="2"/>
  <c r="BD30" i="2"/>
  <c r="BI30" i="2"/>
  <c r="BH30" i="2"/>
  <c r="BG30" i="2"/>
  <c r="BL26" i="2"/>
  <c r="BK26" i="2"/>
  <c r="BJ26" i="2"/>
  <c r="BD26" i="2"/>
  <c r="BI26" i="2"/>
  <c r="BH26" i="2"/>
  <c r="BG26" i="2"/>
  <c r="BJ32" i="2"/>
  <c r="BL32" i="2"/>
  <c r="BK32" i="2"/>
  <c r="BL27" i="2"/>
  <c r="BK27" i="2"/>
  <c r="BJ27" i="2"/>
  <c r="BK30" i="2"/>
  <c r="BJ30" i="2"/>
  <c r="BL30" i="2"/>
  <c r="BD28" i="2"/>
  <c r="BI28" i="2"/>
  <c r="BG28" i="2"/>
  <c r="BH28" i="2"/>
  <c r="BL31" i="2"/>
  <c r="BK31" i="2"/>
  <c r="BJ31" i="2"/>
  <c r="BJ25" i="2"/>
  <c r="BL25" i="2"/>
  <c r="BK25" i="2"/>
  <c r="BL28" i="2"/>
  <c r="BK28" i="2"/>
  <c r="BJ28" i="2"/>
  <c r="BI31" i="2"/>
  <c r="BH31" i="2"/>
  <c r="BG31" i="2"/>
  <c r="BG27" i="2"/>
  <c r="BI27" i="2"/>
  <c r="BH27" i="2"/>
  <c r="BI32" i="2"/>
  <c r="BH32" i="2"/>
  <c r="BG32" i="2"/>
  <c r="BI29" i="2"/>
  <c r="BH29" i="2"/>
  <c r="BG29" i="2"/>
  <c r="G116" i="44"/>
  <c r="AE113" i="44"/>
  <c r="AD113" i="44"/>
  <c r="AC113" i="44"/>
  <c r="G18" i="42"/>
  <c r="E18" i="42" s="1"/>
  <c r="AJ21" i="43"/>
  <c r="AH21" i="43" s="1"/>
  <c r="AF21" i="43" s="1"/>
  <c r="AH18" i="43"/>
  <c r="G21" i="42"/>
  <c r="E21" i="42" s="1"/>
  <c r="E18" i="45" l="1"/>
  <c r="AF20" i="2"/>
  <c r="G10" i="42"/>
  <c r="H116" i="44"/>
  <c r="AC116" i="44"/>
  <c r="AD116" i="44"/>
  <c r="AE116" i="44"/>
  <c r="F116" i="44"/>
  <c r="AH10" i="43"/>
  <c r="AF18" i="43"/>
  <c r="AF21" i="2" l="1"/>
  <c r="G19" i="44" l="1"/>
  <c r="H20" i="44"/>
  <c r="H19" i="44" l="1"/>
  <c r="G23" i="44"/>
  <c r="F20" i="44"/>
  <c r="H23" i="44" l="1"/>
  <c r="G29" i="44"/>
  <c r="H29" i="44" l="1"/>
  <c r="G64" i="44"/>
  <c r="H64" i="44" s="1"/>
  <c r="AG14" i="2"/>
  <c r="AG15" i="2"/>
  <c r="G65" i="44" l="1"/>
  <c r="H65" i="44" s="1"/>
  <c r="AG16" i="2"/>
  <c r="AG17" i="2"/>
  <c r="AG20" i="2"/>
  <c r="AG19" i="2"/>
  <c r="AG21" i="2"/>
  <c r="AG18" i="2"/>
  <c r="AG13" i="2" l="1"/>
  <c r="G96" i="2" s="1"/>
  <c r="FA2" i="47" s="1"/>
  <c r="G51" i="2" l="1"/>
  <c r="G20" i="2"/>
  <c r="G19" i="2"/>
  <c r="G18" i="2"/>
  <c r="V17" i="2" s="1"/>
  <c r="G17" i="2"/>
  <c r="G50" i="2"/>
  <c r="AD49" i="2" s="1"/>
  <c r="Q25" i="45" s="1"/>
  <c r="G49" i="2"/>
  <c r="AC50" i="2" s="1"/>
  <c r="G48" i="2"/>
  <c r="K24" i="42" s="1"/>
  <c r="G94" i="2"/>
  <c r="G93" i="2"/>
  <c r="G95" i="2"/>
  <c r="K95" i="2"/>
  <c r="AG5" i="2"/>
  <c r="Q26" i="2" l="1"/>
  <c r="AS2" i="47"/>
  <c r="G56" i="2"/>
  <c r="BT2" i="47"/>
  <c r="F17" i="2"/>
  <c r="F19" i="2"/>
  <c r="L18" i="2"/>
  <c r="P49" i="2"/>
  <c r="K25" i="42"/>
  <c r="AE49" i="2"/>
  <c r="R25" i="45" s="1"/>
  <c r="K25" i="45"/>
  <c r="AL25" i="43"/>
  <c r="AC49" i="2"/>
  <c r="AQ25" i="43" s="1"/>
  <c r="H50" i="2"/>
  <c r="P50" i="2"/>
  <c r="K26" i="45"/>
  <c r="Q27" i="2"/>
  <c r="AE50" i="2"/>
  <c r="R26" i="45" s="1"/>
  <c r="I26" i="45"/>
  <c r="L17" i="2"/>
  <c r="I26" i="42"/>
  <c r="AJ26" i="43"/>
  <c r="G34" i="44"/>
  <c r="H34" i="44" s="1"/>
  <c r="I27" i="42"/>
  <c r="G26" i="2"/>
  <c r="AJ43" i="43" s="1"/>
  <c r="G27" i="2"/>
  <c r="AJ54" i="43" s="1"/>
  <c r="H20" i="2"/>
  <c r="Q28" i="2"/>
  <c r="K26" i="42"/>
  <c r="G28" i="2"/>
  <c r="G23" i="2"/>
  <c r="I38" i="42" s="1"/>
  <c r="AJ27" i="43"/>
  <c r="AD50" i="2"/>
  <c r="Q26" i="45" s="1"/>
  <c r="L19" i="2"/>
  <c r="P19" i="2"/>
  <c r="H18" i="2"/>
  <c r="F18" i="2"/>
  <c r="O31" i="44"/>
  <c r="F50" i="2"/>
  <c r="F49" i="2"/>
  <c r="G32" i="2"/>
  <c r="AJ74" i="43" s="1"/>
  <c r="V27" i="43"/>
  <c r="CV1" i="41"/>
  <c r="XD1" i="41" s="1"/>
  <c r="G36" i="44"/>
  <c r="G24" i="2"/>
  <c r="I39" i="42" s="1"/>
  <c r="G29" i="2"/>
  <c r="AJ63" i="43" s="1"/>
  <c r="I27" i="45"/>
  <c r="G33" i="2"/>
  <c r="I71" i="42" s="1"/>
  <c r="H49" i="2"/>
  <c r="L49" i="2"/>
  <c r="V63" i="2"/>
  <c r="AL26" i="43"/>
  <c r="G25" i="2"/>
  <c r="U44" i="2" s="1"/>
  <c r="W44" i="2" s="1"/>
  <c r="H48" i="2"/>
  <c r="O32" i="44"/>
  <c r="K24" i="45"/>
  <c r="P48" i="2"/>
  <c r="AL24" i="43"/>
  <c r="U49" i="2"/>
  <c r="W49" i="2" s="1"/>
  <c r="AE48" i="2"/>
  <c r="R24" i="45" s="1"/>
  <c r="U63" i="2"/>
  <c r="AD48" i="2"/>
  <c r="Q24" i="45" s="1"/>
  <c r="G54" i="2"/>
  <c r="K38" i="42" s="1"/>
  <c r="Q57" i="2"/>
  <c r="G59" i="2"/>
  <c r="K55" i="42" s="1"/>
  <c r="Q58" i="2"/>
  <c r="G58" i="2"/>
  <c r="G57" i="2"/>
  <c r="H51" i="2"/>
  <c r="DW1" i="41"/>
  <c r="YE1" i="41" s="1"/>
  <c r="AC48" i="2"/>
  <c r="AQ24" i="43" s="1"/>
  <c r="F48" i="2"/>
  <c r="G55" i="2"/>
  <c r="AE51" i="2"/>
  <c r="DO2" i="47" s="1"/>
  <c r="K27" i="42"/>
  <c r="AC51" i="2"/>
  <c r="AD51" i="2"/>
  <c r="DE2" i="47" s="1"/>
  <c r="L42" i="2"/>
  <c r="G63" i="2"/>
  <c r="AC63" i="2" s="1"/>
  <c r="G64" i="2"/>
  <c r="AC64" i="2" s="1"/>
  <c r="Q59" i="2"/>
  <c r="G37" i="44"/>
  <c r="G40" i="44" s="1"/>
  <c r="H40" i="44" s="1"/>
  <c r="AL27" i="43"/>
  <c r="L43" i="2"/>
  <c r="L51" i="2"/>
  <c r="K27" i="45"/>
  <c r="G60" i="2"/>
  <c r="L44" i="2"/>
  <c r="AJ24" i="43"/>
  <c r="O29" i="44"/>
  <c r="U58" i="2"/>
  <c r="W58" i="2" s="1"/>
  <c r="F93" i="2"/>
  <c r="EX2" i="47" s="1"/>
  <c r="M24" i="42"/>
  <c r="M24" i="45"/>
  <c r="AD93" i="2"/>
  <c r="V24" i="45" s="1"/>
  <c r="AN24" i="43"/>
  <c r="AC93" i="2"/>
  <c r="U24" i="45" s="1"/>
  <c r="AA93" i="2"/>
  <c r="AB93" i="2"/>
  <c r="T24" i="45" s="1"/>
  <c r="P93" i="2"/>
  <c r="O35" i="44"/>
  <c r="AD95" i="2"/>
  <c r="V26" i="45" s="1"/>
  <c r="AA95" i="2"/>
  <c r="M26" i="45"/>
  <c r="O37" i="44"/>
  <c r="P95" i="2"/>
  <c r="AC95" i="2"/>
  <c r="U26" i="45" s="1"/>
  <c r="AN26" i="43"/>
  <c r="M26" i="42"/>
  <c r="AB95" i="2"/>
  <c r="T26" i="45" s="1"/>
  <c r="U40" i="2"/>
  <c r="W40" i="2" s="1"/>
  <c r="F95" i="2"/>
  <c r="EY2" i="47" s="1"/>
  <c r="AB94" i="2"/>
  <c r="T25" i="45" s="1"/>
  <c r="O36" i="44"/>
  <c r="M25" i="45"/>
  <c r="P94" i="2"/>
  <c r="AN25" i="43"/>
  <c r="M25" i="42"/>
  <c r="AC94" i="2"/>
  <c r="U25" i="45" s="1"/>
  <c r="AA94" i="2"/>
  <c r="AD94" i="2"/>
  <c r="V25" i="45" s="1"/>
  <c r="P17" i="2"/>
  <c r="L48" i="2"/>
  <c r="G5" i="2"/>
  <c r="G72" i="2" s="1"/>
  <c r="Q102" i="2"/>
  <c r="AN27" i="43"/>
  <c r="G99" i="2"/>
  <c r="AB99" i="2" s="1"/>
  <c r="T51" i="45" s="1"/>
  <c r="K93" i="2"/>
  <c r="AA96" i="2"/>
  <c r="S27" i="45" s="1"/>
  <c r="M27" i="45"/>
  <c r="AD96" i="2"/>
  <c r="G41" i="44"/>
  <c r="Q103" i="2"/>
  <c r="M27" i="42"/>
  <c r="HD1" i="41"/>
  <c r="ABI1" i="41" s="1"/>
  <c r="F94" i="2"/>
  <c r="AB96" i="2"/>
  <c r="T27" i="45" s="1"/>
  <c r="Q104" i="2"/>
  <c r="K94" i="2"/>
  <c r="G103" i="2"/>
  <c r="AN74" i="43" s="1"/>
  <c r="G100" i="2"/>
  <c r="AA100" i="2" s="1"/>
  <c r="F27" i="21"/>
  <c r="AC96" i="2"/>
  <c r="U27" i="45" s="1"/>
  <c r="I24" i="45"/>
  <c r="H17" i="2"/>
  <c r="I24" i="42"/>
  <c r="G24" i="42" s="1"/>
  <c r="U17" i="2"/>
  <c r="H19" i="2"/>
  <c r="I25" i="42"/>
  <c r="I25" i="45"/>
  <c r="L50" i="2"/>
  <c r="G33" i="44"/>
  <c r="H33" i="44" s="1"/>
  <c r="AJ25" i="43"/>
  <c r="P18" i="2"/>
  <c r="O30" i="44"/>
  <c r="Q25" i="42"/>
  <c r="AR25" i="43"/>
  <c r="AD56" i="2"/>
  <c r="Q41" i="45" s="1"/>
  <c r="K41" i="42"/>
  <c r="AC56" i="2"/>
  <c r="AE56" i="2"/>
  <c r="R41" i="45" s="1"/>
  <c r="K41" i="45"/>
  <c r="AL41" i="43"/>
  <c r="U53" i="2"/>
  <c r="W53" i="2" s="1"/>
  <c r="P26" i="45"/>
  <c r="P26" i="42"/>
  <c r="AQ26" i="43"/>
  <c r="CW1" i="41" l="1"/>
  <c r="XE1" i="41" s="1"/>
  <c r="AT2" i="47"/>
  <c r="P27" i="45"/>
  <c r="CU2" i="47"/>
  <c r="EX1" i="41"/>
  <c r="HC1" i="41"/>
  <c r="ABH1" i="41" s="1"/>
  <c r="EZ2" i="47"/>
  <c r="J24" i="45"/>
  <c r="BQ2" i="47"/>
  <c r="J26" i="42"/>
  <c r="BS2" i="47"/>
  <c r="J25" i="45"/>
  <c r="BR2" i="47"/>
  <c r="AI25" i="43"/>
  <c r="AQ2" i="47"/>
  <c r="H37" i="44"/>
  <c r="BU2" i="47"/>
  <c r="CU1" i="41"/>
  <c r="XC1" i="41" s="1"/>
  <c r="AR2" i="47"/>
  <c r="AI24" i="43"/>
  <c r="AP2" i="47"/>
  <c r="J34" i="21"/>
  <c r="FR1" i="41"/>
  <c r="Q27" i="45"/>
  <c r="FH1" i="41"/>
  <c r="AI16" i="2"/>
  <c r="AS25" i="43"/>
  <c r="AK26" i="43"/>
  <c r="H25" i="42"/>
  <c r="H25" i="45"/>
  <c r="CT1" i="41"/>
  <c r="XB1" i="41" s="1"/>
  <c r="I29" i="45"/>
  <c r="H29" i="45" s="1"/>
  <c r="K29" i="45"/>
  <c r="J29" i="45" s="1"/>
  <c r="M29" i="45"/>
  <c r="L29" i="45" s="1"/>
  <c r="G25" i="45"/>
  <c r="E25" i="45" s="1"/>
  <c r="H24" i="45"/>
  <c r="AI14" i="2"/>
  <c r="H24" i="42"/>
  <c r="CS1" i="41"/>
  <c r="XA1" i="41" s="1"/>
  <c r="I38" i="45"/>
  <c r="P25" i="45"/>
  <c r="P25" i="42"/>
  <c r="I63" i="42"/>
  <c r="I63" i="45"/>
  <c r="J30" i="21"/>
  <c r="I13" i="45"/>
  <c r="I13" i="42"/>
  <c r="AJ13" i="43"/>
  <c r="W27" i="43"/>
  <c r="H36" i="44"/>
  <c r="DV1" i="41"/>
  <c r="YD1" i="41" s="1"/>
  <c r="U65" i="2"/>
  <c r="G27" i="42"/>
  <c r="G13" i="42" s="1"/>
  <c r="I74" i="42"/>
  <c r="I75" i="42" s="1"/>
  <c r="I43" i="42"/>
  <c r="I43" i="45"/>
  <c r="R25" i="42"/>
  <c r="G47" i="44"/>
  <c r="DU1" i="41"/>
  <c r="YC1" i="41" s="1"/>
  <c r="U45" i="2"/>
  <c r="W45" i="2" s="1"/>
  <c r="I74" i="45"/>
  <c r="G25" i="42"/>
  <c r="E25" i="42" s="1"/>
  <c r="AJ38" i="43"/>
  <c r="V38" i="43" s="1"/>
  <c r="U42" i="2"/>
  <c r="W42" i="2" s="1"/>
  <c r="I39" i="45"/>
  <c r="U43" i="2"/>
  <c r="W43" i="2" s="1"/>
  <c r="AD59" i="2"/>
  <c r="Q55" i="45" s="1"/>
  <c r="K55" i="45"/>
  <c r="AI19" i="2"/>
  <c r="P24" i="45"/>
  <c r="AK25" i="43"/>
  <c r="J25" i="42"/>
  <c r="AC59" i="2"/>
  <c r="AQ55" i="43" s="1"/>
  <c r="Q26" i="42"/>
  <c r="AR26" i="43"/>
  <c r="AE59" i="2"/>
  <c r="R55" i="45" s="1"/>
  <c r="G50" i="44"/>
  <c r="U46" i="2"/>
  <c r="W46" i="2" s="1"/>
  <c r="I55" i="45"/>
  <c r="AJ55" i="43"/>
  <c r="I55" i="42"/>
  <c r="G55" i="42" s="1"/>
  <c r="E55" i="42" s="1"/>
  <c r="AH25" i="43"/>
  <c r="AF25" i="43" s="1"/>
  <c r="AR27" i="43"/>
  <c r="G26" i="45"/>
  <c r="E26" i="45" s="1"/>
  <c r="AJ39" i="43"/>
  <c r="AJ71" i="43"/>
  <c r="AJ75" i="43" s="1"/>
  <c r="Q27" i="42"/>
  <c r="J33" i="21"/>
  <c r="I71" i="45"/>
  <c r="I54" i="45"/>
  <c r="G26" i="42"/>
  <c r="E26" i="42" s="1"/>
  <c r="AI18" i="2"/>
  <c r="AK24" i="43"/>
  <c r="G55" i="44"/>
  <c r="AI17" i="2"/>
  <c r="J26" i="45"/>
  <c r="I54" i="42"/>
  <c r="O17" i="29"/>
  <c r="O49" i="29" s="1"/>
  <c r="P49" i="29" s="1"/>
  <c r="F49" i="29" s="1"/>
  <c r="R26" i="42"/>
  <c r="AS26" i="43"/>
  <c r="AL55" i="43"/>
  <c r="AH26" i="43"/>
  <c r="AF26" i="43" s="1"/>
  <c r="AH27" i="43"/>
  <c r="AH13" i="43" s="1"/>
  <c r="H26" i="42"/>
  <c r="H26" i="45"/>
  <c r="AI26" i="43"/>
  <c r="AI15" i="2"/>
  <c r="U18" i="2"/>
  <c r="AC54" i="2"/>
  <c r="AQ38" i="43" s="1"/>
  <c r="U51" i="2"/>
  <c r="W51" i="2" s="1"/>
  <c r="L54" i="2"/>
  <c r="AE54" i="2"/>
  <c r="R38" i="45" s="1"/>
  <c r="K38" i="45"/>
  <c r="AD54" i="2"/>
  <c r="Q38" i="45" s="1"/>
  <c r="AD63" i="2"/>
  <c r="Q74" i="45" s="1"/>
  <c r="K74" i="45"/>
  <c r="AE63" i="2"/>
  <c r="R74" i="45" s="1"/>
  <c r="G27" i="45"/>
  <c r="E27" i="45" s="1"/>
  <c r="G22" i="2"/>
  <c r="I34" i="45" s="1"/>
  <c r="L56" i="2"/>
  <c r="G46" i="44"/>
  <c r="I41" i="45"/>
  <c r="G41" i="45" s="1"/>
  <c r="AJ41" i="43"/>
  <c r="AH41" i="43" s="1"/>
  <c r="AF41" i="43" s="1"/>
  <c r="I41" i="42"/>
  <c r="G41" i="42" s="1"/>
  <c r="DT1" i="41"/>
  <c r="YB1" i="41" s="1"/>
  <c r="J24" i="42"/>
  <c r="L55" i="2"/>
  <c r="AS24" i="43"/>
  <c r="R24" i="42"/>
  <c r="AH24" i="43"/>
  <c r="P27" i="42"/>
  <c r="G24" i="45"/>
  <c r="G44" i="44"/>
  <c r="K74" i="42"/>
  <c r="L63" i="2"/>
  <c r="AL38" i="43"/>
  <c r="AL74" i="43"/>
  <c r="AH74" i="43" s="1"/>
  <c r="AF74" i="43" s="1"/>
  <c r="AR24" i="43"/>
  <c r="Q24" i="42"/>
  <c r="AE64" i="2"/>
  <c r="R71" i="45" s="1"/>
  <c r="K71" i="42"/>
  <c r="G71" i="42" s="1"/>
  <c r="E71" i="42" s="1"/>
  <c r="AD64" i="2"/>
  <c r="Q71" i="45" s="1"/>
  <c r="K71" i="45"/>
  <c r="AL71" i="43"/>
  <c r="L64" i="2"/>
  <c r="J32" i="21"/>
  <c r="G32" i="44"/>
  <c r="G35" i="44" s="1"/>
  <c r="AE58" i="2"/>
  <c r="R54" i="45" s="1"/>
  <c r="AC58" i="2"/>
  <c r="P54" i="42" s="1"/>
  <c r="AL54" i="43"/>
  <c r="AH54" i="43" s="1"/>
  <c r="AF54" i="43" s="1"/>
  <c r="AD58" i="2"/>
  <c r="Q54" i="45" s="1"/>
  <c r="L59" i="2"/>
  <c r="G49" i="44"/>
  <c r="AL43" i="43"/>
  <c r="AD57" i="2"/>
  <c r="Q43" i="45" s="1"/>
  <c r="L58" i="2"/>
  <c r="AC57" i="2"/>
  <c r="P43" i="42" s="1"/>
  <c r="K54" i="45"/>
  <c r="K54" i="42"/>
  <c r="AE57" i="2"/>
  <c r="R43" i="45" s="1"/>
  <c r="U54" i="2"/>
  <c r="W54" i="2" s="1"/>
  <c r="K43" i="42"/>
  <c r="K43" i="45"/>
  <c r="L57" i="2"/>
  <c r="P24" i="42"/>
  <c r="K39" i="45"/>
  <c r="K39" i="42"/>
  <c r="G39" i="42" s="1"/>
  <c r="G53" i="2"/>
  <c r="G61" i="2" s="1"/>
  <c r="G62" i="2" s="1"/>
  <c r="AL39" i="43"/>
  <c r="AC55" i="2"/>
  <c r="P39" i="42" s="1"/>
  <c r="AL13" i="43"/>
  <c r="U52" i="2"/>
  <c r="W52" i="2" s="1"/>
  <c r="K13" i="45"/>
  <c r="AE55" i="2"/>
  <c r="R39" i="45" s="1"/>
  <c r="J31" i="21"/>
  <c r="AD55" i="2"/>
  <c r="Q39" i="45" s="1"/>
  <c r="K13" i="42"/>
  <c r="R27" i="45"/>
  <c r="DX1" i="41"/>
  <c r="YF1" i="41" s="1"/>
  <c r="R27" i="42"/>
  <c r="G45" i="44"/>
  <c r="AS27" i="43"/>
  <c r="AQ27" i="43"/>
  <c r="K63" i="42"/>
  <c r="U55" i="2"/>
  <c r="W55" i="2" s="1"/>
  <c r="AL63" i="43"/>
  <c r="AH63" i="43" s="1"/>
  <c r="G39" i="44"/>
  <c r="H39" i="44" s="1"/>
  <c r="G38" i="44"/>
  <c r="H38" i="44" s="1"/>
  <c r="AC60" i="2"/>
  <c r="P63" i="42" s="1"/>
  <c r="K63" i="45"/>
  <c r="AD60" i="2"/>
  <c r="Q63" i="45" s="1"/>
  <c r="AE60" i="2"/>
  <c r="R63" i="45" s="1"/>
  <c r="L60" i="2"/>
  <c r="U60" i="2"/>
  <c r="W60" i="2" s="1"/>
  <c r="AT27" i="43"/>
  <c r="S27" i="42"/>
  <c r="E24" i="42"/>
  <c r="U61" i="2"/>
  <c r="W61" i="2" s="1"/>
  <c r="AN63" i="43"/>
  <c r="AC99" i="2"/>
  <c r="U51" i="45" s="1"/>
  <c r="AW27" i="43"/>
  <c r="V27" i="45"/>
  <c r="AV27" i="43"/>
  <c r="U27" i="42"/>
  <c r="M51" i="45"/>
  <c r="AD99" i="2"/>
  <c r="V51" i="45" s="1"/>
  <c r="AA99" i="2"/>
  <c r="AT51" i="43" s="1"/>
  <c r="M63" i="45"/>
  <c r="M51" i="42"/>
  <c r="AC100" i="2"/>
  <c r="U63" i="42" s="1"/>
  <c r="AN51" i="43"/>
  <c r="AB100" i="2"/>
  <c r="T63" i="45" s="1"/>
  <c r="M63" i="42"/>
  <c r="AD100" i="2"/>
  <c r="AW26" i="43"/>
  <c r="V26" i="42"/>
  <c r="AT26" i="43"/>
  <c r="S26" i="42"/>
  <c r="S26" i="45"/>
  <c r="AU24" i="43"/>
  <c r="T24" i="42"/>
  <c r="AU25" i="43"/>
  <c r="T25" i="42"/>
  <c r="AT24" i="43"/>
  <c r="S24" i="45"/>
  <c r="S24" i="42"/>
  <c r="L25" i="45"/>
  <c r="L25" i="42"/>
  <c r="AM25" i="43"/>
  <c r="AI21" i="2"/>
  <c r="HB1" i="41"/>
  <c r="ABG1" i="41" s="1"/>
  <c r="U24" i="42"/>
  <c r="AV24" i="43"/>
  <c r="U25" i="42"/>
  <c r="AV25" i="43"/>
  <c r="T26" i="42"/>
  <c r="AU26" i="43"/>
  <c r="V24" i="42"/>
  <c r="AW24" i="43"/>
  <c r="U26" i="42"/>
  <c r="AV26" i="43"/>
  <c r="L24" i="45"/>
  <c r="HA1" i="41"/>
  <c r="ABF1" i="41" s="1"/>
  <c r="AM24" i="43"/>
  <c r="L24" i="42"/>
  <c r="AI20" i="2"/>
  <c r="V25" i="42"/>
  <c r="AW25" i="43"/>
  <c r="S25" i="45"/>
  <c r="S25" i="42"/>
  <c r="AT25" i="43"/>
  <c r="L26" i="42"/>
  <c r="G54" i="44"/>
  <c r="AC103" i="2"/>
  <c r="L26" i="45"/>
  <c r="V27" i="42"/>
  <c r="G98" i="2"/>
  <c r="M34" i="45" s="1"/>
  <c r="AI22" i="2"/>
  <c r="T27" i="42"/>
  <c r="AM26" i="43"/>
  <c r="AU27" i="43"/>
  <c r="AD103" i="2"/>
  <c r="AA103" i="2"/>
  <c r="AT74" i="43" s="1"/>
  <c r="AB103" i="2"/>
  <c r="M74" i="45"/>
  <c r="G51" i="44"/>
  <c r="M74" i="42"/>
  <c r="AR41" i="43"/>
  <c r="Q41" i="42"/>
  <c r="R41" i="42"/>
  <c r="AS41" i="43"/>
  <c r="G38" i="42"/>
  <c r="P41" i="42"/>
  <c r="P41" i="45"/>
  <c r="AQ41" i="43"/>
  <c r="P74" i="42"/>
  <c r="AQ74" i="43"/>
  <c r="P74" i="45"/>
  <c r="T51" i="42"/>
  <c r="AU51" i="43"/>
  <c r="S63" i="45"/>
  <c r="AT63" i="43"/>
  <c r="S63" i="42"/>
  <c r="P71" i="45"/>
  <c r="P71" i="42"/>
  <c r="AQ71" i="43"/>
  <c r="E24" i="45" l="1"/>
  <c r="E29" i="45" s="1"/>
  <c r="D29" i="45" s="1"/>
  <c r="G29" i="45"/>
  <c r="F29" i="45" s="1"/>
  <c r="G38" i="45"/>
  <c r="E38" i="45" s="1"/>
  <c r="G63" i="45"/>
  <c r="F63" i="45" s="1"/>
  <c r="G63" i="42"/>
  <c r="F63" i="42" s="1"/>
  <c r="E27" i="42"/>
  <c r="D25" i="42" s="1"/>
  <c r="F39" i="42"/>
  <c r="F25" i="42"/>
  <c r="G74" i="42"/>
  <c r="E74" i="42" s="1"/>
  <c r="F41" i="42"/>
  <c r="G43" i="45"/>
  <c r="F43" i="45" s="1"/>
  <c r="F24" i="42"/>
  <c r="G43" i="42"/>
  <c r="F43" i="42" s="1"/>
  <c r="F26" i="42"/>
  <c r="G74" i="45"/>
  <c r="F74" i="45" s="1"/>
  <c r="AH38" i="43"/>
  <c r="AF38" i="43" s="1"/>
  <c r="G39" i="45"/>
  <c r="E39" i="45" s="1"/>
  <c r="D39" i="45" s="1"/>
  <c r="I75" i="45"/>
  <c r="Q55" i="42"/>
  <c r="AR55" i="43"/>
  <c r="P55" i="45"/>
  <c r="P55" i="42"/>
  <c r="R55" i="42"/>
  <c r="AS55" i="43"/>
  <c r="AH55" i="43"/>
  <c r="AF55" i="43" s="1"/>
  <c r="G55" i="45"/>
  <c r="E55" i="45" s="1"/>
  <c r="D55" i="45" s="1"/>
  <c r="F50" i="44"/>
  <c r="AH71" i="43"/>
  <c r="AF71" i="43" s="1"/>
  <c r="AH39" i="43"/>
  <c r="AF39" i="43" s="1"/>
  <c r="AF27" i="43"/>
  <c r="P38" i="42"/>
  <c r="P38" i="45"/>
  <c r="G71" i="45"/>
  <c r="E71" i="45" s="1"/>
  <c r="G54" i="45"/>
  <c r="F54" i="45" s="1"/>
  <c r="R38" i="42"/>
  <c r="P17" i="29"/>
  <c r="G37" i="29" s="1"/>
  <c r="AG26" i="43"/>
  <c r="G21" i="2"/>
  <c r="AG24" i="43"/>
  <c r="G54" i="42"/>
  <c r="E54" i="42" s="1"/>
  <c r="I34" i="42"/>
  <c r="AG25" i="43"/>
  <c r="AQ43" i="43"/>
  <c r="F41" i="45"/>
  <c r="F26" i="45"/>
  <c r="G13" i="45"/>
  <c r="F24" i="45"/>
  <c r="F25" i="45"/>
  <c r="AS38" i="43"/>
  <c r="I51" i="45"/>
  <c r="H51" i="45" s="1"/>
  <c r="AF24" i="43"/>
  <c r="AR38" i="43"/>
  <c r="Q38" i="42"/>
  <c r="AS74" i="43"/>
  <c r="R74" i="42"/>
  <c r="P54" i="45"/>
  <c r="Q74" i="42"/>
  <c r="AR74" i="43"/>
  <c r="H32" i="44"/>
  <c r="AJ34" i="43"/>
  <c r="G30" i="2"/>
  <c r="U41" i="2"/>
  <c r="W41" i="2" s="1"/>
  <c r="AS43" i="43"/>
  <c r="AQ54" i="43"/>
  <c r="Q54" i="42"/>
  <c r="AR54" i="43"/>
  <c r="K75" i="42"/>
  <c r="G75" i="42" s="1"/>
  <c r="E75" i="42" s="1"/>
  <c r="G52" i="2"/>
  <c r="AQ63" i="43"/>
  <c r="U50" i="2"/>
  <c r="W50" i="2" s="1"/>
  <c r="AS71" i="43"/>
  <c r="AL34" i="43"/>
  <c r="R71" i="42"/>
  <c r="AQ39" i="43"/>
  <c r="H61" i="2"/>
  <c r="AL75" i="43"/>
  <c r="AH75" i="43" s="1"/>
  <c r="AF75" i="43" s="1"/>
  <c r="R39" i="42"/>
  <c r="P63" i="45"/>
  <c r="AR63" i="43"/>
  <c r="K75" i="45"/>
  <c r="Q63" i="42"/>
  <c r="P43" i="45"/>
  <c r="Q71" i="42"/>
  <c r="AR71" i="43"/>
  <c r="Q51" i="45"/>
  <c r="R43" i="42"/>
  <c r="R54" i="42"/>
  <c r="AS54" i="43"/>
  <c r="P39" i="45"/>
  <c r="AR43" i="43"/>
  <c r="AR39" i="43"/>
  <c r="Q43" i="42"/>
  <c r="Q39" i="42"/>
  <c r="R51" i="45"/>
  <c r="AS63" i="43"/>
  <c r="R63" i="42"/>
  <c r="K51" i="45"/>
  <c r="J51" i="45" s="1"/>
  <c r="AD53" i="2"/>
  <c r="Q34" i="45" s="1"/>
  <c r="G43" i="44"/>
  <c r="F43" i="44" s="1"/>
  <c r="AC61" i="2"/>
  <c r="AE61" i="2"/>
  <c r="AD61" i="2"/>
  <c r="L53" i="2"/>
  <c r="AE53" i="2"/>
  <c r="AS34" i="43" s="1"/>
  <c r="K34" i="45"/>
  <c r="G34" i="45" s="1"/>
  <c r="F34" i="45" s="1"/>
  <c r="AC53" i="2"/>
  <c r="P34" i="45" s="1"/>
  <c r="K34" i="42"/>
  <c r="AS39" i="43"/>
  <c r="S51" i="45"/>
  <c r="S51" i="42"/>
  <c r="U51" i="42"/>
  <c r="AV51" i="43"/>
  <c r="G97" i="2"/>
  <c r="AA97" i="2" s="1"/>
  <c r="M34" i="42"/>
  <c r="AF63" i="43"/>
  <c r="V51" i="42"/>
  <c r="AW51" i="43"/>
  <c r="AA98" i="2"/>
  <c r="S34" i="42" s="1"/>
  <c r="AV63" i="43"/>
  <c r="U63" i="45"/>
  <c r="AU74" i="43"/>
  <c r="T74" i="45"/>
  <c r="V74" i="42"/>
  <c r="V74" i="45"/>
  <c r="AW63" i="43"/>
  <c r="V63" i="45"/>
  <c r="AV74" i="43"/>
  <c r="U74" i="45"/>
  <c r="AU63" i="43"/>
  <c r="T63" i="42"/>
  <c r="V63" i="42"/>
  <c r="E63" i="45"/>
  <c r="D63" i="45" s="1"/>
  <c r="U74" i="42"/>
  <c r="AB98" i="2"/>
  <c r="T34" i="45" s="1"/>
  <c r="AC98" i="2"/>
  <c r="G101" i="2"/>
  <c r="AA101" i="2" s="1"/>
  <c r="D26" i="45"/>
  <c r="D25" i="45"/>
  <c r="F55" i="42"/>
  <c r="S74" i="45"/>
  <c r="AD98" i="2"/>
  <c r="T74" i="42"/>
  <c r="S74" i="42"/>
  <c r="U59" i="2"/>
  <c r="W59" i="2" s="1"/>
  <c r="AW74" i="43"/>
  <c r="AN34" i="43"/>
  <c r="E41" i="45"/>
  <c r="D41" i="45" s="1"/>
  <c r="E41" i="42"/>
  <c r="F44" i="44"/>
  <c r="E39" i="42"/>
  <c r="F47" i="44"/>
  <c r="K67" i="42"/>
  <c r="AL67" i="43"/>
  <c r="H62" i="2"/>
  <c r="K67" i="45"/>
  <c r="AC62" i="2"/>
  <c r="AE62" i="2"/>
  <c r="R67" i="45" s="1"/>
  <c r="AD62" i="2"/>
  <c r="Q67" i="45" s="1"/>
  <c r="F38" i="42"/>
  <c r="E38" i="42"/>
  <c r="F46" i="44"/>
  <c r="F49" i="44"/>
  <c r="F51" i="44"/>
  <c r="H35" i="44"/>
  <c r="G5" i="44"/>
  <c r="G123" i="44" s="1"/>
  <c r="F34" i="44"/>
  <c r="F33" i="44"/>
  <c r="F45" i="44"/>
  <c r="G65" i="2"/>
  <c r="CJ2" i="47" s="1"/>
  <c r="F32" i="44"/>
  <c r="F21" i="2" l="1"/>
  <c r="AU2" i="47"/>
  <c r="AE52" i="2"/>
  <c r="BV2" i="47"/>
  <c r="KK1" i="41"/>
  <c r="IH2" i="47"/>
  <c r="F38" i="45"/>
  <c r="E63" i="42"/>
  <c r="D63" i="42" s="1"/>
  <c r="D24" i="45"/>
  <c r="D24" i="42"/>
  <c r="F74" i="42"/>
  <c r="D38" i="42"/>
  <c r="D39" i="42"/>
  <c r="D55" i="42"/>
  <c r="D41" i="42"/>
  <c r="D74" i="42"/>
  <c r="D26" i="42"/>
  <c r="D75" i="42"/>
  <c r="E43" i="45"/>
  <c r="D43" i="45" s="1"/>
  <c r="D54" i="42"/>
  <c r="G51" i="45"/>
  <c r="F51" i="45" s="1"/>
  <c r="E74" i="45"/>
  <c r="D74" i="45" s="1"/>
  <c r="E43" i="42"/>
  <c r="D43" i="42" s="1"/>
  <c r="F39" i="45"/>
  <c r="F30" i="29"/>
  <c r="G31" i="2"/>
  <c r="G34" i="2" s="1"/>
  <c r="BI2" i="47" s="1"/>
  <c r="I21" i="2"/>
  <c r="CZ1" i="41"/>
  <c r="XH1" i="41" s="1"/>
  <c r="F55" i="45"/>
  <c r="CX1" i="41"/>
  <c r="XF1" i="41" s="1"/>
  <c r="G75" i="45"/>
  <c r="F75" i="45" s="1"/>
  <c r="E54" i="45"/>
  <c r="D54" i="45" s="1"/>
  <c r="G34" i="42"/>
  <c r="F34" i="42" s="1"/>
  <c r="H21" i="2"/>
  <c r="F52" i="2"/>
  <c r="F54" i="42"/>
  <c r="AH34" i="43"/>
  <c r="AF34" i="43" s="1"/>
  <c r="AC52" i="2"/>
  <c r="H30" i="2"/>
  <c r="H52" i="2"/>
  <c r="L61" i="2"/>
  <c r="AD52" i="2"/>
  <c r="DY1" i="41"/>
  <c r="YG1" i="41" s="1"/>
  <c r="L52" i="2"/>
  <c r="W39" i="2"/>
  <c r="O15" i="29" s="1"/>
  <c r="O47" i="29" s="1"/>
  <c r="P47" i="29" s="1"/>
  <c r="F47" i="29" s="1"/>
  <c r="P51" i="45"/>
  <c r="R34" i="45"/>
  <c r="R76" i="45" s="1"/>
  <c r="E34" i="45"/>
  <c r="D34" i="45" s="1"/>
  <c r="F97" i="2"/>
  <c r="P34" i="42"/>
  <c r="AQ34" i="43"/>
  <c r="Q76" i="45"/>
  <c r="R34" i="42"/>
  <c r="AR34" i="43"/>
  <c r="G48" i="44"/>
  <c r="G42" i="44" s="1"/>
  <c r="F42" i="44" s="1"/>
  <c r="Q34" i="42"/>
  <c r="AB97" i="2"/>
  <c r="AC97" i="2"/>
  <c r="AD97" i="2"/>
  <c r="S34" i="45"/>
  <c r="AT34" i="43"/>
  <c r="U34" i="42"/>
  <c r="U34" i="45"/>
  <c r="AW34" i="43"/>
  <c r="V34" i="45"/>
  <c r="AU34" i="43"/>
  <c r="AV34" i="43"/>
  <c r="V34" i="42"/>
  <c r="T34" i="42"/>
  <c r="AB101" i="2"/>
  <c r="AD101" i="2"/>
  <c r="AC101" i="2"/>
  <c r="G102" i="2"/>
  <c r="M67" i="42" s="1"/>
  <c r="F75" i="42"/>
  <c r="AL76" i="43"/>
  <c r="H31" i="21"/>
  <c r="K76" i="45"/>
  <c r="AD65" i="2"/>
  <c r="F33" i="21" s="1"/>
  <c r="AE65" i="2"/>
  <c r="F34" i="21" s="1"/>
  <c r="H65" i="2"/>
  <c r="CK2" i="47" s="1"/>
  <c r="EM1" i="41"/>
  <c r="YU1" i="41" s="1"/>
  <c r="F31" i="21"/>
  <c r="K76" i="42"/>
  <c r="AC65" i="2"/>
  <c r="F32" i="21" s="1"/>
  <c r="F65" i="2"/>
  <c r="Q67" i="42"/>
  <c r="AR67" i="43"/>
  <c r="AQ67" i="43"/>
  <c r="P67" i="42"/>
  <c r="P67" i="45"/>
  <c r="R67" i="42"/>
  <c r="AS67" i="43"/>
  <c r="AS76" i="43" s="1"/>
  <c r="D38" i="45"/>
  <c r="DZ1" i="41" l="1"/>
  <c r="YH1" i="41" s="1"/>
  <c r="BW2" i="47"/>
  <c r="EA1" i="41"/>
  <c r="YI1" i="41" s="1"/>
  <c r="BX2" i="47"/>
  <c r="CY1" i="41"/>
  <c r="XG1" i="41" s="1"/>
  <c r="AV2" i="47"/>
  <c r="HE1" i="41"/>
  <c r="ABJ1" i="41" s="1"/>
  <c r="FB2" i="47"/>
  <c r="L30" i="21"/>
  <c r="AW2" i="47"/>
  <c r="AG82" i="43"/>
  <c r="M2" i="47"/>
  <c r="E51" i="45"/>
  <c r="D51" i="45" s="1"/>
  <c r="F82" i="45"/>
  <c r="I67" i="42"/>
  <c r="G67" i="42" s="1"/>
  <c r="E67" i="42" s="1"/>
  <c r="H31" i="2"/>
  <c r="BP1" i="41"/>
  <c r="KS1" i="41" s="1"/>
  <c r="LM1" i="41" s="1"/>
  <c r="LZ1" i="41" s="1"/>
  <c r="F82" i="42"/>
  <c r="L62" i="2"/>
  <c r="AJ67" i="43"/>
  <c r="AH67" i="43" s="1"/>
  <c r="E34" i="42"/>
  <c r="D34" i="42" s="1"/>
  <c r="E75" i="45"/>
  <c r="D75" i="45" s="1"/>
  <c r="I67" i="45"/>
  <c r="G67" i="45" s="1"/>
  <c r="F67" i="45" s="1"/>
  <c r="DL1" i="41"/>
  <c r="XT1" i="41" s="1"/>
  <c r="F30" i="21"/>
  <c r="L65" i="2"/>
  <c r="H30" i="21"/>
  <c r="I76" i="42"/>
  <c r="G76" i="42" s="1"/>
  <c r="F34" i="2"/>
  <c r="AJ76" i="43"/>
  <c r="AH76" i="43" s="1"/>
  <c r="I76" i="45"/>
  <c r="G76" i="45" s="1"/>
  <c r="H34" i="2"/>
  <c r="BJ2" i="47" s="1"/>
  <c r="I52" i="2"/>
  <c r="L31" i="21"/>
  <c r="AQ76" i="43"/>
  <c r="P76" i="45"/>
  <c r="P15" i="29"/>
  <c r="G35" i="29" s="1"/>
  <c r="R76" i="42"/>
  <c r="P76" i="42"/>
  <c r="F48" i="44"/>
  <c r="AR76" i="43"/>
  <c r="Q76" i="42"/>
  <c r="G52" i="44"/>
  <c r="H52" i="44" s="1"/>
  <c r="H42" i="44"/>
  <c r="AC102" i="2"/>
  <c r="AV67" i="43" s="1"/>
  <c r="AV76" i="43" s="1"/>
  <c r="AN67" i="43"/>
  <c r="AD102" i="2"/>
  <c r="M67" i="45"/>
  <c r="G53" i="44"/>
  <c r="AA102" i="2"/>
  <c r="S67" i="42" s="1"/>
  <c r="S76" i="42" s="1"/>
  <c r="AB102" i="2"/>
  <c r="K32" i="21"/>
  <c r="K34" i="21"/>
  <c r="K33" i="21"/>
  <c r="G104" i="2"/>
  <c r="FH2" i="47" s="1"/>
  <c r="K31" i="21"/>
  <c r="EN1" i="41"/>
  <c r="YV1" i="41" s="1"/>
  <c r="KI1" i="41" l="1"/>
  <c r="IF2" i="47"/>
  <c r="VX1" i="41"/>
  <c r="BA1" i="41"/>
  <c r="F28" i="29"/>
  <c r="AF67" i="43"/>
  <c r="E67" i="45"/>
  <c r="D67" i="45" s="1"/>
  <c r="DM1" i="41"/>
  <c r="XU1" i="41" s="1"/>
  <c r="K30" i="21"/>
  <c r="F53" i="44"/>
  <c r="G59" i="44"/>
  <c r="D5" i="44" s="1"/>
  <c r="D123" i="44" s="1"/>
  <c r="AW67" i="43"/>
  <c r="AW76" i="43" s="1"/>
  <c r="V67" i="45"/>
  <c r="V76" i="45" s="1"/>
  <c r="T67" i="42"/>
  <c r="T76" i="42" s="1"/>
  <c r="T67" i="45"/>
  <c r="T76" i="45" s="1"/>
  <c r="V67" i="42"/>
  <c r="V76" i="42" s="1"/>
  <c r="H53" i="44"/>
  <c r="U67" i="42"/>
  <c r="U76" i="42" s="1"/>
  <c r="U67" i="45"/>
  <c r="U76" i="45" s="1"/>
  <c r="AU67" i="43"/>
  <c r="AU76" i="43" s="1"/>
  <c r="AT67" i="43"/>
  <c r="AT76" i="43" s="1"/>
  <c r="S67" i="45"/>
  <c r="S76" i="45" s="1"/>
  <c r="M76" i="45"/>
  <c r="AN76" i="43"/>
  <c r="HK1" i="41"/>
  <c r="ABP1" i="41" s="1"/>
  <c r="R91" i="2"/>
  <c r="AD104" i="2"/>
  <c r="AA104" i="2"/>
  <c r="F36" i="21"/>
  <c r="M76" i="42"/>
  <c r="AB104" i="2"/>
  <c r="AC104" i="2"/>
  <c r="D5" i="2"/>
  <c r="P2" i="47" s="1"/>
  <c r="GY1" i="41" l="1"/>
  <c r="ABD1" i="41" s="1"/>
  <c r="EV2" i="47"/>
  <c r="AG80" i="43"/>
  <c r="K2" i="47"/>
  <c r="BN1" i="41"/>
  <c r="KQ1" i="41" s="1"/>
  <c r="LK1" i="41" s="1"/>
  <c r="LX1" i="41" s="1"/>
  <c r="F80" i="45"/>
  <c r="F80" i="42"/>
  <c r="F5" i="44"/>
  <c r="F123" i="44" s="1"/>
  <c r="H59" i="44"/>
  <c r="G66" i="44"/>
  <c r="G71" i="44" s="1"/>
  <c r="G77" i="44" s="1"/>
  <c r="U96" i="44" s="1"/>
  <c r="W96" i="44" s="1"/>
  <c r="D72" i="2"/>
  <c r="F5" i="2"/>
  <c r="R2" i="47" s="1"/>
  <c r="BS1" i="41"/>
  <c r="WA1" i="41" s="1"/>
  <c r="E5" i="44" l="1"/>
  <c r="E123" i="44" s="1"/>
  <c r="AY1" i="41"/>
  <c r="VV1" i="41"/>
  <c r="G78" i="44"/>
  <c r="Q78" i="44"/>
  <c r="F70" i="44"/>
  <c r="U70" i="44" s="1"/>
  <c r="F69" i="44"/>
  <c r="F68" i="44"/>
  <c r="Q79" i="44"/>
  <c r="Q77" i="44"/>
  <c r="G83" i="44"/>
  <c r="G80" i="44"/>
  <c r="U97" i="44" s="1"/>
  <c r="W97" i="44" s="1"/>
  <c r="G76" i="44"/>
  <c r="U95" i="44" s="1"/>
  <c r="W95" i="44" s="1"/>
  <c r="H71" i="44"/>
  <c r="G84" i="44"/>
  <c r="G79" i="44"/>
  <c r="H66" i="44"/>
  <c r="G75" i="44"/>
  <c r="U94" i="44" s="1"/>
  <c r="W94" i="44" s="1"/>
  <c r="G74" i="44"/>
  <c r="U93" i="44" s="1"/>
  <c r="W93" i="44" s="1"/>
  <c r="F72" i="2"/>
  <c r="C78" i="42"/>
  <c r="AD78" i="43"/>
  <c r="B27" i="21"/>
  <c r="BU1" i="41"/>
  <c r="E5" i="2"/>
  <c r="Q2" i="47" s="1"/>
  <c r="C78" i="45"/>
  <c r="F9" i="29"/>
  <c r="F19" i="29" s="1"/>
  <c r="T20" i="29" l="1"/>
  <c r="N2" i="47" s="1"/>
  <c r="T2" i="47"/>
  <c r="L1" i="41"/>
  <c r="WC1" i="41"/>
  <c r="G73" i="44"/>
  <c r="G72" i="44" s="1"/>
  <c r="F20" i="29"/>
  <c r="S2" i="47" s="1"/>
  <c r="F79" i="45"/>
  <c r="AG79" i="43"/>
  <c r="F79" i="42"/>
  <c r="BW1" i="41"/>
  <c r="J27" i="21"/>
  <c r="D49" i="29"/>
  <c r="D47" i="29"/>
  <c r="D48" i="29"/>
  <c r="D45" i="29"/>
  <c r="D46" i="29"/>
  <c r="P16" i="29"/>
  <c r="O48" i="29"/>
  <c r="P48" i="29"/>
  <c r="K4" i="13"/>
  <c r="E68" i="42"/>
  <c r="AF68" i="43"/>
  <c r="E72" i="2"/>
  <c r="BT1" i="41"/>
  <c r="WB1" i="41" s="1"/>
  <c r="L68" i="2"/>
  <c r="E68" i="45"/>
  <c r="KW1" i="41" l="1"/>
  <c r="LQ1" i="41" s="1"/>
  <c r="KV1" i="41"/>
  <c r="LP1" i="41" s="1"/>
  <c r="B18" i="21"/>
  <c r="B19" i="21"/>
  <c r="J1" i="41"/>
  <c r="WE1" i="41"/>
  <c r="G81" i="44"/>
  <c r="G82" i="44" s="1"/>
  <c r="H82" i="44" s="1"/>
  <c r="U92" i="44"/>
  <c r="W92" i="44" s="1"/>
  <c r="W90" i="44" s="1"/>
  <c r="R30" i="21"/>
  <c r="R29" i="21"/>
  <c r="R32" i="21"/>
  <c r="R28" i="21"/>
  <c r="R31" i="21" s="1"/>
  <c r="I4" i="13"/>
  <c r="M27" i="21"/>
  <c r="J4" i="13" s="1"/>
  <c r="I4" i="29"/>
  <c r="F86" i="45"/>
  <c r="F86" i="42"/>
  <c r="AG86" i="43"/>
  <c r="BV1" i="41"/>
  <c r="F72" i="44"/>
  <c r="H72" i="44"/>
  <c r="F48" i="29"/>
  <c r="P51" i="29"/>
  <c r="F51" i="29" s="1"/>
  <c r="P50" i="29"/>
  <c r="F50" i="29" s="1"/>
  <c r="F29" i="29"/>
  <c r="L2" i="47" s="1"/>
  <c r="G36" i="29"/>
  <c r="KJ1" i="41" l="1"/>
  <c r="IG2" i="47"/>
  <c r="KE1" i="41"/>
  <c r="IB2" i="47"/>
  <c r="KF1" i="41"/>
  <c r="IC2" i="47"/>
  <c r="LA1" i="41"/>
  <c r="H81" i="44"/>
  <c r="WD1" i="41"/>
  <c r="KM1" i="41"/>
  <c r="G34" i="29"/>
  <c r="G33" i="29"/>
  <c r="G32" i="29" s="1"/>
  <c r="BQ1" i="41"/>
  <c r="VY1" i="41" s="1"/>
  <c r="G85" i="44"/>
  <c r="H85" i="44" s="1"/>
  <c r="BO1" i="41"/>
  <c r="F81" i="42"/>
  <c r="F81" i="45"/>
  <c r="AG81" i="43"/>
  <c r="KR1" i="41" l="1"/>
  <c r="LL1" i="41" s="1"/>
  <c r="LY1" i="41" s="1"/>
  <c r="KO1" i="41"/>
  <c r="F85" i="44"/>
  <c r="AZ1" i="41"/>
  <c r="VW1" i="41"/>
  <c r="KP1" i="41"/>
  <c r="LI1" i="41" l="1"/>
  <c r="LV1" i="41" s="1"/>
  <c r="KU1" i="41"/>
  <c r="LJ1" i="41"/>
  <c r="LW1" i="41" s="1"/>
  <c r="LC1" i="41" l="1"/>
  <c r="LB1"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<sst xmlns="http://schemas.openxmlformats.org/spreadsheetml/2006/main" count="36371" uniqueCount="8141">
  <si>
    <t>New Construction</t>
  </si>
  <si>
    <t>Renovation</t>
  </si>
  <si>
    <t>Demolition</t>
  </si>
  <si>
    <t>Infrastructure</t>
  </si>
  <si>
    <t>Other</t>
  </si>
  <si>
    <t>Subtotal (Pre-Contingency)</t>
  </si>
  <si>
    <t>Total Cost</t>
  </si>
  <si>
    <t>Parking</t>
  </si>
  <si>
    <t>Classroom</t>
  </si>
  <si>
    <t>Office</t>
  </si>
  <si>
    <t>Library/Study</t>
  </si>
  <si>
    <t>Support</t>
  </si>
  <si>
    <t>Notes</t>
  </si>
  <si>
    <t>Commissioning</t>
  </si>
  <si>
    <t>Testing/Surveys</t>
  </si>
  <si>
    <t># Acres</t>
  </si>
  <si>
    <t>Name</t>
  </si>
  <si>
    <t>Email</t>
  </si>
  <si>
    <t>ALSU</t>
  </si>
  <si>
    <t>CLSU</t>
  </si>
  <si>
    <t>CSU</t>
  </si>
  <si>
    <t>DSC</t>
  </si>
  <si>
    <t>ABAC</t>
  </si>
  <si>
    <t>FVSU</t>
  </si>
  <si>
    <t>GSC</t>
  </si>
  <si>
    <t>GGC</t>
  </si>
  <si>
    <t>GCSU</t>
  </si>
  <si>
    <t>GHC</t>
  </si>
  <si>
    <t>GIT</t>
  </si>
  <si>
    <t>GSU</t>
  </si>
  <si>
    <t>GSOU</t>
  </si>
  <si>
    <t>KSU</t>
  </si>
  <si>
    <t>SSU</t>
  </si>
  <si>
    <t>UWG</t>
  </si>
  <si>
    <t>VSU</t>
  </si>
  <si>
    <t>Abraham Baldwin Agricultural College</t>
  </si>
  <si>
    <t>Clayton State University</t>
  </si>
  <si>
    <t>Columbus State University</t>
  </si>
  <si>
    <t>Dalton State College</t>
  </si>
  <si>
    <t>Fort Valley State University</t>
  </si>
  <si>
    <t>Georgia Gwinnett College</t>
  </si>
  <si>
    <t>Georgia College and State University</t>
  </si>
  <si>
    <t>Georgia Highlands College</t>
  </si>
  <si>
    <t>Georgia Institute of Technology</t>
  </si>
  <si>
    <t>Georgia Southern University</t>
  </si>
  <si>
    <t>Georgia Southwestern State University</t>
  </si>
  <si>
    <t>Georgia State University</t>
  </si>
  <si>
    <t>Kennesaw State University</t>
  </si>
  <si>
    <t>Savannah State University</t>
  </si>
  <si>
    <t>University of West Georgia</t>
  </si>
  <si>
    <t>Valdosta State University</t>
  </si>
  <si>
    <t>UGA</t>
  </si>
  <si>
    <t>University of Georgia</t>
  </si>
  <si>
    <t>Listed</t>
  </si>
  <si>
    <t>Eligible</t>
  </si>
  <si>
    <t>AMSC</t>
  </si>
  <si>
    <t>Atlanta Metropolitan State College</t>
  </si>
  <si>
    <t>College of Coastal Georgia</t>
  </si>
  <si>
    <t>East Georgia State College</t>
  </si>
  <si>
    <t>Gordon State College</t>
  </si>
  <si>
    <t>MGA</t>
  </si>
  <si>
    <t>AU</t>
  </si>
  <si>
    <t>Augusta University</t>
  </si>
  <si>
    <t>Middle Georgia State University</t>
  </si>
  <si>
    <t>UNG</t>
  </si>
  <si>
    <t>University of North Georgia</t>
  </si>
  <si>
    <t>South Georgia State College</t>
  </si>
  <si>
    <t>Tifton</t>
  </si>
  <si>
    <t>Main</t>
  </si>
  <si>
    <t>West (DSC)</t>
  </si>
  <si>
    <t>East (ALSU)</t>
  </si>
  <si>
    <t>Main (Tifton)</t>
  </si>
  <si>
    <t>Main (Savannah)</t>
  </si>
  <si>
    <t>Health Sciences</t>
  </si>
  <si>
    <t>Summerville</t>
  </si>
  <si>
    <t>Main (Morrow)</t>
  </si>
  <si>
    <t>Main (Brunswick)</t>
  </si>
  <si>
    <t>Camden</t>
  </si>
  <si>
    <t>Main (Dalton)</t>
  </si>
  <si>
    <t>Main (Swainsboro)</t>
  </si>
  <si>
    <t>Statesboro</t>
  </si>
  <si>
    <t>Macon</t>
  </si>
  <si>
    <t>Main (Milledgeville)</t>
  </si>
  <si>
    <t>Main (Lawrenceville)</t>
  </si>
  <si>
    <t>Cartersville</t>
  </si>
  <si>
    <t>Main (Rome)</t>
  </si>
  <si>
    <t>Main (Atlanta)</t>
  </si>
  <si>
    <t>Main (Americus)</t>
  </si>
  <si>
    <t>Atlanta</t>
  </si>
  <si>
    <t>Clarkston</t>
  </si>
  <si>
    <t>Decatur</t>
  </si>
  <si>
    <t>Dunwoody</t>
  </si>
  <si>
    <t>Alpharetta</t>
  </si>
  <si>
    <t>Main (Barnesville)</t>
  </si>
  <si>
    <t>Kennesaw</t>
  </si>
  <si>
    <t>Marietta</t>
  </si>
  <si>
    <t>Warner Robins</t>
  </si>
  <si>
    <t>Cochran</t>
  </si>
  <si>
    <t>Eastman</t>
  </si>
  <si>
    <t>Dublin</t>
  </si>
  <si>
    <t>Campus</t>
  </si>
  <si>
    <t>Douglas</t>
  </si>
  <si>
    <t>Waycross</t>
  </si>
  <si>
    <t>Main (Athens)</t>
  </si>
  <si>
    <t>Griffin</t>
  </si>
  <si>
    <t>Skidaway</t>
  </si>
  <si>
    <t>Sapelo</t>
  </si>
  <si>
    <t>Dahlonega</t>
  </si>
  <si>
    <t>Gainesville</t>
  </si>
  <si>
    <t>Oconee</t>
  </si>
  <si>
    <t>Cumming</t>
  </si>
  <si>
    <t>Main (Carrollton)</t>
  </si>
  <si>
    <t>Newnan</t>
  </si>
  <si>
    <t>Main (Valdosta)</t>
  </si>
  <si>
    <t>North (Valdosta)</t>
  </si>
  <si>
    <t>Main (Columbus)</t>
  </si>
  <si>
    <t>Health Science (Athens)</t>
  </si>
  <si>
    <t>GSW</t>
  </si>
  <si>
    <t>Building GSF</t>
  </si>
  <si>
    <t>Lib/Study</t>
  </si>
  <si>
    <t>Total</t>
  </si>
  <si>
    <t>ASF</t>
  </si>
  <si>
    <t>Resch. Lab</t>
  </si>
  <si>
    <t>Housing</t>
  </si>
  <si>
    <t>Clinical</t>
  </si>
  <si>
    <t>General</t>
  </si>
  <si>
    <t>Special</t>
  </si>
  <si>
    <t>Program</t>
  </si>
  <si>
    <t>Assignable</t>
  </si>
  <si>
    <t>Space</t>
  </si>
  <si>
    <t>Sum of ASF % entered must = 100%</t>
  </si>
  <si>
    <t>Proposed Burden Factor:</t>
  </si>
  <si>
    <t>Proposed GSF:</t>
  </si>
  <si>
    <t>Efficiency:</t>
  </si>
  <si>
    <t>ASF:</t>
  </si>
  <si>
    <t>Historic Status?</t>
  </si>
  <si>
    <t>Utilities</t>
  </si>
  <si>
    <t>(Use only if building GSF is to be wholly or partially demolished - not for use with interior demolition for renovation)</t>
  </si>
  <si>
    <t>Enter text describing proposed building demolition</t>
  </si>
  <si>
    <t>Demolition GSF:</t>
  </si>
  <si>
    <t>Mechanical</t>
  </si>
  <si>
    <t xml:space="preserve">Total Soft Cost </t>
  </si>
  <si>
    <t>TAB 2 - Project Specifications</t>
  </si>
  <si>
    <t>Typical Ranges</t>
  </si>
  <si>
    <t>Unit Cost</t>
  </si>
  <si>
    <t>0.5% - 1.5%</t>
  </si>
  <si>
    <t>Acquisition</t>
  </si>
  <si>
    <t># Acres Land</t>
  </si>
  <si>
    <t>Design</t>
  </si>
  <si>
    <t>Equipment</t>
  </si>
  <si>
    <t>Construction</t>
  </si>
  <si>
    <t>Large Cap</t>
  </si>
  <si>
    <t>Small Cap</t>
  </si>
  <si>
    <t>Institution Capital Priority</t>
  </si>
  <si>
    <t>Project Name</t>
  </si>
  <si>
    <t>Anticipated</t>
  </si>
  <si>
    <t>Deck Spaces:</t>
  </si>
  <si>
    <t>Surface Spaces:</t>
  </si>
  <si>
    <t>GO Bonds</t>
  </si>
  <si>
    <t>Const</t>
  </si>
  <si>
    <t>Equip</t>
  </si>
  <si>
    <t>calc</t>
  </si>
  <si>
    <t>round</t>
  </si>
  <si>
    <t>(Page 1 of 2)</t>
  </si>
  <si>
    <t>%</t>
  </si>
  <si>
    <t>Instruc. Lab</t>
  </si>
  <si>
    <t>211-235</t>
  </si>
  <si>
    <t/>
  </si>
  <si>
    <t># Spaces</t>
  </si>
  <si>
    <t>Land / Building Acquisition</t>
  </si>
  <si>
    <t>General Academic</t>
  </si>
  <si>
    <t>Student Union</t>
  </si>
  <si>
    <t>Athletics/Recreation</t>
  </si>
  <si>
    <t>Physical Plant</t>
  </si>
  <si>
    <t>Warehouse</t>
  </si>
  <si>
    <t>Instructional Wet Labs</t>
  </si>
  <si>
    <t>Instructional Dry Labs</t>
  </si>
  <si>
    <t>Primary Space Function:</t>
  </si>
  <si>
    <t>Food Service</t>
  </si>
  <si>
    <t>(Primary Building to be Renovated)</t>
  </si>
  <si>
    <t>If Campus is "Other", identify location:</t>
  </si>
  <si>
    <t>Soft Cost Ratio</t>
  </si>
  <si>
    <t>TAB 4 - Project Funding</t>
  </si>
  <si>
    <t>Blue Ridge</t>
  </si>
  <si>
    <t>Typical Costs</t>
  </si>
  <si>
    <t>Science Research Labs</t>
  </si>
  <si>
    <t>TAB 2 - PROJECT SPECIFICATIONS</t>
  </si>
  <si>
    <t>(Page 2 of 2)</t>
  </si>
  <si>
    <t>Explain high FF&amp;E cost ratio (&gt;10%)</t>
  </si>
  <si>
    <t>Explain high contingency ratio (&gt;5%)</t>
  </si>
  <si>
    <t>Total Project Cost (Calculated)</t>
  </si>
  <si>
    <t>Building Name</t>
  </si>
  <si>
    <t>Cost / GSF</t>
  </si>
  <si>
    <t>Cost</t>
  </si>
  <si>
    <r>
      <t>Land Acqusition (</t>
    </r>
    <r>
      <rPr>
        <i/>
        <sz val="10"/>
        <rFont val="Arial"/>
        <family val="2"/>
      </rPr>
      <t>Cost per Acre)</t>
    </r>
  </si>
  <si>
    <r>
      <t>Building Acqusition (</t>
    </r>
    <r>
      <rPr>
        <i/>
        <sz val="10"/>
        <rFont val="Arial"/>
        <family val="2"/>
      </rPr>
      <t>Cost per GSF)</t>
    </r>
  </si>
  <si>
    <t>Cost/Space</t>
  </si>
  <si>
    <t>Total Project Budget</t>
  </si>
  <si>
    <t>Funding Sources Total</t>
  </si>
  <si>
    <t>Project Cost / GSF</t>
  </si>
  <si>
    <r>
      <t xml:space="preserve">TAB 3-PROJECT COST </t>
    </r>
    <r>
      <rPr>
        <b/>
        <sz val="9"/>
        <rFont val="Arial"/>
        <family val="2"/>
      </rPr>
      <t>(P.1 OF 2)</t>
    </r>
  </si>
  <si>
    <r>
      <t xml:space="preserve">TAB 3-PROJECT COST </t>
    </r>
    <r>
      <rPr>
        <b/>
        <sz val="9"/>
        <rFont val="Arial"/>
        <family val="2"/>
      </rPr>
      <t>(P.2 OF 2)</t>
    </r>
  </si>
  <si>
    <t>TAB 4 - PROJECT FUNDING</t>
  </si>
  <si>
    <t>TAB 5 - PROJECT NARRATIVE</t>
  </si>
  <si>
    <t>Primary Space Function</t>
  </si>
  <si>
    <t>Template Worksheet Tab Color Key</t>
  </si>
  <si>
    <t>$16,000-$20,000</t>
  </si>
  <si>
    <t>$2,000-$3,500</t>
  </si>
  <si>
    <t>Phone</t>
  </si>
  <si>
    <t>Institution Acronym Key</t>
  </si>
  <si>
    <t>4A - Proposed Project Funding Sources</t>
  </si>
  <si>
    <t>4C - Project Funding - Supplemental Narrative</t>
  </si>
  <si>
    <t>5A - Executive Summary Narrative</t>
  </si>
  <si>
    <t>2A - BUILDING ELEMENTS</t>
  </si>
  <si>
    <t>Total Element Cost (Calc)</t>
  </si>
  <si>
    <t>Full</t>
  </si>
  <si>
    <t>Part</t>
  </si>
  <si>
    <t>2B - INFRASTRUCTURE ELEMENTS</t>
  </si>
  <si>
    <t>2C - LAND/BUILDING ACQUISITION ELEMENTS</t>
  </si>
  <si>
    <t>1.</t>
  </si>
  <si>
    <t>2.</t>
  </si>
  <si>
    <t>3.</t>
  </si>
  <si>
    <t>4.</t>
  </si>
  <si>
    <t>5.</t>
  </si>
  <si>
    <t>Space Program</t>
  </si>
  <si>
    <t>Feasibility Study</t>
  </si>
  <si>
    <t>Cost Estimate</t>
  </si>
  <si>
    <t>Document Type</t>
  </si>
  <si>
    <t>File Name</t>
  </si>
  <si>
    <t>Planning Study</t>
  </si>
  <si>
    <t>Map</t>
  </si>
  <si>
    <t>Site/Building Graphic</t>
  </si>
  <si>
    <t>Comments</t>
  </si>
  <si>
    <t>Explain high burden factor</t>
  </si>
  <si>
    <t>Facility Condition Assessment</t>
  </si>
  <si>
    <t>Explain high unit cost for space function</t>
  </si>
  <si>
    <t>Enter unit cost per surface space</t>
  </si>
  <si>
    <t>Enter unit cost per deck space</t>
  </si>
  <si>
    <t>1.5% - 2.5%</t>
  </si>
  <si>
    <t>Bldg. Data/Technology Infrastructure</t>
  </si>
  <si>
    <t>Explain high cost ratio (&gt;2.5%)</t>
  </si>
  <si>
    <t>Explain high Testing/Survey ratio (&gt;1.5%)</t>
  </si>
  <si>
    <t>- Use this section to specify all building and land acquisitions, whether they are independent projects or elements of a larger project.</t>
  </si>
  <si>
    <t>Funding Source Comments</t>
  </si>
  <si>
    <t>Photos</t>
  </si>
  <si>
    <t>- Independent infrastructure projects (Parking/Mechanical/Utilities/Other) and building-related infrastructure elements with a scope and cost that are disproportionate to the related building(s) must be entered separately in Section 2B - Infrastructure Elements.</t>
  </si>
  <si>
    <t>Instructional Labs - Dry</t>
  </si>
  <si>
    <t>Instructional Labs - Wet</t>
  </si>
  <si>
    <t>Research Labs - Wet</t>
  </si>
  <si>
    <t>Academic - General</t>
  </si>
  <si>
    <t>Student Union/Services</t>
  </si>
  <si>
    <t>Office/Admin</t>
  </si>
  <si>
    <t>Entry cell - Direct</t>
  </si>
  <si>
    <t>Entry Cell - Drop-Down Menu</t>
  </si>
  <si>
    <t>FY of requested Non-GO Construction:</t>
  </si>
  <si>
    <t>Proj Cost Calc</t>
  </si>
  <si>
    <t>Reg Cont</t>
  </si>
  <si>
    <t>New GSF</t>
  </si>
  <si>
    <t>Burden</t>
  </si>
  <si>
    <t>New ASF</t>
  </si>
  <si>
    <t>Tot Non GO</t>
  </si>
  <si>
    <t>Tot Fund Source</t>
  </si>
  <si>
    <t>NGO Avail D</t>
  </si>
  <si>
    <t>NGO avail C</t>
  </si>
  <si>
    <t>NGO Avail E</t>
  </si>
  <si>
    <t>tot non GO</t>
  </si>
  <si>
    <t>DtaTchInf%</t>
  </si>
  <si>
    <t>TSC$</t>
  </si>
  <si>
    <t>TSC%</t>
  </si>
  <si>
    <t>TSC$/GSF</t>
  </si>
  <si>
    <t>Oth SC %</t>
  </si>
  <si>
    <t>TPC$</t>
  </si>
  <si>
    <t>TPC$/GSF</t>
  </si>
  <si>
    <t>Renov 1</t>
  </si>
  <si>
    <t>Renov 2</t>
  </si>
  <si>
    <t>Renov 3</t>
  </si>
  <si>
    <t>Prim Space Fcn</t>
  </si>
  <si>
    <t>Cont %</t>
  </si>
  <si>
    <t>GSF</t>
  </si>
  <si>
    <t>Park# Deck</t>
  </si>
  <si>
    <t>Park# Surf</t>
  </si>
  <si>
    <t>Cost Space</t>
  </si>
  <si>
    <t>Mech TCC</t>
  </si>
  <si>
    <t>Util TCC</t>
  </si>
  <si>
    <t>Other TCC</t>
  </si>
  <si>
    <t>Land AC</t>
  </si>
  <si>
    <t>Land $/Ac</t>
  </si>
  <si>
    <t>TAC$ Land</t>
  </si>
  <si>
    <t>Bldg GSF</t>
  </si>
  <si>
    <t>Bldg $/GSF</t>
  </si>
  <si>
    <t>TAC$ Bldg</t>
  </si>
  <si>
    <t>Acq</t>
  </si>
  <si>
    <t>Prim Space Use</t>
  </si>
  <si>
    <t>Comm%</t>
  </si>
  <si>
    <t>ASF New</t>
  </si>
  <si>
    <t>ASF 100</t>
  </si>
  <si>
    <t>ASF 300</t>
  </si>
  <si>
    <t>ASF 400</t>
  </si>
  <si>
    <t>ASF 500</t>
  </si>
  <si>
    <t>ASF 600</t>
  </si>
  <si>
    <t>ASF 700</t>
  </si>
  <si>
    <t>ASF 800</t>
  </si>
  <si>
    <t>ASF 900</t>
  </si>
  <si>
    <t>ASF Ren 1</t>
  </si>
  <si>
    <t>ASF Ren 2</t>
  </si>
  <si>
    <t>ASF Ren 3</t>
  </si>
  <si>
    <t>Hist?</t>
  </si>
  <si>
    <t xml:space="preserve">    - "What's in the box?"</t>
  </si>
  <si>
    <t xml:space="preserve">     - Brief executive summary at project level that condenses key elements from other data and narrative sections</t>
  </si>
  <si>
    <t>Fund Narrative</t>
  </si>
  <si>
    <t>R1 Narr</t>
  </si>
  <si>
    <t>New Cst Narr</t>
  </si>
  <si>
    <t>R2 Narr</t>
  </si>
  <si>
    <t>R3 Narr</t>
  </si>
  <si>
    <t>Demo Narr</t>
  </si>
  <si>
    <t>Park Narr</t>
  </si>
  <si>
    <t>Mech Narr</t>
  </si>
  <si>
    <t>Oth Inf Narr</t>
  </si>
  <si>
    <t>Acq Narr</t>
  </si>
  <si>
    <t>Explain low contingency ratio (&lt;5%)</t>
  </si>
  <si>
    <t>Explain low contingency (&lt;10%)</t>
  </si>
  <si>
    <t>Explain high contingency (&gt;10%)</t>
  </si>
  <si>
    <t>Explain low FF&amp;E cost ratio (&lt;8%)</t>
  </si>
  <si>
    <t>Cost Ratio Issues</t>
  </si>
  <si>
    <t>Not Eligible</t>
  </si>
  <si>
    <t>Complete TAB 2 before proceeding to TAB 3; complete TAB 3 before proceeding to TAB 4</t>
  </si>
  <si>
    <t>Save an original copy of the blank template before proceeding with entering and saving project information.</t>
  </si>
  <si>
    <t>"Other Soft Costs NEW"</t>
  </si>
  <si>
    <t>"Other Soft Costs Renov"</t>
  </si>
  <si>
    <t>Forest Hills</t>
  </si>
  <si>
    <t>ASF 211</t>
  </si>
  <si>
    <t>ASF 250</t>
  </si>
  <si>
    <t>Util Narr</t>
  </si>
  <si>
    <t>Renov ASF</t>
  </si>
  <si>
    <t>Template Worksheet Cell Color Legend</t>
  </si>
  <si>
    <t>Formula-Populated Cell - automatically populated by completion of entry cells</t>
  </si>
  <si>
    <t>Bldg. Data/Tech. Infrastructure</t>
  </si>
  <si>
    <t>Albany State University</t>
  </si>
  <si>
    <t>New Project</t>
  </si>
  <si>
    <t>Previously Submitted</t>
  </si>
  <si>
    <t>1% - 5%</t>
  </si>
  <si>
    <t>FY 2023</t>
  </si>
  <si>
    <t>G18</t>
  </si>
  <si>
    <t>RE Ventures Financing</t>
  </si>
  <si>
    <t>Plan/Prog</t>
  </si>
  <si>
    <t>Prop Acq</t>
  </si>
  <si>
    <t>SGA</t>
  </si>
  <si>
    <t>EGA</t>
  </si>
  <si>
    <t>Armstrong</t>
  </si>
  <si>
    <t>Gracewood</t>
  </si>
  <si>
    <t>Pre-Planning</t>
  </si>
  <si>
    <t>Project</t>
  </si>
  <si>
    <t>4B - Proposed Project Prioritization and Funding Schedule</t>
  </si>
  <si>
    <t>Total (net Preplan)</t>
  </si>
  <si>
    <t>Total (incl.preplan)</t>
  </si>
  <si>
    <t>PRE-PLANNING FUNDING SOURCES TOTAL MUST EQUAL PREPLANNING BUDGET!</t>
  </si>
  <si>
    <t>Total Budget</t>
  </si>
  <si>
    <t>FY 2024</t>
  </si>
  <si>
    <t>FY 2025</t>
  </si>
  <si>
    <t>FY 2026</t>
  </si>
  <si>
    <t>IF('TAB 4 Project Funding'!F23&lt;&gt;"",'TAB 4 Project Funding'!F23,IF('TAB 4 Project Funding'!H23&lt;&gt;"",'TAB 4 Project Funding'!H23,IF('TAB 4 Project Funding'!J23&lt;&gt;"",'TAB 4 Project Funding'!J23,"")))</t>
  </si>
  <si>
    <t>Convocation Center</t>
  </si>
  <si>
    <t>Research Labs - Dry</t>
  </si>
  <si>
    <t>Burden Factor Range Lookups</t>
  </si>
  <si>
    <t>New Const</t>
  </si>
  <si>
    <t>renov 1</t>
  </si>
  <si>
    <t>Typical Range 1.6-1.7</t>
  </si>
  <si>
    <t>Typical Range 1.65-1.8</t>
  </si>
  <si>
    <t>Typical Range 1.75-1.9</t>
  </si>
  <si>
    <t>Typical Range 1.5-1.6</t>
  </si>
  <si>
    <t>Typical Range 1.55-1.65</t>
  </si>
  <si>
    <t>Typical Range 1.5-1.7</t>
  </si>
  <si>
    <t>Typical Range 1.4-1.5</t>
  </si>
  <si>
    <t>Typical Range 1.2-1.25</t>
  </si>
  <si>
    <t>Typical Range 1.4-1.45</t>
  </si>
  <si>
    <t>OLD</t>
  </si>
  <si>
    <t>Other Special Costs</t>
  </si>
  <si>
    <t>FF&amp;E - Loose Equipment</t>
  </si>
  <si>
    <t>FF&amp;E - AV/Technology Equipment</t>
  </si>
  <si>
    <t>Project Oversight (PM/RCI/Cost Est)</t>
  </si>
  <si>
    <t>Explain high Commissioning cost (&gt;1.5%)</t>
  </si>
  <si>
    <t>Total Project Cost - New Construction</t>
  </si>
  <si>
    <t>Total Project Cost - Renovation</t>
  </si>
  <si>
    <t>Total Project Cost - Demolition</t>
  </si>
  <si>
    <t>Total Project Cost - Infrastructure</t>
  </si>
  <si>
    <t>Total Project Cost - Land/Building Acquisition</t>
  </si>
  <si>
    <t>Building GSF:</t>
  </si>
  <si>
    <t>Renovation GSF</t>
  </si>
  <si>
    <t>Renovation GSF:</t>
  </si>
  <si>
    <t>% GSF In Scope:</t>
  </si>
  <si>
    <t>Design-Bid-Build</t>
  </si>
  <si>
    <t>CM at Risk</t>
  </si>
  <si>
    <t>Design-Build</t>
  </si>
  <si>
    <t>Anticipated Delivery Method</t>
  </si>
  <si>
    <t>FY of Construction Funding</t>
  </si>
  <si>
    <t>Category</t>
  </si>
  <si>
    <t>GO Bond Funded Project</t>
  </si>
  <si>
    <t>Non-GO Bond Project</t>
  </si>
  <si>
    <t>FY of GO Bond Const. Funding</t>
  </si>
  <si>
    <t>FY of GO Bond Funding</t>
  </si>
  <si>
    <t>Total Project Cost</t>
  </si>
  <si>
    <t>GO Bond Funding</t>
  </si>
  <si>
    <t>Non-GO Bond Funding</t>
  </si>
  <si>
    <t>Non-GO                 Priority #</t>
  </si>
  <si>
    <t>Institution SMALL CAP Priority #</t>
  </si>
  <si>
    <t>Institution LARGE CAP Priority #</t>
  </si>
  <si>
    <t>Institution NON-GO Priority #</t>
  </si>
  <si>
    <t>Total GSF Renovated</t>
  </si>
  <si>
    <t>Delivery Method</t>
  </si>
  <si>
    <t>Explain high AV/Tech equip cost (&gt;5%)</t>
  </si>
  <si>
    <t>3C - COST DETAIL BY PROJECT ELEMENT - INFRASTRUCTURE</t>
  </si>
  <si>
    <t>- Narrative necessary to explain project cost details, particularly for issues identified on red print notes within tab</t>
  </si>
  <si>
    <t>G44</t>
  </si>
  <si>
    <t>G45</t>
  </si>
  <si>
    <t>G46</t>
  </si>
  <si>
    <t>G23</t>
  </si>
  <si>
    <t>G75</t>
  </si>
  <si>
    <t>A&amp;E - Special Consultants</t>
  </si>
  <si>
    <t>CM</t>
  </si>
  <si>
    <t>Oversight</t>
  </si>
  <si>
    <t>AE Specia</t>
  </si>
  <si>
    <t>Test/Surve</t>
  </si>
  <si>
    <t>Abatement Reserve</t>
  </si>
  <si>
    <t>3A - COST DETAIL BY PROJECT ELEMENT - CONSTRUCTION</t>
  </si>
  <si>
    <t>3B - COST DETAIL BY PROJECT ELEMENT - FULL BUILDING DEMOLITION</t>
  </si>
  <si>
    <t>3D- COST DETAIL BY PROJECT ELEMENT - ACQUISITION</t>
  </si>
  <si>
    <t>PROPOSED GO BONDS EXCEED SMALL CAP LIMIT</t>
  </si>
  <si>
    <t>PROPOSED GO BONDS ARE WITHIN SMALL CAP LIMIT</t>
  </si>
  <si>
    <t>Small Cap                     Priority #</t>
  </si>
  <si>
    <t>Renovation - Building # 1</t>
  </si>
  <si>
    <t>(Primary Building to be renovated)</t>
  </si>
  <si>
    <t>Renovation - Building # 2</t>
  </si>
  <si>
    <t>Renovation - Building # 3</t>
  </si>
  <si>
    <t>Error</t>
  </si>
  <si>
    <t>CM at Risk is most common method for Large Caps</t>
  </si>
  <si>
    <t>CCGA</t>
  </si>
  <si>
    <t>CCRF (Marietta)</t>
  </si>
  <si>
    <t>RI %</t>
  </si>
  <si>
    <t>Owner:</t>
  </si>
  <si>
    <t>SETID</t>
  </si>
  <si>
    <t>03000</t>
  </si>
  <si>
    <t>09000</t>
  </si>
  <si>
    <t>12000</t>
  </si>
  <si>
    <t>18000</t>
  </si>
  <si>
    <t>22000</t>
  </si>
  <si>
    <t>28000</t>
  </si>
  <si>
    <t>30000</t>
  </si>
  <si>
    <t>33000</t>
  </si>
  <si>
    <t>36000</t>
  </si>
  <si>
    <t>39000</t>
  </si>
  <si>
    <t>40000</t>
  </si>
  <si>
    <t>42000</t>
  </si>
  <si>
    <t>43000</t>
  </si>
  <si>
    <t>48000</t>
  </si>
  <si>
    <t>51000</t>
  </si>
  <si>
    <t>53000</t>
  </si>
  <si>
    <t>54000</t>
  </si>
  <si>
    <t>57000</t>
  </si>
  <si>
    <t>61000</t>
  </si>
  <si>
    <t>63000</t>
  </si>
  <si>
    <t>69000</t>
  </si>
  <si>
    <t>72000</t>
  </si>
  <si>
    <t>73000</t>
  </si>
  <si>
    <t>76000</t>
  </si>
  <si>
    <t>83000</t>
  </si>
  <si>
    <t>88000</t>
  </si>
  <si>
    <t>INST</t>
  </si>
  <si>
    <t>BUILDING_CODE</t>
  </si>
  <si>
    <t>BUILDING_NAME</t>
  </si>
  <si>
    <t>GROSS_SQ_FT</t>
  </si>
  <si>
    <t>INITCONSTRUCTION_YR</t>
  </si>
  <si>
    <t>LASTRENOVATION_YR</t>
  </si>
  <si>
    <t>OWNERSHIP_CODE</t>
  </si>
  <si>
    <t>0062</t>
  </si>
  <si>
    <t>Pumping Station</t>
  </si>
  <si>
    <t>1</t>
  </si>
  <si>
    <t>0155</t>
  </si>
  <si>
    <t>505 Tenth St</t>
  </si>
  <si>
    <t>0772</t>
  </si>
  <si>
    <t>NEETRAC MG</t>
  </si>
  <si>
    <t>0807</t>
  </si>
  <si>
    <t>4</t>
  </si>
  <si>
    <t>083C</t>
  </si>
  <si>
    <t>Storerm Annex</t>
  </si>
  <si>
    <t>0168</t>
  </si>
  <si>
    <t>Chandler Stadium</t>
  </si>
  <si>
    <t>2</t>
  </si>
  <si>
    <t>051D</t>
  </si>
  <si>
    <t>Rich (Comp Ctr)</t>
  </si>
  <si>
    <t>0849</t>
  </si>
  <si>
    <t>0013</t>
  </si>
  <si>
    <t>Cloudman Res Hal</t>
  </si>
  <si>
    <t>0066</t>
  </si>
  <si>
    <t>Cherry Emerson</t>
  </si>
  <si>
    <t>0178</t>
  </si>
  <si>
    <t>103A</t>
  </si>
  <si>
    <t>Boggs Storage</t>
  </si>
  <si>
    <t>803A</t>
  </si>
  <si>
    <t>868B</t>
  </si>
  <si>
    <t>0176</t>
  </si>
  <si>
    <t>0200</t>
  </si>
  <si>
    <t>FB Practice Fac</t>
  </si>
  <si>
    <t>0009</t>
  </si>
  <si>
    <t>Burge Parking Dk</t>
  </si>
  <si>
    <t>0011</t>
  </si>
  <si>
    <t>Harris Res. Hall</t>
  </si>
  <si>
    <t>0016</t>
  </si>
  <si>
    <t>Glenn Res Hall</t>
  </si>
  <si>
    <t>0081</t>
  </si>
  <si>
    <t>Howey (Physics)</t>
  </si>
  <si>
    <t>0882</t>
  </si>
  <si>
    <t>818 J Lowery Blv</t>
  </si>
  <si>
    <t>0077</t>
  </si>
  <si>
    <t>Gilbert Library</t>
  </si>
  <si>
    <t>0131</t>
  </si>
  <si>
    <t>Crecine Res Hall</t>
  </si>
  <si>
    <t>0058</t>
  </si>
  <si>
    <t>Old Civil Eng</t>
  </si>
  <si>
    <t>0181</t>
  </si>
  <si>
    <t>Nanotech Res</t>
  </si>
  <si>
    <t>9</t>
  </si>
  <si>
    <t>0210</t>
  </si>
  <si>
    <t>KENDEDA</t>
  </si>
  <si>
    <t>0215</t>
  </si>
  <si>
    <t>0003</t>
  </si>
  <si>
    <t>Alumni House</t>
  </si>
  <si>
    <t>0790</t>
  </si>
  <si>
    <t>830A</t>
  </si>
  <si>
    <t>0785</t>
  </si>
  <si>
    <t>0020</t>
  </si>
  <si>
    <t>WREK Transmitter</t>
  </si>
  <si>
    <t>0022</t>
  </si>
  <si>
    <t>Daniel Lab</t>
  </si>
  <si>
    <t>0052</t>
  </si>
  <si>
    <t>Grad Living Ctr</t>
  </si>
  <si>
    <t>0103</t>
  </si>
  <si>
    <t>Boggs</t>
  </si>
  <si>
    <t>0138</t>
  </si>
  <si>
    <t>811 Marietta St.</t>
  </si>
  <si>
    <t>0165</t>
  </si>
  <si>
    <t>U.A. Whitaker</t>
  </si>
  <si>
    <t>0775</t>
  </si>
  <si>
    <t>NEETRAC MVL</t>
  </si>
  <si>
    <t>0162</t>
  </si>
  <si>
    <t>CRC Parking Dk</t>
  </si>
  <si>
    <t>0776</t>
  </si>
  <si>
    <t>Sample Prep Bldg</t>
  </si>
  <si>
    <t>0879</t>
  </si>
  <si>
    <t>0024</t>
  </si>
  <si>
    <t>D M Smith</t>
  </si>
  <si>
    <t>0074</t>
  </si>
  <si>
    <t>Bradley</t>
  </si>
  <si>
    <t>0173</t>
  </si>
  <si>
    <t>760 Spring St</t>
  </si>
  <si>
    <t>0041</t>
  </si>
  <si>
    <t>Engr Sci &amp; Mech</t>
  </si>
  <si>
    <t>0126</t>
  </si>
  <si>
    <t>Callaway MaRC</t>
  </si>
  <si>
    <t>0777</t>
  </si>
  <si>
    <t>NEETRAC MDL</t>
  </si>
  <si>
    <t>0897</t>
  </si>
  <si>
    <t>0030</t>
  </si>
  <si>
    <t>A French</t>
  </si>
  <si>
    <t>0132</t>
  </si>
  <si>
    <t>Center St Apts</t>
  </si>
  <si>
    <t>0709</t>
  </si>
  <si>
    <t>162 Fourth St.</t>
  </si>
  <si>
    <t>0763</t>
  </si>
  <si>
    <t>CCRF Bldg B12</t>
  </si>
  <si>
    <t>0877</t>
  </si>
  <si>
    <t>0147</t>
  </si>
  <si>
    <t>Ford ES&amp;T</t>
  </si>
  <si>
    <t>033A</t>
  </si>
  <si>
    <t>OKeefe-Gym</t>
  </si>
  <si>
    <t>0844</t>
  </si>
  <si>
    <t>0217</t>
  </si>
  <si>
    <t>0764</t>
  </si>
  <si>
    <t>CCRF Bldg B13</t>
  </si>
  <si>
    <t>0094</t>
  </si>
  <si>
    <t>Hopkins Res Hall</t>
  </si>
  <si>
    <t>0158</t>
  </si>
  <si>
    <t>Dig Fab Lab</t>
  </si>
  <si>
    <t>051A</t>
  </si>
  <si>
    <t>Hinman Add</t>
  </si>
  <si>
    <t>0039</t>
  </si>
  <si>
    <t>Swann</t>
  </si>
  <si>
    <t>0602</t>
  </si>
  <si>
    <t>GT-Sav PARB</t>
  </si>
  <si>
    <t>0161</t>
  </si>
  <si>
    <t>0801</t>
  </si>
  <si>
    <t>0093</t>
  </si>
  <si>
    <t>Hanson Res Hall</t>
  </si>
  <si>
    <t>0099</t>
  </si>
  <si>
    <t>Baker</t>
  </si>
  <si>
    <t>0045</t>
  </si>
  <si>
    <t>J S Coon</t>
  </si>
  <si>
    <t>029B</t>
  </si>
  <si>
    <t>Emerson</t>
  </si>
  <si>
    <t>0047</t>
  </si>
  <si>
    <t>Wardlaw Center</t>
  </si>
  <si>
    <t>0051</t>
  </si>
  <si>
    <t>Hinman</t>
  </si>
  <si>
    <t>0075</t>
  </si>
  <si>
    <t>Arch (West)</t>
  </si>
  <si>
    <t>0117</t>
  </si>
  <si>
    <t>Freeman Res Hall</t>
  </si>
  <si>
    <t>0151</t>
  </si>
  <si>
    <t>Combust Lab</t>
  </si>
  <si>
    <t>0172</t>
  </si>
  <si>
    <t>Coll of Business</t>
  </si>
  <si>
    <t>0207</t>
  </si>
  <si>
    <t>073A</t>
  </si>
  <si>
    <t>Luck</t>
  </si>
  <si>
    <t>0141</t>
  </si>
  <si>
    <t>GTRI HQ</t>
  </si>
  <si>
    <t>0142</t>
  </si>
  <si>
    <t>Human Resources</t>
  </si>
  <si>
    <t>033C</t>
  </si>
  <si>
    <t>O'Keefe Storage</t>
  </si>
  <si>
    <t>061A</t>
  </si>
  <si>
    <t>430 10th St (S)</t>
  </si>
  <si>
    <t>067A</t>
  </si>
  <si>
    <t>Fac Storage</t>
  </si>
  <si>
    <t>0880</t>
  </si>
  <si>
    <t>0015</t>
  </si>
  <si>
    <t>Towers Res Hall</t>
  </si>
  <si>
    <t>0085</t>
  </si>
  <si>
    <t>Van Leer (EE)</t>
  </si>
  <si>
    <t>0091</t>
  </si>
  <si>
    <t>Matheson Res Hal</t>
  </si>
  <si>
    <t>0118</t>
  </si>
  <si>
    <t>Montag Res Hall</t>
  </si>
  <si>
    <t>0123</t>
  </si>
  <si>
    <t>Student Services</t>
  </si>
  <si>
    <t>0175</t>
  </si>
  <si>
    <t>Tech Sq Research</t>
  </si>
  <si>
    <t>0177</t>
  </si>
  <si>
    <t>Stu Health Ctr</t>
  </si>
  <si>
    <t>0184</t>
  </si>
  <si>
    <t>831 Marietta St.</t>
  </si>
  <si>
    <t>0204</t>
  </si>
  <si>
    <t>Dalney Office</t>
  </si>
  <si>
    <t>023A</t>
  </si>
  <si>
    <t>220 Bobby Dodd Way</t>
  </si>
  <si>
    <t>0174</t>
  </si>
  <si>
    <t>Tech Sq Pkg Dk</t>
  </si>
  <si>
    <t>0186</t>
  </si>
  <si>
    <t>755 Marietta St.</t>
  </si>
  <si>
    <t>0199</t>
  </si>
  <si>
    <t>C-NES Lab</t>
  </si>
  <si>
    <t>060A</t>
  </si>
  <si>
    <t>Caddell</t>
  </si>
  <si>
    <t>0864</t>
  </si>
  <si>
    <t>822B</t>
  </si>
  <si>
    <t>0134</t>
  </si>
  <si>
    <t>Fourth St Houses</t>
  </si>
  <si>
    <t>0090</t>
  </si>
  <si>
    <t>Field Res Hall</t>
  </si>
  <si>
    <t>0144</t>
  </si>
  <si>
    <t>Love</t>
  </si>
  <si>
    <t>0152</t>
  </si>
  <si>
    <t>Aware Home</t>
  </si>
  <si>
    <t>812A</t>
  </si>
  <si>
    <t>840A</t>
  </si>
  <si>
    <t>158A</t>
  </si>
  <si>
    <t>GTRI MS</t>
  </si>
  <si>
    <t>0110</t>
  </si>
  <si>
    <t>Folk Res Hal</t>
  </si>
  <si>
    <t>0179</t>
  </si>
  <si>
    <t>0180</t>
  </si>
  <si>
    <t>Family Apts</t>
  </si>
  <si>
    <t>0189</t>
  </si>
  <si>
    <t>Sub Ctl Hse</t>
  </si>
  <si>
    <t>874B</t>
  </si>
  <si>
    <t>813B</t>
  </si>
  <si>
    <t>0095</t>
  </si>
  <si>
    <t>MiRC</t>
  </si>
  <si>
    <t>0160</t>
  </si>
  <si>
    <t>CRC</t>
  </si>
  <si>
    <t>0803</t>
  </si>
  <si>
    <t>0017</t>
  </si>
  <si>
    <t>Dodd Stadium</t>
  </si>
  <si>
    <t>0025</t>
  </si>
  <si>
    <t>Chapin</t>
  </si>
  <si>
    <t>0100</t>
  </si>
  <si>
    <t>Crosland Tower</t>
  </si>
  <si>
    <t>0104</t>
  </si>
  <si>
    <t>0125</t>
  </si>
  <si>
    <t>SREB</t>
  </si>
  <si>
    <t>0198</t>
  </si>
  <si>
    <t>Acad of Medicine</t>
  </si>
  <si>
    <t>0804</t>
  </si>
  <si>
    <t>0026</t>
  </si>
  <si>
    <t>Holland Plant</t>
  </si>
  <si>
    <t>0061</t>
  </si>
  <si>
    <t>430 10th St (N)</t>
  </si>
  <si>
    <t>0067</t>
  </si>
  <si>
    <t>Garage-Warehouse</t>
  </si>
  <si>
    <t>0012</t>
  </si>
  <si>
    <t>Brittain Dining</t>
  </si>
  <si>
    <t>0140</t>
  </si>
  <si>
    <t>Aquatic Ctr</t>
  </si>
  <si>
    <t>0191</t>
  </si>
  <si>
    <t>North Ave Apts</t>
  </si>
  <si>
    <t>0603</t>
  </si>
  <si>
    <t>GT-Sav EDRB</t>
  </si>
  <si>
    <t>073B</t>
  </si>
  <si>
    <t>Zelnak BB Ctr</t>
  </si>
  <si>
    <t>0876</t>
  </si>
  <si>
    <t>0881</t>
  </si>
  <si>
    <t>Lib Service Ctr</t>
  </si>
  <si>
    <t>0014</t>
  </si>
  <si>
    <t>Harrison Res Hal</t>
  </si>
  <si>
    <t>0848</t>
  </si>
  <si>
    <t>0201</t>
  </si>
  <si>
    <t>Challnge Crs Pav</t>
  </si>
  <si>
    <t>864C</t>
  </si>
  <si>
    <t>0033</t>
  </si>
  <si>
    <t>OKeefe-Main</t>
  </si>
  <si>
    <t>0185</t>
  </si>
  <si>
    <t>Strng St Gatehse</t>
  </si>
  <si>
    <t>0895</t>
  </si>
  <si>
    <t>771A</t>
  </si>
  <si>
    <t>NEETRAC Admin&amp;MVL</t>
  </si>
  <si>
    <t>0040</t>
  </si>
  <si>
    <t>Guggenheim (AE)</t>
  </si>
  <si>
    <t>0084</t>
  </si>
  <si>
    <t>Weber SST1</t>
  </si>
  <si>
    <t>033B</t>
  </si>
  <si>
    <t>Women's Locker</t>
  </si>
  <si>
    <t>071A</t>
  </si>
  <si>
    <t>Grounds-Pres Hm</t>
  </si>
  <si>
    <t>0838</t>
  </si>
  <si>
    <t>864A</t>
  </si>
  <si>
    <t>0166</t>
  </si>
  <si>
    <t>Clough</t>
  </si>
  <si>
    <t>0216</t>
  </si>
  <si>
    <t>0894</t>
  </si>
  <si>
    <t>0865</t>
  </si>
  <si>
    <t>0071</t>
  </si>
  <si>
    <t>Presidents Home</t>
  </si>
  <si>
    <t>0107</t>
  </si>
  <si>
    <t>Hefner Res Hall</t>
  </si>
  <si>
    <t>0108</t>
  </si>
  <si>
    <t>Armstrong Res Ha</t>
  </si>
  <si>
    <t>0196</t>
  </si>
  <si>
    <t>Softball Stadium</t>
  </si>
  <si>
    <t>051F</t>
  </si>
  <si>
    <t>Rich Chiller</t>
  </si>
  <si>
    <t>805A</t>
  </si>
  <si>
    <t>819B</t>
  </si>
  <si>
    <t>0101</t>
  </si>
  <si>
    <t>Knight SST2</t>
  </si>
  <si>
    <t>0130</t>
  </si>
  <si>
    <t>Eighth St Apts</t>
  </si>
  <si>
    <t>0203</t>
  </si>
  <si>
    <t>Byers Tennis</t>
  </si>
  <si>
    <t>0018</t>
  </si>
  <si>
    <t>0171</t>
  </si>
  <si>
    <t>Hotel Retail</t>
  </si>
  <si>
    <t>856A</t>
  </si>
  <si>
    <t>0055</t>
  </si>
  <si>
    <t>Instruction Ctr</t>
  </si>
  <si>
    <t>0092</t>
  </si>
  <si>
    <t>Perry Res Hall</t>
  </si>
  <si>
    <t>0106</t>
  </si>
  <si>
    <t>Fulmer Res Hall</t>
  </si>
  <si>
    <t>0190</t>
  </si>
  <si>
    <t>NAA South Pkg Dk</t>
  </si>
  <si>
    <t>0002</t>
  </si>
  <si>
    <t>Skiles</t>
  </si>
  <si>
    <t>0119</t>
  </si>
  <si>
    <t>Fitten Res Hall</t>
  </si>
  <si>
    <t>0124</t>
  </si>
  <si>
    <t>Ferst Theater</t>
  </si>
  <si>
    <t>0164</t>
  </si>
  <si>
    <t>Business Svcs</t>
  </si>
  <si>
    <t>016A</t>
  </si>
  <si>
    <t>GT Connector</t>
  </si>
  <si>
    <t>0211</t>
  </si>
  <si>
    <t>GTPD</t>
  </si>
  <si>
    <t>0116</t>
  </si>
  <si>
    <t>Woodruff Res Hal</t>
  </si>
  <si>
    <t>816A</t>
  </si>
  <si>
    <t>859A</t>
  </si>
  <si>
    <t>0056</t>
  </si>
  <si>
    <t>Groseclose ISyE</t>
  </si>
  <si>
    <t>0073</t>
  </si>
  <si>
    <t>McCamish Pav</t>
  </si>
  <si>
    <t>0115</t>
  </si>
  <si>
    <t>Couch</t>
  </si>
  <si>
    <t>0145</t>
  </si>
  <si>
    <t>SEB</t>
  </si>
  <si>
    <t>022A</t>
  </si>
  <si>
    <t>Daniel Lab Addn</t>
  </si>
  <si>
    <t>029C</t>
  </si>
  <si>
    <t>Lyman/Emers Addn</t>
  </si>
  <si>
    <t>0153</t>
  </si>
  <si>
    <t>Klaus ACB</t>
  </si>
  <si>
    <t>0156</t>
  </si>
  <si>
    <t>845 Marietta St.</t>
  </si>
  <si>
    <t>0780</t>
  </si>
  <si>
    <t>0806</t>
  </si>
  <si>
    <t>141B</t>
  </si>
  <si>
    <t>14th St Pkg Deck</t>
  </si>
  <si>
    <t>0133</t>
  </si>
  <si>
    <t>10th St Chiller</t>
  </si>
  <si>
    <t>0167</t>
  </si>
  <si>
    <t>MS&amp;E</t>
  </si>
  <si>
    <t>0187</t>
  </si>
  <si>
    <t>793 Marietta St.</t>
  </si>
  <si>
    <t>0771</t>
  </si>
  <si>
    <t>NEETRAC Hi Volt</t>
  </si>
  <si>
    <t>0137</t>
  </si>
  <si>
    <t>141A</t>
  </si>
  <si>
    <t>0010</t>
  </si>
  <si>
    <t>Howell Res. Hall</t>
  </si>
  <si>
    <t>0036</t>
  </si>
  <si>
    <t>Carnegie</t>
  </si>
  <si>
    <t>0072</t>
  </si>
  <si>
    <t>Brittain T Room</t>
  </si>
  <si>
    <t>0086</t>
  </si>
  <si>
    <t>Bunger-Henry</t>
  </si>
  <si>
    <t>0129</t>
  </si>
  <si>
    <t>Paper Tricentenn</t>
  </si>
  <si>
    <t>0212</t>
  </si>
  <si>
    <t>CRC Storage Bldg</t>
  </si>
  <si>
    <t>0802</t>
  </si>
  <si>
    <t>0195</t>
  </si>
  <si>
    <t>Krone EBB</t>
  </si>
  <si>
    <t>0035</t>
  </si>
  <si>
    <t>Administration</t>
  </si>
  <si>
    <t>0065</t>
  </si>
  <si>
    <t>Maulding/Zbar</t>
  </si>
  <si>
    <t>0111</t>
  </si>
  <si>
    <t>Mason (CE)</t>
  </si>
  <si>
    <t>0139</t>
  </si>
  <si>
    <t>Curran St Pkg Dk</t>
  </si>
  <si>
    <t>133A</t>
  </si>
  <si>
    <t>10th St Chlr Add</t>
  </si>
  <si>
    <t>0054</t>
  </si>
  <si>
    <t>Student Ctr Deck</t>
  </si>
  <si>
    <t>0761</t>
  </si>
  <si>
    <t>CCRF Bldg B10</t>
  </si>
  <si>
    <t>0773</t>
  </si>
  <si>
    <t>NEETRAC Forensics</t>
  </si>
  <si>
    <t>0805</t>
  </si>
  <si>
    <t>066A</t>
  </si>
  <si>
    <t>C Emerson Addn</t>
  </si>
  <si>
    <t>0720</t>
  </si>
  <si>
    <t>Heffernan House</t>
  </si>
  <si>
    <t>0136</t>
  </si>
  <si>
    <t>Tech Way</t>
  </si>
  <si>
    <t>051B</t>
  </si>
  <si>
    <t>Calculator</t>
  </si>
  <si>
    <t>0006</t>
  </si>
  <si>
    <t>Smith Res Hall</t>
  </si>
  <si>
    <t>0057</t>
  </si>
  <si>
    <t>ISyE Main</t>
  </si>
  <si>
    <t>0159</t>
  </si>
  <si>
    <t>Foodpac</t>
  </si>
  <si>
    <t>0762</t>
  </si>
  <si>
    <t>CCRF Bldg B11</t>
  </si>
  <si>
    <t>0855</t>
  </si>
  <si>
    <t>0032</t>
  </si>
  <si>
    <t>ACC Network</t>
  </si>
  <si>
    <t>0038</t>
  </si>
  <si>
    <t>Savant</t>
  </si>
  <si>
    <t>0169</t>
  </si>
  <si>
    <t>0209</t>
  </si>
  <si>
    <t>W Village Dining</t>
  </si>
  <si>
    <t>0832</t>
  </si>
  <si>
    <t>0007</t>
  </si>
  <si>
    <t>Brown Res Hall</t>
  </si>
  <si>
    <t>0135</t>
  </si>
  <si>
    <t>MRDC</t>
  </si>
  <si>
    <t>0059</t>
  </si>
  <si>
    <t>Stephen C. Hall</t>
  </si>
  <si>
    <t>0076</t>
  </si>
  <si>
    <t>Arch (East)</t>
  </si>
  <si>
    <t>0601</t>
  </si>
  <si>
    <t>GT-Sav ELAB</t>
  </si>
  <si>
    <t>0883</t>
  </si>
  <si>
    <t>807A</t>
  </si>
  <si>
    <t>0170</t>
  </si>
  <si>
    <t>Global Lrn Ctr</t>
  </si>
  <si>
    <t>0182</t>
  </si>
  <si>
    <t>Fam Apts Pkg Dk</t>
  </si>
  <si>
    <t>0149</t>
  </si>
  <si>
    <t>Structures Lab</t>
  </si>
  <si>
    <t>155B</t>
  </si>
  <si>
    <t>505 Tenth St Addn</t>
  </si>
  <si>
    <t>0031</t>
  </si>
  <si>
    <t>Success Center</t>
  </si>
  <si>
    <t>0109</t>
  </si>
  <si>
    <t>Caldwell Res Hal</t>
  </si>
  <si>
    <t>0148</t>
  </si>
  <si>
    <t>N Campus Pkg Dk</t>
  </si>
  <si>
    <t>029A</t>
  </si>
  <si>
    <t>Lyman Hall</t>
  </si>
  <si>
    <t>0823</t>
  </si>
  <si>
    <t>7</t>
  </si>
  <si>
    <t>0850</t>
  </si>
  <si>
    <t>018A</t>
  </si>
  <si>
    <t>0008</t>
  </si>
  <si>
    <t>Peters Parkng Dk</t>
  </si>
  <si>
    <t>0050</t>
  </si>
  <si>
    <t>Computing (COC)</t>
  </si>
  <si>
    <t>0205</t>
  </si>
  <si>
    <t>Dalney Parking</t>
  </si>
  <si>
    <t>051C</t>
  </si>
  <si>
    <t>Rich (Old)</t>
  </si>
  <si>
    <t>0064</t>
  </si>
  <si>
    <t>Ugrad Living Ctr</t>
  </si>
  <si>
    <t>0098</t>
  </si>
  <si>
    <t>Weber Clrm SST3</t>
  </si>
  <si>
    <t>0105</t>
  </si>
  <si>
    <t>Commander</t>
  </si>
  <si>
    <t>0146</t>
  </si>
  <si>
    <t>Biotechnology</t>
  </si>
  <si>
    <t>8</t>
  </si>
  <si>
    <t>0163</t>
  </si>
  <si>
    <t>645 Northside Dr</t>
  </si>
  <si>
    <t>821B</t>
  </si>
  <si>
    <t>N004</t>
  </si>
  <si>
    <t>BLDG ND (Classroom)</t>
  </si>
  <si>
    <t>0068</t>
  </si>
  <si>
    <t>P007</t>
  </si>
  <si>
    <t>FACILITIES GROUNDS MAINT BLDG</t>
  </si>
  <si>
    <t>58 EDGEWOOD BUILDING</t>
  </si>
  <si>
    <t>0021</t>
  </si>
  <si>
    <t>DAHLBERG HALL</t>
  </si>
  <si>
    <t>L002</t>
  </si>
  <si>
    <t>LRC LANSON BUILDING</t>
  </si>
  <si>
    <t>P001</t>
  </si>
  <si>
    <t>SOFTBALL RESTROOMS BLDG</t>
  </si>
  <si>
    <t>S004</t>
  </si>
  <si>
    <t>BLDG SD (Plant Operations)</t>
  </si>
  <si>
    <t>K001</t>
  </si>
  <si>
    <t>INDIAN CREEK LODGE BLDG</t>
  </si>
  <si>
    <t>P006</t>
  </si>
  <si>
    <t>SOFTBALL INDOOR PRACTICE FIELD</t>
  </si>
  <si>
    <t>K003</t>
  </si>
  <si>
    <t>ICL ROPE COURSE ADMIN BLDG</t>
  </si>
  <si>
    <t>P016</t>
  </si>
  <si>
    <t>BASEBALL RESTROOOMS BLDG</t>
  </si>
  <si>
    <t>R010</t>
  </si>
  <si>
    <t>0102</t>
  </si>
  <si>
    <t>55 PARK PLACE BLDG</t>
  </si>
  <si>
    <t>LIBRARY SOUTH</t>
  </si>
  <si>
    <t>A001</t>
  </si>
  <si>
    <t>BLDG AA (Classrm/Office Bldg)</t>
  </si>
  <si>
    <t>R005</t>
  </si>
  <si>
    <t>STUDENT CENTER EAST</t>
  </si>
  <si>
    <t>CENTER PARC STADIUM AT GSU</t>
  </si>
  <si>
    <t>SPARKS HALL</t>
  </si>
  <si>
    <t>COURTLAND BUILDING</t>
  </si>
  <si>
    <t>COURTLAND NORTH</t>
  </si>
  <si>
    <t>40 PRYOR BUILDING</t>
  </si>
  <si>
    <t>RESEARCH SCIENCE CENTER</t>
  </si>
  <si>
    <t>SCIENCE ANNEX</t>
  </si>
  <si>
    <t>P010</t>
  </si>
  <si>
    <t>RECREATION STORAGE BLDG</t>
  </si>
  <si>
    <t>0087</t>
  </si>
  <si>
    <t>188 MLK BLDG</t>
  </si>
  <si>
    <t>K007</t>
  </si>
  <si>
    <t>ICL DRESSING ROOM BUILDING</t>
  </si>
  <si>
    <t>P004</t>
  </si>
  <si>
    <t>SOFTBALL EQUIP STORAGE BLDG 1</t>
  </si>
  <si>
    <t>P009</t>
  </si>
  <si>
    <t>FACILITIES TOOL SHOP BLDG</t>
  </si>
  <si>
    <t>P011</t>
  </si>
  <si>
    <t>RECREATION RESTROOMS BLDG</t>
  </si>
  <si>
    <t>S002</t>
  </si>
  <si>
    <t>BLDG SB (Main Classroom)</t>
  </si>
  <si>
    <t>SPORTS ARENA</t>
  </si>
  <si>
    <t>E003</t>
  </si>
  <si>
    <t>BLDG 3N (Recreation Bldg.)</t>
  </si>
  <si>
    <t>H001</t>
  </si>
  <si>
    <t>HARD LABOR CREEK MAIN BLDG</t>
  </si>
  <si>
    <t>R011</t>
  </si>
  <si>
    <t>N013</t>
  </si>
  <si>
    <t>BLDG NU (Parking Deck)</t>
  </si>
  <si>
    <t>C008</t>
  </si>
  <si>
    <t>BLDG CH (Math / Nursing)</t>
  </si>
  <si>
    <t>C010</t>
  </si>
  <si>
    <t>BLDG CJ (Protective Services)</t>
  </si>
  <si>
    <t>H003</t>
  </si>
  <si>
    <t>HARD LABOR CREEK TELESCOPE</t>
  </si>
  <si>
    <t>C003</t>
  </si>
  <si>
    <t>BLDG CC (Science/Computer)</t>
  </si>
  <si>
    <t>N001</t>
  </si>
  <si>
    <t>BLDG NA (Administration)</t>
  </si>
  <si>
    <t>PARKING DECK N</t>
  </si>
  <si>
    <t>C013</t>
  </si>
  <si>
    <t>BLDG CN (Student Center)</t>
  </si>
  <si>
    <t>P014</t>
  </si>
  <si>
    <t>SOCCER PRESSBOX BLDG</t>
  </si>
  <si>
    <t>0037</t>
  </si>
  <si>
    <t>HAAS HOWELL BLDG</t>
  </si>
  <si>
    <t>GSU CAULDRON (Olympic Torch)</t>
  </si>
  <si>
    <t>C004</t>
  </si>
  <si>
    <t>BLDG CD (Science)</t>
  </si>
  <si>
    <t>STANDARD BLDG</t>
  </si>
  <si>
    <t>C009</t>
  </si>
  <si>
    <t>BLDG CI (Nursing / Corp. Dev)</t>
  </si>
  <si>
    <t>C007</t>
  </si>
  <si>
    <t>BLDG CG (Physical Education)</t>
  </si>
  <si>
    <t>R004</t>
  </si>
  <si>
    <t>0082</t>
  </si>
  <si>
    <t>75 PIEDMONT PARKDK</t>
  </si>
  <si>
    <t>K006</t>
  </si>
  <si>
    <t>ICL LIFE GUARD HOUSE</t>
  </si>
  <si>
    <t>PIEDMONT NORTH A</t>
  </si>
  <si>
    <t>COL OF EDUCATION</t>
  </si>
  <si>
    <t>N008</t>
  </si>
  <si>
    <t>BLDG NN (Plant Operations)</t>
  </si>
  <si>
    <t>P012</t>
  </si>
  <si>
    <t>RECREATION EQUIP STORAGE BLDG</t>
  </si>
  <si>
    <t>N003</t>
  </si>
  <si>
    <t>BLDG NC (Science)</t>
  </si>
  <si>
    <t>S001</t>
  </si>
  <si>
    <t>BLDG SA (Administration)</t>
  </si>
  <si>
    <t>N005</t>
  </si>
  <si>
    <t>BLDG NE (Classroom &amp; Office)</t>
  </si>
  <si>
    <t>P008</t>
  </si>
  <si>
    <t>SOFTBALL PRESSBOX BLDG</t>
  </si>
  <si>
    <t>PARKING DECK T</t>
  </si>
  <si>
    <t>R007</t>
  </si>
  <si>
    <t>SPECIAL INTER HOUS</t>
  </si>
  <si>
    <t>ART &amp; HUMANITIES B</t>
  </si>
  <si>
    <t>PARKING DECK M</t>
  </si>
  <si>
    <t>R003</t>
  </si>
  <si>
    <t>R006</t>
  </si>
  <si>
    <t>S008</t>
  </si>
  <si>
    <t>BLDG SH (Classrooms)</t>
  </si>
  <si>
    <t>GSU LOFTS PARKING</t>
  </si>
  <si>
    <t>P015</t>
  </si>
  <si>
    <t>BASEBALL LOCKER ROOMS BLDG</t>
  </si>
  <si>
    <t>Z001</t>
  </si>
  <si>
    <t>0097</t>
  </si>
  <si>
    <t>60 PIEDMONT BLDG</t>
  </si>
  <si>
    <t>STUDENT CENTER WEST</t>
  </si>
  <si>
    <t>URBAN LIFE BLDG</t>
  </si>
  <si>
    <t>H002</t>
  </si>
  <si>
    <t>HARD LABOR CREEK SHED</t>
  </si>
  <si>
    <t>N009</t>
  </si>
  <si>
    <t>BLDG NT (Faculty Offices)</t>
  </si>
  <si>
    <t>S003</t>
  </si>
  <si>
    <t>BLDG SC (Physical Education)</t>
  </si>
  <si>
    <t>0080</t>
  </si>
  <si>
    <t>25 PARK PLACE BUILDING</t>
  </si>
  <si>
    <t>N007</t>
  </si>
  <si>
    <t>BLDG NI (Protective Services)</t>
  </si>
  <si>
    <t>0083</t>
  </si>
  <si>
    <t>75 PIEDMONT BLDG</t>
  </si>
  <si>
    <t>NOAH LANGDALE HALL</t>
  </si>
  <si>
    <t>P005</t>
  </si>
  <si>
    <t>SOFTBALL EQUIP STORAGE BLDG 2</t>
  </si>
  <si>
    <t>0004</t>
  </si>
  <si>
    <t>LIBRARY NORTH</t>
  </si>
  <si>
    <t>PARKING DECK S</t>
  </si>
  <si>
    <t>A002</t>
  </si>
  <si>
    <t>BLDG AB (Classrm/Office Bldg)</t>
  </si>
  <si>
    <t>R008</t>
  </si>
  <si>
    <t>S006</t>
  </si>
  <si>
    <t>BLDG SF (Student Success)</t>
  </si>
  <si>
    <t>PARKING DECK A</t>
  </si>
  <si>
    <t>0019</t>
  </si>
  <si>
    <t>PARKING DECK K</t>
  </si>
  <si>
    <t>J. MACK ROBINSON</t>
  </si>
  <si>
    <t>C006</t>
  </si>
  <si>
    <t>BLDG CF (Fine Arts)</t>
  </si>
  <si>
    <t>L004</t>
  </si>
  <si>
    <t>LRC CAGE WASH/MAINTENANCE BLDG</t>
  </si>
  <si>
    <t>N002</t>
  </si>
  <si>
    <t>BLDG NB (Student Center)</t>
  </si>
  <si>
    <t>P002</t>
  </si>
  <si>
    <t>SOFTBALL STORAGE BLDG</t>
  </si>
  <si>
    <t>25 AUBURN BLDG</t>
  </si>
  <si>
    <t>C012</t>
  </si>
  <si>
    <t>BLDG CM (Plant Operations)</t>
  </si>
  <si>
    <t>E002</t>
  </si>
  <si>
    <t>BLDG 2N (Student Lrning Ctr)</t>
  </si>
  <si>
    <t>PIEDMONT NORTH B</t>
  </si>
  <si>
    <t>C014</t>
  </si>
  <si>
    <t>BLDG CS (Auxilary Services)</t>
  </si>
  <si>
    <t>SPORTS ANNEX</t>
  </si>
  <si>
    <t>C001</t>
  </si>
  <si>
    <t>BLDG CA (Int'l Center/ESL-FL)</t>
  </si>
  <si>
    <t>S007</t>
  </si>
  <si>
    <t>BLDG SG (Protective Services)</t>
  </si>
  <si>
    <t>N006</t>
  </si>
  <si>
    <t>BLDG NF (Physical Education)</t>
  </si>
  <si>
    <t>N011</t>
  </si>
  <si>
    <t>BLDG NM (Plant Operations #2)</t>
  </si>
  <si>
    <t>ONE PARK PLACE SO</t>
  </si>
  <si>
    <t>PARKING DECK G</t>
  </si>
  <si>
    <t>STUDENT RECREATION</t>
  </si>
  <si>
    <t>E001</t>
  </si>
  <si>
    <t>BLDG 1N (Academic Ctr)</t>
  </si>
  <si>
    <t>L005</t>
  </si>
  <si>
    <t>LRC NASA BUILDING</t>
  </si>
  <si>
    <t>P013</t>
  </si>
  <si>
    <t>SOCCER LOCKER ROOMS BLDG</t>
  </si>
  <si>
    <t>0048</t>
  </si>
  <si>
    <t>BENNETT A BROWN</t>
  </si>
  <si>
    <t>C002</t>
  </si>
  <si>
    <t>BLDG CB (Bus/Soc.Sci)</t>
  </si>
  <si>
    <t>R002</t>
  </si>
  <si>
    <t>PETIT SCIENCE CTR</t>
  </si>
  <si>
    <t>0096</t>
  </si>
  <si>
    <t>CENTENNIAL HALL</t>
  </si>
  <si>
    <t>0060</t>
  </si>
  <si>
    <t>GSU LOFTS</t>
  </si>
  <si>
    <t>L001</t>
  </si>
  <si>
    <t>LRC ADMINISTRATION BUILDING</t>
  </si>
  <si>
    <t>P003</t>
  </si>
  <si>
    <t>SOFTBALL UTILITY SHED</t>
  </si>
  <si>
    <t>C011</t>
  </si>
  <si>
    <t>JIM CHERRY LRC</t>
  </si>
  <si>
    <t>R009</t>
  </si>
  <si>
    <t>148 EDGEWOOD</t>
  </si>
  <si>
    <t>P017</t>
  </si>
  <si>
    <t>BASEBALL STORAGE BLDG</t>
  </si>
  <si>
    <t>ADERHOLD LEARNING</t>
  </si>
  <si>
    <t>C005</t>
  </si>
  <si>
    <t>BLDG CE (English)</t>
  </si>
  <si>
    <t>S005</t>
  </si>
  <si>
    <t>BLDG SE (Greenhouse)</t>
  </si>
  <si>
    <t>COLLEGE OF LAW</t>
  </si>
  <si>
    <t>246 EDGEWOOD BLDG</t>
  </si>
  <si>
    <t>NATURAL SCIENCE CE</t>
  </si>
  <si>
    <t>C015</t>
  </si>
  <si>
    <t>BLDG CT (Parking Deck)</t>
  </si>
  <si>
    <t>K002</t>
  </si>
  <si>
    <t>ICL ADMINISTRATION BLDG</t>
  </si>
  <si>
    <t>N012</t>
  </si>
  <si>
    <t>BLDG NS (Parking Deck )</t>
  </si>
  <si>
    <t>0005</t>
  </si>
  <si>
    <t>CLASSROOM SOUTH</t>
  </si>
  <si>
    <t>0029</t>
  </si>
  <si>
    <t>BOOKSTORE BUILDING</t>
  </si>
  <si>
    <t>L003</t>
  </si>
  <si>
    <t>LRC CAPUCHIN BUILDING</t>
  </si>
  <si>
    <t>H247</t>
  </si>
  <si>
    <t>Grounds Services 3</t>
  </si>
  <si>
    <t>H320</t>
  </si>
  <si>
    <t>Cancer Research Bldg</t>
  </si>
  <si>
    <t>F204</t>
  </si>
  <si>
    <t>Forest Hills Lower Pumphouse</t>
  </si>
  <si>
    <t>H208</t>
  </si>
  <si>
    <t>Med Ctr (Talmadge Bldg)</t>
  </si>
  <si>
    <t>S103</t>
  </si>
  <si>
    <t>Fine Arts Center</t>
  </si>
  <si>
    <t>S305</t>
  </si>
  <si>
    <t>Central Utility Plt (SV)</t>
  </si>
  <si>
    <t>F402</t>
  </si>
  <si>
    <t>University Village 2000 Bldg</t>
  </si>
  <si>
    <t>H205</t>
  </si>
  <si>
    <t>Pavilion I</t>
  </si>
  <si>
    <t>S410</t>
  </si>
  <si>
    <t>Gorgas Road Toilet</t>
  </si>
  <si>
    <t>S412</t>
  </si>
  <si>
    <t>Kiln Shed</t>
  </si>
  <si>
    <t>H215</t>
  </si>
  <si>
    <t>Faculty Office Bldg</t>
  </si>
  <si>
    <t>S306</t>
  </si>
  <si>
    <t>CETC/Radio Station</t>
  </si>
  <si>
    <t>S405</t>
  </si>
  <si>
    <t>Benet Hall</t>
  </si>
  <si>
    <t>F203</t>
  </si>
  <si>
    <t>Forest Hills Storage</t>
  </si>
  <si>
    <t>H231</t>
  </si>
  <si>
    <t>CHOG Parking Deck</t>
  </si>
  <si>
    <t>H236</t>
  </si>
  <si>
    <t>S408</t>
  </si>
  <si>
    <t>Warehouse 2</t>
  </si>
  <si>
    <t>H232</t>
  </si>
  <si>
    <t>Jennings Bldg</t>
  </si>
  <si>
    <t>S309</t>
  </si>
  <si>
    <t>Golf Cart Stor. -CUP</t>
  </si>
  <si>
    <t>S413</t>
  </si>
  <si>
    <t>Warehouse 5</t>
  </si>
  <si>
    <t>H212</t>
  </si>
  <si>
    <t>Central Services</t>
  </si>
  <si>
    <t>S308</t>
  </si>
  <si>
    <t>Hazard Waste Building #2</t>
  </si>
  <si>
    <t>H201</t>
  </si>
  <si>
    <t>Professional Bldg 1</t>
  </si>
  <si>
    <t>H309</t>
  </si>
  <si>
    <t>Goss Lane Parking Deck</t>
  </si>
  <si>
    <t>S404</t>
  </si>
  <si>
    <t>Benet Garage</t>
  </si>
  <si>
    <t>F207</t>
  </si>
  <si>
    <t>Forest Hills Warehouse 1</t>
  </si>
  <si>
    <t>S403</t>
  </si>
  <si>
    <t>Bellevue Hall</t>
  </si>
  <si>
    <t>H235</t>
  </si>
  <si>
    <t>GA Rad. Therapy Ctr. (GRTC)</t>
  </si>
  <si>
    <t>W202</t>
  </si>
  <si>
    <t>F403</t>
  </si>
  <si>
    <t>University Village 3000 Bldg</t>
  </si>
  <si>
    <t>F404</t>
  </si>
  <si>
    <t>University Village 4000 Bldg</t>
  </si>
  <si>
    <t>H226</t>
  </si>
  <si>
    <t>Greenblatt Library</t>
  </si>
  <si>
    <t>S303</t>
  </si>
  <si>
    <t>Boykin Wright Hall-(Provost)</t>
  </si>
  <si>
    <t>H113</t>
  </si>
  <si>
    <t>Clinical Trails Office</t>
  </si>
  <si>
    <t>H242</t>
  </si>
  <si>
    <t>Walter L. Shepeard Building</t>
  </si>
  <si>
    <t>O105</t>
  </si>
  <si>
    <t>H108</t>
  </si>
  <si>
    <t>1004 Chafee Avenue</t>
  </si>
  <si>
    <t>F202</t>
  </si>
  <si>
    <t>Forest Hills #3 Shed</t>
  </si>
  <si>
    <t>H311</t>
  </si>
  <si>
    <t>Interdisciplinary Research Bld</t>
  </si>
  <si>
    <t>S206</t>
  </si>
  <si>
    <t>Jaquar Student Activity Center</t>
  </si>
  <si>
    <t>W102</t>
  </si>
  <si>
    <t>Pavilion Warm Springs Hosp</t>
  </si>
  <si>
    <t>F105</t>
  </si>
  <si>
    <t>Norvell Golf Hitting Bay</t>
  </si>
  <si>
    <t>F408</t>
  </si>
  <si>
    <t>University Village Bus Stop</t>
  </si>
  <si>
    <t>H211</t>
  </si>
  <si>
    <t>Lee Auditoria Center</t>
  </si>
  <si>
    <t>H216</t>
  </si>
  <si>
    <t>Central Energy Plant</t>
  </si>
  <si>
    <t>S202</t>
  </si>
  <si>
    <t>Galloway Hall- Cont Ed/Mil Sci</t>
  </si>
  <si>
    <t>F206</t>
  </si>
  <si>
    <t>Forest Hills Golf Club</t>
  </si>
  <si>
    <t>F208</t>
  </si>
  <si>
    <t>Forest Hills #10 Shed</t>
  </si>
  <si>
    <t>H248</t>
  </si>
  <si>
    <t>S406</t>
  </si>
  <si>
    <t>Warehouse 1</t>
  </si>
  <si>
    <t>F205</t>
  </si>
  <si>
    <t>Forest Hills Cart Storage</t>
  </si>
  <si>
    <t>H244</t>
  </si>
  <si>
    <t>Grounds Services 1</t>
  </si>
  <si>
    <t>O102</t>
  </si>
  <si>
    <t>S302</t>
  </si>
  <si>
    <t>Boykin Wright Entry House</t>
  </si>
  <si>
    <t>H310</t>
  </si>
  <si>
    <t>Harrison Education Commons</t>
  </si>
  <si>
    <t>H324</t>
  </si>
  <si>
    <t>H239</t>
  </si>
  <si>
    <t>S207</t>
  </si>
  <si>
    <t>University Hall</t>
  </si>
  <si>
    <t>G101</t>
  </si>
  <si>
    <t>Gracewood Research Building</t>
  </si>
  <si>
    <t>H209</t>
  </si>
  <si>
    <t>Med Ctr - Sydenstricker</t>
  </si>
  <si>
    <t>H210</t>
  </si>
  <si>
    <t>Medical Center (East Wing)</t>
  </si>
  <si>
    <t>H245</t>
  </si>
  <si>
    <t>Grounds Services</t>
  </si>
  <si>
    <t>H112</t>
  </si>
  <si>
    <t>H220</t>
  </si>
  <si>
    <t>Dugas Bldg</t>
  </si>
  <si>
    <t>H233</t>
  </si>
  <si>
    <t>Marks Bldg</t>
  </si>
  <si>
    <t>S106</t>
  </si>
  <si>
    <t>Carriage House</t>
  </si>
  <si>
    <t>S201</t>
  </si>
  <si>
    <t>Faculty Art Studios</t>
  </si>
  <si>
    <t>H217</t>
  </si>
  <si>
    <t>Pavilion 2</t>
  </si>
  <si>
    <t>H314</t>
  </si>
  <si>
    <t>Hamilton Building</t>
  </si>
  <si>
    <t>S104</t>
  </si>
  <si>
    <t>Performing Arts Theatre</t>
  </si>
  <si>
    <t>S411</t>
  </si>
  <si>
    <t>Greenhouse</t>
  </si>
  <si>
    <t>F407</t>
  </si>
  <si>
    <t>University Village Guardhouse</t>
  </si>
  <si>
    <t>H243</t>
  </si>
  <si>
    <t>Stoney Building</t>
  </si>
  <si>
    <t>F201</t>
  </si>
  <si>
    <t>Forest Hills Range Building</t>
  </si>
  <si>
    <t>H213</t>
  </si>
  <si>
    <t>Critical Care Ctr/MOB 1</t>
  </si>
  <si>
    <t>H321</t>
  </si>
  <si>
    <t>Clay  Street Warehouse</t>
  </si>
  <si>
    <t>F210</t>
  </si>
  <si>
    <t>Forest Hills Upper Pumphouse</t>
  </si>
  <si>
    <t>H225</t>
  </si>
  <si>
    <t>H312</t>
  </si>
  <si>
    <t>Dental College of Georgia</t>
  </si>
  <si>
    <t>S416</t>
  </si>
  <si>
    <t>Quad Wall Building</t>
  </si>
  <si>
    <t>H224</t>
  </si>
  <si>
    <t>Annex 2</t>
  </si>
  <si>
    <t>H318</t>
  </si>
  <si>
    <t>Enviro. Health &amp; Safety Office</t>
  </si>
  <si>
    <t>S101</t>
  </si>
  <si>
    <t>Bus Stop</t>
  </si>
  <si>
    <t>S314</t>
  </si>
  <si>
    <t>VFD Shed</t>
  </si>
  <si>
    <t>S409</t>
  </si>
  <si>
    <t>Chateau</t>
  </si>
  <si>
    <t>W101</t>
  </si>
  <si>
    <t>North Wing -Warm Springs</t>
  </si>
  <si>
    <t>S102</t>
  </si>
  <si>
    <t>Fanning Hall</t>
  </si>
  <si>
    <t>S301</t>
  </si>
  <si>
    <t>Archaeology Lab</t>
  </si>
  <si>
    <t>H107</t>
  </si>
  <si>
    <t>S105</t>
  </si>
  <si>
    <t>Privey (Quad)</t>
  </si>
  <si>
    <t>S208</t>
  </si>
  <si>
    <t>Washington Hall</t>
  </si>
  <si>
    <t>F102</t>
  </si>
  <si>
    <t>Field House Storage 3</t>
  </si>
  <si>
    <t>H234</t>
  </si>
  <si>
    <t>Community Medicine Offices</t>
  </si>
  <si>
    <t>H221</t>
  </si>
  <si>
    <t>H319</t>
  </si>
  <si>
    <t>RA Dent Parking Deck</t>
  </si>
  <si>
    <t>S203</t>
  </si>
  <si>
    <t>Golf Cart Stor (UH)</t>
  </si>
  <si>
    <t>S205</t>
  </si>
  <si>
    <t>Reese Library</t>
  </si>
  <si>
    <t>S310</t>
  </si>
  <si>
    <t>Advance  &amp; Develop Off</t>
  </si>
  <si>
    <t>S402</t>
  </si>
  <si>
    <t>Bellevue Annex</t>
  </si>
  <si>
    <t>S107</t>
  </si>
  <si>
    <t>Rains Hall</t>
  </si>
  <si>
    <t>H241</t>
  </si>
  <si>
    <t>F104</t>
  </si>
  <si>
    <t>Norvell Golf House</t>
  </si>
  <si>
    <t>H246</t>
  </si>
  <si>
    <t>Grounds Services 2</t>
  </si>
  <si>
    <t>RV1</t>
  </si>
  <si>
    <t>Hull McKnight GA Cyber Center</t>
  </si>
  <si>
    <t>W201</t>
  </si>
  <si>
    <t>East Wing Warm Springs</t>
  </si>
  <si>
    <t>H301</t>
  </si>
  <si>
    <t>HS Student Activities Center</t>
  </si>
  <si>
    <t>H313</t>
  </si>
  <si>
    <t>Sanders Building</t>
  </si>
  <si>
    <t>S304</t>
  </si>
  <si>
    <t>Boykin Wright Cottage</t>
  </si>
  <si>
    <t>S415</t>
  </si>
  <si>
    <t>Public Safety</t>
  </si>
  <si>
    <t>F214</t>
  </si>
  <si>
    <t>Forest Hills #5 Shed</t>
  </si>
  <si>
    <t>H203</t>
  </si>
  <si>
    <t>Medical Ctr Parking Deck -15th</t>
  </si>
  <si>
    <t>O108</t>
  </si>
  <si>
    <t>H238</t>
  </si>
  <si>
    <t>HS Facilities Services</t>
  </si>
  <si>
    <t>S417</t>
  </si>
  <si>
    <t>Warehouse 3</t>
  </si>
  <si>
    <t>F101</t>
  </si>
  <si>
    <t>Field House Stor 1Minor</t>
  </si>
  <si>
    <t>F209</t>
  </si>
  <si>
    <t>Freeman Pavillion</t>
  </si>
  <si>
    <t>H102</t>
  </si>
  <si>
    <t>H202</t>
  </si>
  <si>
    <t>Emerg Management Office</t>
  </si>
  <si>
    <t>H315</t>
  </si>
  <si>
    <t>South Energy Plant</t>
  </si>
  <si>
    <t>F406</t>
  </si>
  <si>
    <t>University Village Maint. Bldg</t>
  </si>
  <si>
    <t>H204</t>
  </si>
  <si>
    <t>Laney Walker Bridge</t>
  </si>
  <si>
    <t>H214</t>
  </si>
  <si>
    <t>Children's Hospital Of Georgia</t>
  </si>
  <si>
    <t>H322</t>
  </si>
  <si>
    <t>Pavilion 3</t>
  </si>
  <si>
    <t>H317</t>
  </si>
  <si>
    <t>Material Safety Stor Facililty</t>
  </si>
  <si>
    <t>S204</t>
  </si>
  <si>
    <t>Guard House Museum</t>
  </si>
  <si>
    <t>F211</t>
  </si>
  <si>
    <t>Lower Maintenance Shed</t>
  </si>
  <si>
    <t>S313</t>
  </si>
  <si>
    <t>SVC Science Hall</t>
  </si>
  <si>
    <t>H218</t>
  </si>
  <si>
    <t>Kelly Bldg</t>
  </si>
  <si>
    <t>F213</t>
  </si>
  <si>
    <t>Literacy Center</t>
  </si>
  <si>
    <t>H222</t>
  </si>
  <si>
    <t>Medical Ofc Bldg Parking Deck</t>
  </si>
  <si>
    <t>S418</t>
  </si>
  <si>
    <t>Storage Building</t>
  </si>
  <si>
    <t>O101</t>
  </si>
  <si>
    <t>F401</t>
  </si>
  <si>
    <t>University Village 1000 Bldg</t>
  </si>
  <si>
    <t>H323</t>
  </si>
  <si>
    <t>F212</t>
  </si>
  <si>
    <t>Haz. Mat. Building #1</t>
  </si>
  <si>
    <t>S311</t>
  </si>
  <si>
    <t>Maxwell House</t>
  </si>
  <si>
    <t>F215</t>
  </si>
  <si>
    <t>Forest Hills Scoring Shelter</t>
  </si>
  <si>
    <t>F400</t>
  </si>
  <si>
    <t>University Village Clubhouse</t>
  </si>
  <si>
    <t>H114</t>
  </si>
  <si>
    <t>Employ/Fac Assistance Center</t>
  </si>
  <si>
    <t>S414</t>
  </si>
  <si>
    <t>Payne Hall</t>
  </si>
  <si>
    <t>H219</t>
  </si>
  <si>
    <t>Murphey Bldg</t>
  </si>
  <si>
    <t>F405</t>
  </si>
  <si>
    <t>University Village 5000 Bldg</t>
  </si>
  <si>
    <t>H111</t>
  </si>
  <si>
    <t>Cardiovasular Center</t>
  </si>
  <si>
    <t>H117</t>
  </si>
  <si>
    <t>H223</t>
  </si>
  <si>
    <t>Annex 1</t>
  </si>
  <si>
    <t>F103</t>
  </si>
  <si>
    <t>Christenberry Field House</t>
  </si>
  <si>
    <t>H109</t>
  </si>
  <si>
    <t>H240</t>
  </si>
  <si>
    <t>HSC Health Sciences Building</t>
  </si>
  <si>
    <t>S407</t>
  </si>
  <si>
    <t>Warehouse 4</t>
  </si>
  <si>
    <t>S307</t>
  </si>
  <si>
    <t>Doug Barnard Amphitheatre</t>
  </si>
  <si>
    <t>S401</t>
  </si>
  <si>
    <t>Allgood Hall</t>
  </si>
  <si>
    <t>6108</t>
  </si>
  <si>
    <t>SAPELO TRAILER U</t>
  </si>
  <si>
    <t>7083</t>
  </si>
  <si>
    <t>0121</t>
  </si>
  <si>
    <t>1001</t>
  </si>
  <si>
    <t>1004</t>
  </si>
  <si>
    <t>1066</t>
  </si>
  <si>
    <t>VET MED - 10</t>
  </si>
  <si>
    <t>1920</t>
  </si>
  <si>
    <t>2122</t>
  </si>
  <si>
    <t>CENTRAL FOOD STOR</t>
  </si>
  <si>
    <t>2138</t>
  </si>
  <si>
    <t>HAZ STRG PRINTING</t>
  </si>
  <si>
    <t>2242</t>
  </si>
  <si>
    <t>ROGERS ROAD APTS P</t>
  </si>
  <si>
    <t>2294</t>
  </si>
  <si>
    <t>PI KAPPA ALPHA</t>
  </si>
  <si>
    <t>2321</t>
  </si>
  <si>
    <t>ECOLOGY RSCH BLDG</t>
  </si>
  <si>
    <t>2323</t>
  </si>
  <si>
    <t>PDRC HATCHERY</t>
  </si>
  <si>
    <t>2338</t>
  </si>
  <si>
    <t>BTGDN GCGA HQTR</t>
  </si>
  <si>
    <t>2468</t>
  </si>
  <si>
    <t>BOTANY GNHS SHED</t>
  </si>
  <si>
    <t>3657</t>
  </si>
  <si>
    <t>FIELD OFFICE 2</t>
  </si>
  <si>
    <t>3774</t>
  </si>
  <si>
    <t>FRS EPRI RSCH BLDG</t>
  </si>
  <si>
    <t>3847</t>
  </si>
  <si>
    <t>MTL STRG BLDG 2014</t>
  </si>
  <si>
    <t>4020</t>
  </si>
  <si>
    <t>GIBBS FRM:IMPLMNTS</t>
  </si>
  <si>
    <t>4305</t>
  </si>
  <si>
    <t>REDDING RPZ</t>
  </si>
  <si>
    <t>4408</t>
  </si>
  <si>
    <t>SANFORD BARN</t>
  </si>
  <si>
    <t>4705</t>
  </si>
  <si>
    <t>ADS FARM SHOP</t>
  </si>
  <si>
    <t>4865</t>
  </si>
  <si>
    <t>PUMP HSE &amp; TANK</t>
  </si>
  <si>
    <t>4940</t>
  </si>
  <si>
    <t>PONDER: EQUIP STG</t>
  </si>
  <si>
    <t>5077</t>
  </si>
  <si>
    <t>PAVILION AREA 3</t>
  </si>
  <si>
    <t>5083</t>
  </si>
  <si>
    <t>POOL 2 FILTER HOUS</t>
  </si>
  <si>
    <t>5334</t>
  </si>
  <si>
    <t>UTILITY SHED</t>
  </si>
  <si>
    <t>5856</t>
  </si>
  <si>
    <t>DINING HALL</t>
  </si>
  <si>
    <t>6066</t>
  </si>
  <si>
    <t>SHELL HAMMOCK 5</t>
  </si>
  <si>
    <t>7531</t>
  </si>
  <si>
    <t>GAS BOTTLE STORAGE</t>
  </si>
  <si>
    <t>7542</t>
  </si>
  <si>
    <t>SKIDAWAY RES FAC</t>
  </si>
  <si>
    <t>8363</t>
  </si>
  <si>
    <t>4021</t>
  </si>
  <si>
    <t>GIBBS FRM:SHOP/OFF</t>
  </si>
  <si>
    <t>4426</t>
  </si>
  <si>
    <t>STRESS PHYS BLDG</t>
  </si>
  <si>
    <t>4505</t>
  </si>
  <si>
    <t>BLEDSOE METAL STRG</t>
  </si>
  <si>
    <t>4628</t>
  </si>
  <si>
    <t>ARBORETUM COTTAGE</t>
  </si>
  <si>
    <t>4629</t>
  </si>
  <si>
    <t>5008</t>
  </si>
  <si>
    <t>COTTAGE 8</t>
  </si>
  <si>
    <t>5047</t>
  </si>
  <si>
    <t>COTTAGE 47</t>
  </si>
  <si>
    <t>5072</t>
  </si>
  <si>
    <t>ENTOMOLOGY BUG H</t>
  </si>
  <si>
    <t>5095</t>
  </si>
  <si>
    <t>PUMP HOUSE</t>
  </si>
  <si>
    <t>5332</t>
  </si>
  <si>
    <t>BOYS BATH HOUSE</t>
  </si>
  <si>
    <t>6032</t>
  </si>
  <si>
    <t>SAPELO TRAILER S</t>
  </si>
  <si>
    <t>6038</t>
  </si>
  <si>
    <t>SOUTH END PUMP HS</t>
  </si>
  <si>
    <t>5724</t>
  </si>
  <si>
    <t>PAVILION</t>
  </si>
  <si>
    <t>5753</t>
  </si>
  <si>
    <t>POND, GRN ROOF STG</t>
  </si>
  <si>
    <t>6074</t>
  </si>
  <si>
    <t>LAB BUILDING</t>
  </si>
  <si>
    <t>7022</t>
  </si>
  <si>
    <t>SKIDAWAY INT CABIN</t>
  </si>
  <si>
    <t>0736</t>
  </si>
  <si>
    <t>AMOS HALL</t>
  </si>
  <si>
    <t>3</t>
  </si>
  <si>
    <t>1041</t>
  </si>
  <si>
    <t>ROBT C WILSON PHAR</t>
  </si>
  <si>
    <t>1644</t>
  </si>
  <si>
    <t>1906</t>
  </si>
  <si>
    <t>2228</t>
  </si>
  <si>
    <t>UNIV. VLG-H</t>
  </si>
  <si>
    <t>2232</t>
  </si>
  <si>
    <t>ALPHA EPSILON PI F</t>
  </si>
  <si>
    <t>2251</t>
  </si>
  <si>
    <t>PRESIDENT HOUSE</t>
  </si>
  <si>
    <t>2345</t>
  </si>
  <si>
    <t>BTGDN GUARD HOUSE</t>
  </si>
  <si>
    <t>2522</t>
  </si>
  <si>
    <t>FRS QUA BARN 1</t>
  </si>
  <si>
    <t>2539</t>
  </si>
  <si>
    <t>DEER RESEARCH FAC</t>
  </si>
  <si>
    <t>2541</t>
  </si>
  <si>
    <t>STRAGE HOUSE FRS-3</t>
  </si>
  <si>
    <t>3200</t>
  </si>
  <si>
    <t>J P CAMPBELL MAIN</t>
  </si>
  <si>
    <t>3706</t>
  </si>
  <si>
    <t>HQ FIRE TOWER</t>
  </si>
  <si>
    <t>3903</t>
  </si>
  <si>
    <t>DWELLING 2</t>
  </si>
  <si>
    <t>4019</t>
  </si>
  <si>
    <t>GIBBS FRM:HAY SHTR</t>
  </si>
  <si>
    <t>4063</t>
  </si>
  <si>
    <t>PUMP HOUSE SRPGL</t>
  </si>
  <si>
    <t>4548</t>
  </si>
  <si>
    <t>GARDEN GAZEBO 1</t>
  </si>
  <si>
    <t>4621</t>
  </si>
  <si>
    <t>PP GROW CHAMBER</t>
  </si>
  <si>
    <t>4796</t>
  </si>
  <si>
    <t>DAIRY RSCH CNTR</t>
  </si>
  <si>
    <t>6103</t>
  </si>
  <si>
    <t>SAPELO TRAILER L</t>
  </si>
  <si>
    <t>2437</t>
  </si>
  <si>
    <t>SOIL CHEM EQUIP BL</t>
  </si>
  <si>
    <t>2500</t>
  </si>
  <si>
    <t>FISH &amp; WL LAB FOR</t>
  </si>
  <si>
    <t>2510</t>
  </si>
  <si>
    <t>HYDROLOGY LAB FRS</t>
  </si>
  <si>
    <t>2680</t>
  </si>
  <si>
    <t>JEWELRY&amp;METALWORK</t>
  </si>
  <si>
    <t>TATE DECK BOOTH 1</t>
  </si>
  <si>
    <t>1096</t>
  </si>
  <si>
    <t>COMMUNICATION HUT1</t>
  </si>
  <si>
    <t>1621</t>
  </si>
  <si>
    <t>2408</t>
  </si>
  <si>
    <t>AGY SOIL BLDG</t>
  </si>
  <si>
    <t>2410</t>
  </si>
  <si>
    <t>GREENHSE RES P HOR</t>
  </si>
  <si>
    <t>6320</t>
  </si>
  <si>
    <t>WOODWORK SHOP STG</t>
  </si>
  <si>
    <t>7111</t>
  </si>
  <si>
    <t>CHICOPEE NO.7</t>
  </si>
  <si>
    <t>0688</t>
  </si>
  <si>
    <t>STAD WEST STANDS</t>
  </si>
  <si>
    <t>0738</t>
  </si>
  <si>
    <t>MOORE-ROOKER HALL</t>
  </si>
  <si>
    <t>0754</t>
  </si>
  <si>
    <t>WNP 150</t>
  </si>
  <si>
    <t>1013</t>
  </si>
  <si>
    <t>1678</t>
  </si>
  <si>
    <t>WOMENS TENNIS CLUB</t>
  </si>
  <si>
    <t>1807</t>
  </si>
  <si>
    <t>TURNER SOCCER COMP</t>
  </si>
  <si>
    <t>1935</t>
  </si>
  <si>
    <t>1950</t>
  </si>
  <si>
    <t>2498</t>
  </si>
  <si>
    <t>GEOTECH LAB</t>
  </si>
  <si>
    <t>2605</t>
  </si>
  <si>
    <t>LEGION POOL SRVC-1</t>
  </si>
  <si>
    <t>2968</t>
  </si>
  <si>
    <t>TURF SCIENCE RE GH</t>
  </si>
  <si>
    <t>3052</t>
  </si>
  <si>
    <t>HORT FARM GH #1</t>
  </si>
  <si>
    <t>4116</t>
  </si>
  <si>
    <t>METAL BARN</t>
  </si>
  <si>
    <t>4492</t>
  </si>
  <si>
    <t>FACILITIES SVC BLD</t>
  </si>
  <si>
    <t>4552</t>
  </si>
  <si>
    <t>GRDN-SMALL PERGOLA</t>
  </si>
  <si>
    <t>4730</t>
  </si>
  <si>
    <t>HORT G HSE H HSE</t>
  </si>
  <si>
    <t>4756</t>
  </si>
  <si>
    <t>BOAR TESTING</t>
  </si>
  <si>
    <t>4810</t>
  </si>
  <si>
    <t>BOWEN RD:TRCKR BRN</t>
  </si>
  <si>
    <t>4827</t>
  </si>
  <si>
    <t>ALAPAHA:HORSE BARN</t>
  </si>
  <si>
    <t>4869</t>
  </si>
  <si>
    <t>RINSATE STA CPES</t>
  </si>
  <si>
    <t>4943</t>
  </si>
  <si>
    <t>PONDER:JOHNSON IMP</t>
  </si>
  <si>
    <t>5656</t>
  </si>
  <si>
    <t>BRTN-4H DORMS 4&amp;5</t>
  </si>
  <si>
    <t>5761</t>
  </si>
  <si>
    <t>GAZEBO #2-FRIENDS</t>
  </si>
  <si>
    <t>0671</t>
  </si>
  <si>
    <t>UNIV. BOOKSTORE</t>
  </si>
  <si>
    <t>0694</t>
  </si>
  <si>
    <t>STAD. DRESS ROOMS</t>
  </si>
  <si>
    <t>0766</t>
  </si>
  <si>
    <t>STUDIO 225</t>
  </si>
  <si>
    <t>1065</t>
  </si>
  <si>
    <t>1620</t>
  </si>
  <si>
    <t>CENTRAL STEAM PLT BOILER HS 1</t>
  </si>
  <si>
    <t>1808</t>
  </si>
  <si>
    <t>SOFTBALL INDOOR TR</t>
  </si>
  <si>
    <t>1915</t>
  </si>
  <si>
    <t>1978</t>
  </si>
  <si>
    <t>2211</t>
  </si>
  <si>
    <t>CRESWELL HALL</t>
  </si>
  <si>
    <t>2245</t>
  </si>
  <si>
    <t>ROGERS ROAD APTS S</t>
  </si>
  <si>
    <t>2418</t>
  </si>
  <si>
    <t>RIVERBEND RSCH S</t>
  </si>
  <si>
    <t>2622</t>
  </si>
  <si>
    <t>HENRY FIELD TEN ST</t>
  </si>
  <si>
    <t>2890</t>
  </si>
  <si>
    <t>CES POUL FEED LAB</t>
  </si>
  <si>
    <t>3185</t>
  </si>
  <si>
    <t>FMD GROUNDS SHOP</t>
  </si>
  <si>
    <t>3273</t>
  </si>
  <si>
    <t>HEADQUARTERS BLDG</t>
  </si>
  <si>
    <t>3278</t>
  </si>
  <si>
    <t>EQUIP STRG WEST 2</t>
  </si>
  <si>
    <t>3442</t>
  </si>
  <si>
    <t>DB SWINE GESTATION</t>
  </si>
  <si>
    <t>3480</t>
  </si>
  <si>
    <t>EF STORAGE SHED</t>
  </si>
  <si>
    <t>3604</t>
  </si>
  <si>
    <t>AN SCIENTIST HOME</t>
  </si>
  <si>
    <t>4376</t>
  </si>
  <si>
    <t>GARDEN MAINT BLDG</t>
  </si>
  <si>
    <t>4377</t>
  </si>
  <si>
    <t>GARDEN TETON GRNHS</t>
  </si>
  <si>
    <t>4556</t>
  </si>
  <si>
    <t>DEMPSEY WELLHOUSE</t>
  </si>
  <si>
    <t>4742</t>
  </si>
  <si>
    <t>ANIM SCI FARM SHED</t>
  </si>
  <si>
    <t>4910</t>
  </si>
  <si>
    <t>ANIM HOLDING AREA</t>
  </si>
  <si>
    <t>3275</t>
  </si>
  <si>
    <t>MANAGER'S RESIDENCE</t>
  </si>
  <si>
    <t>3284</t>
  </si>
  <si>
    <t>3534</t>
  </si>
  <si>
    <t>3678</t>
  </si>
  <si>
    <t>HORSE BARN</t>
  </si>
  <si>
    <t>3852</t>
  </si>
  <si>
    <t>LOYD GARAGE</t>
  </si>
  <si>
    <t>3919</t>
  </si>
  <si>
    <t>MACHINE SHED 2</t>
  </si>
  <si>
    <t>4022</t>
  </si>
  <si>
    <t>LONG GEN II CURING</t>
  </si>
  <si>
    <t>4023</t>
  </si>
  <si>
    <t>PEANUT GRADE FAC</t>
  </si>
  <si>
    <t>4025</t>
  </si>
  <si>
    <t>CSS G HSE P-NUT</t>
  </si>
  <si>
    <t>4031</t>
  </si>
  <si>
    <t>HANNA RED BARN S I</t>
  </si>
  <si>
    <t>4110</t>
  </si>
  <si>
    <t>OLD RED BARN</t>
  </si>
  <si>
    <t>4179</t>
  </si>
  <si>
    <t>PDRC COLONY 14</t>
  </si>
  <si>
    <t>4463</t>
  </si>
  <si>
    <t>MELTON BUILDING</t>
  </si>
  <si>
    <t>4649</t>
  </si>
  <si>
    <t>SEED CLEAN HOUSE</t>
  </si>
  <si>
    <t>4794</t>
  </si>
  <si>
    <t>ENTO PEANUT LAB</t>
  </si>
  <si>
    <t>4826</t>
  </si>
  <si>
    <t>ALAPAHA:IMPLMT SHD</t>
  </si>
  <si>
    <t>4874</t>
  </si>
  <si>
    <t>DRIP IRRIG SHED</t>
  </si>
  <si>
    <t>4898</t>
  </si>
  <si>
    <t>NESPAL GREENHOUSE</t>
  </si>
  <si>
    <t>4905</t>
  </si>
  <si>
    <t>ISOLATION BUILDING</t>
  </si>
  <si>
    <t>6452</t>
  </si>
  <si>
    <t>ODUM PROP WELL HS</t>
  </si>
  <si>
    <t>6502</t>
  </si>
  <si>
    <t>WORMSLOE CABIN 2</t>
  </si>
  <si>
    <t>7506</t>
  </si>
  <si>
    <t>ROEBLING CONF CTR</t>
  </si>
  <si>
    <t>0044</t>
  </si>
  <si>
    <t>DENMARK HALL</t>
  </si>
  <si>
    <t>0651</t>
  </si>
  <si>
    <t>FOUNDERS KITCHEN</t>
  </si>
  <si>
    <t>1222</t>
  </si>
  <si>
    <t>MYERS HALL</t>
  </si>
  <si>
    <t>8365</t>
  </si>
  <si>
    <t>8655</t>
  </si>
  <si>
    <t>PHI KAPPA HALL</t>
  </si>
  <si>
    <t>2243</t>
  </si>
  <si>
    <t>ROGERS ROAD APTS Q</t>
  </si>
  <si>
    <t>0631</t>
  </si>
  <si>
    <t>ADMINISTRATION</t>
  </si>
  <si>
    <t>1095</t>
  </si>
  <si>
    <t>AG. ENG. SHED-2</t>
  </si>
  <si>
    <t>1502</t>
  </si>
  <si>
    <t>RHODES CNTR ADS -C</t>
  </si>
  <si>
    <t>2342</t>
  </si>
  <si>
    <t>PDRC HATCHERY 2</t>
  </si>
  <si>
    <t>2427</t>
  </si>
  <si>
    <t>PLANT BIOLOGY GH</t>
  </si>
  <si>
    <t>2459</t>
  </si>
  <si>
    <t>CHLDRN'S GDN RSTRM</t>
  </si>
  <si>
    <t>2467</t>
  </si>
  <si>
    <t>BTGDN VS CNTR GZBO</t>
  </si>
  <si>
    <t>2499</t>
  </si>
  <si>
    <t>BIOPOLYMER ANNEX</t>
  </si>
  <si>
    <t>2925</t>
  </si>
  <si>
    <t>MERCK SWINE BARN</t>
  </si>
  <si>
    <t>3040</t>
  </si>
  <si>
    <t>HORT FARM GH #6</t>
  </si>
  <si>
    <t>3206</t>
  </si>
  <si>
    <t>3467</t>
  </si>
  <si>
    <t>DB BEEF FEED LOT</t>
  </si>
  <si>
    <t>3675</t>
  </si>
  <si>
    <t>METAL HAY BARN</t>
  </si>
  <si>
    <t>3906</t>
  </si>
  <si>
    <t>BLOCK HOUSE STOR</t>
  </si>
  <si>
    <t>4775</t>
  </si>
  <si>
    <t>5719</t>
  </si>
  <si>
    <t>CANE GRINDING SHED</t>
  </si>
  <si>
    <t>5854</t>
  </si>
  <si>
    <t>AMPHITHEATER</t>
  </si>
  <si>
    <t>4306</t>
  </si>
  <si>
    <t>FRS BLUEBERRY BLDG</t>
  </si>
  <si>
    <t>4445</t>
  </si>
  <si>
    <t>VIRUS LAB BUILDING</t>
  </si>
  <si>
    <t>2443</t>
  </si>
  <si>
    <t>LK HERRICK BOAT HS</t>
  </si>
  <si>
    <t>1654</t>
  </si>
  <si>
    <t>STEGEMAN COLISEUM</t>
  </si>
  <si>
    <t>1938</t>
  </si>
  <si>
    <t>2217</t>
  </si>
  <si>
    <t>OGLETHORPE HOUSE</t>
  </si>
  <si>
    <t>2218</t>
  </si>
  <si>
    <t>ALPHA CHI OMEGA S.</t>
  </si>
  <si>
    <t>3325</t>
  </si>
  <si>
    <t>FRS THOMP MILL P H</t>
  </si>
  <si>
    <t>3831</t>
  </si>
  <si>
    <t>60 HP PUMP</t>
  </si>
  <si>
    <t>3876</t>
  </si>
  <si>
    <t>GLDS MTL HAY SHD 2</t>
  </si>
  <si>
    <t>4112</t>
  </si>
  <si>
    <t>SHOP BLDG</t>
  </si>
  <si>
    <t>4722</t>
  </si>
  <si>
    <t>SWINE FEED &amp; OFF</t>
  </si>
  <si>
    <t>4728</t>
  </si>
  <si>
    <t>BLACK SHANK PICNIC</t>
  </si>
  <si>
    <t>4792</t>
  </si>
  <si>
    <t>GIBBS FRM: RES EQP</t>
  </si>
  <si>
    <t>5039</t>
  </si>
  <si>
    <t>COTTAGE 39</t>
  </si>
  <si>
    <t>5054</t>
  </si>
  <si>
    <t>COTTAGE 54</t>
  </si>
  <si>
    <t>5122</t>
  </si>
  <si>
    <t>5750</t>
  </si>
  <si>
    <t>GAZEBO BAMBOO FRM</t>
  </si>
  <si>
    <t>5850</t>
  </si>
  <si>
    <t>4-H OFFICE</t>
  </si>
  <si>
    <t>0652</t>
  </si>
  <si>
    <t>FOUNDERS SMOKEHOUSE</t>
  </si>
  <si>
    <t>1014</t>
  </si>
  <si>
    <t>HAZ STRG CHEMISTRY</t>
  </si>
  <si>
    <t>1615</t>
  </si>
  <si>
    <t>DIST ENGY #2 ANNEX</t>
  </si>
  <si>
    <t>2241</t>
  </si>
  <si>
    <t>ROGERS ROAD APTS N</t>
  </si>
  <si>
    <t>2466</t>
  </si>
  <si>
    <t>BTGDN HRTG G GAZBO</t>
  </si>
  <si>
    <t>2552</t>
  </si>
  <si>
    <t>STORAGE HS FRS 5</t>
  </si>
  <si>
    <t>2580</t>
  </si>
  <si>
    <t>A B E L</t>
  </si>
  <si>
    <t>3035</t>
  </si>
  <si>
    <t>BEE LAB POLE BARN</t>
  </si>
  <si>
    <t>3056</t>
  </si>
  <si>
    <t>BEE RESEARCH LAB</t>
  </si>
  <si>
    <t>6107</t>
  </si>
  <si>
    <t>SAPELO TRAILER T</t>
  </si>
  <si>
    <t>6367</t>
  </si>
  <si>
    <t>AEL STORAGE BLDG</t>
  </si>
  <si>
    <t>7112</t>
  </si>
  <si>
    <t>7117</t>
  </si>
  <si>
    <t>7535</t>
  </si>
  <si>
    <t>POSTDOC BUILDING</t>
  </si>
  <si>
    <t>0120</t>
  </si>
  <si>
    <t>HOLMES/HUNTER ACAD</t>
  </si>
  <si>
    <t>1012</t>
  </si>
  <si>
    <t>LUMPKIN HOUSE</t>
  </si>
  <si>
    <t>1674</t>
  </si>
  <si>
    <t>PAYNE IAF</t>
  </si>
  <si>
    <t>2520</t>
  </si>
  <si>
    <t>COMPRESSOR HSE FRS</t>
  </si>
  <si>
    <t>2547</t>
  </si>
  <si>
    <t>2817</t>
  </si>
  <si>
    <t>BROILER HS WHITEH</t>
  </si>
  <si>
    <t>2859</t>
  </si>
  <si>
    <t>POUL PROC HATC FAC</t>
  </si>
  <si>
    <t>3085</t>
  </si>
  <si>
    <t>VMC HAY STORAGE FACILITY</t>
  </si>
  <si>
    <t>3468</t>
  </si>
  <si>
    <t>SWINE WALKWAY CANOPY</t>
  </si>
  <si>
    <t>3663</t>
  </si>
  <si>
    <t>HAY BARN 3</t>
  </si>
  <si>
    <t>3776</t>
  </si>
  <si>
    <t>FRS LAB &amp; LODGE</t>
  </si>
  <si>
    <t>3851</t>
  </si>
  <si>
    <t>LOYD RESIDENCE</t>
  </si>
  <si>
    <t>4394</t>
  </si>
  <si>
    <t>MELTON STORAGE BLD</t>
  </si>
  <si>
    <t>4609</t>
  </si>
  <si>
    <t>GH #3 AGY</t>
  </si>
  <si>
    <t>4743</t>
  </si>
  <si>
    <t>NEMATOLOGY SHED</t>
  </si>
  <si>
    <t>4805</t>
  </si>
  <si>
    <t>BOWEN FM:TOBACCO B</t>
  </si>
  <si>
    <t>5148</t>
  </si>
  <si>
    <t>STAFF HOUSE 401</t>
  </si>
  <si>
    <t>5857</t>
  </si>
  <si>
    <t>RECREATION HALL</t>
  </si>
  <si>
    <t>6305</t>
  </si>
  <si>
    <t>WATERFOWL BROODER</t>
  </si>
  <si>
    <t>3451</t>
  </si>
  <si>
    <t>DB FARM CABIN</t>
  </si>
  <si>
    <t>3653</t>
  </si>
  <si>
    <t>SCALE BLDG LIVESTO</t>
  </si>
  <si>
    <t>3756</t>
  </si>
  <si>
    <t>FRS GAS/PAINT STRG</t>
  </si>
  <si>
    <t>4153</t>
  </si>
  <si>
    <t>PDRC COLONY 7</t>
  </si>
  <si>
    <t>4481</t>
  </si>
  <si>
    <t>DEMPSEY MAINT BLDG</t>
  </si>
  <si>
    <t>4718</t>
  </si>
  <si>
    <t>WELL PUMP HOUSE</t>
  </si>
  <si>
    <t>4809</t>
  </si>
  <si>
    <t>BOWEN FM:TBCCO RES</t>
  </si>
  <si>
    <t>4906</t>
  </si>
  <si>
    <t>EQUIPMENT STORAGE</t>
  </si>
  <si>
    <t>5005</t>
  </si>
  <si>
    <t>COTTAGE 5</t>
  </si>
  <si>
    <t>5035</t>
  </si>
  <si>
    <t>COTTAGE 35</t>
  </si>
  <si>
    <t>5070</t>
  </si>
  <si>
    <t>BOAT HOUSE &amp; STORE</t>
  </si>
  <si>
    <t>5080</t>
  </si>
  <si>
    <t>RESIDENT WILLIAMSO</t>
  </si>
  <si>
    <t>5125</t>
  </si>
  <si>
    <t>WAREHOUSE 2</t>
  </si>
  <si>
    <t>5136</t>
  </si>
  <si>
    <t>LOG CABIN</t>
  </si>
  <si>
    <t>5149</t>
  </si>
  <si>
    <t>WOODRUFF AQUA II</t>
  </si>
  <si>
    <t>5672</t>
  </si>
  <si>
    <t>BRTN-4H MAINT SHOP</t>
  </si>
  <si>
    <t>5871</t>
  </si>
  <si>
    <t>CAMPFIRE PAVILION</t>
  </si>
  <si>
    <t>5902</t>
  </si>
  <si>
    <t>LANG FRM:METAL BLD</t>
  </si>
  <si>
    <t>6085</t>
  </si>
  <si>
    <t>AZALEA COTTAGE</t>
  </si>
  <si>
    <t>7505</t>
  </si>
  <si>
    <t>BAGGETT APARTMENT</t>
  </si>
  <si>
    <t>8654</t>
  </si>
  <si>
    <t>1944</t>
  </si>
  <si>
    <t>HSC-HOUSING BLDG K</t>
  </si>
  <si>
    <t>2254</t>
  </si>
  <si>
    <t>PRES. STOR. HOUSE</t>
  </si>
  <si>
    <t>2533</t>
  </si>
  <si>
    <t>FLINCHUMS PHOENIX</t>
  </si>
  <si>
    <t>2858</t>
  </si>
  <si>
    <t>PS ISOLATION I</t>
  </si>
  <si>
    <t>2980</t>
  </si>
  <si>
    <t>SOUTH MILLEDGE GH1</t>
  </si>
  <si>
    <t>3123</t>
  </si>
  <si>
    <t>DS MANURE PUMPHS</t>
  </si>
  <si>
    <t>3326</t>
  </si>
  <si>
    <t>FRS THOMP MILL FAC</t>
  </si>
  <si>
    <t>3516</t>
  </si>
  <si>
    <t>FOOD PREP SHED</t>
  </si>
  <si>
    <t>4387</t>
  </si>
  <si>
    <t>WESTBROOK POND PH</t>
  </si>
  <si>
    <t>4636</t>
  </si>
  <si>
    <t>BIO &amp; AG ENG ANNEX</t>
  </si>
  <si>
    <t>4709</t>
  </si>
  <si>
    <t>HAY SHED</t>
  </si>
  <si>
    <t>4791</t>
  </si>
  <si>
    <t>NESPAL</t>
  </si>
  <si>
    <t>5020</t>
  </si>
  <si>
    <t>COTTAGE 20</t>
  </si>
  <si>
    <t>5306</t>
  </si>
  <si>
    <t>CABIN 6</t>
  </si>
  <si>
    <t>2412</t>
  </si>
  <si>
    <t>PLANT PATH HEADHSE</t>
  </si>
  <si>
    <t>2627</t>
  </si>
  <si>
    <t>LMPKN ST 1242 1/2S</t>
  </si>
  <si>
    <t>3080</t>
  </si>
  <si>
    <t>VMC VET TCH HOSP</t>
  </si>
  <si>
    <t>3124</t>
  </si>
  <si>
    <t>DS POLE SHED - 1</t>
  </si>
  <si>
    <t>3283</t>
  </si>
  <si>
    <t>6365</t>
  </si>
  <si>
    <t>AEL TRAILER LAB</t>
  </si>
  <si>
    <t>7015</t>
  </si>
  <si>
    <t>SKIDAWAY SHELLFISH</t>
  </si>
  <si>
    <t>7541</t>
  </si>
  <si>
    <t>PRIEST LANDING BLD</t>
  </si>
  <si>
    <t>1010</t>
  </si>
  <si>
    <t>DAWSON HALL</t>
  </si>
  <si>
    <t>1248</t>
  </si>
  <si>
    <t>HOUSING AND CONSUMER RSCH CNTR</t>
  </si>
  <si>
    <t>1923</t>
  </si>
  <si>
    <t>1948</t>
  </si>
  <si>
    <t>2124</t>
  </si>
  <si>
    <t>RIVERBEND SOL STOR</t>
  </si>
  <si>
    <t>7013</t>
  </si>
  <si>
    <t>SKIDAWAY DORMITORY</t>
  </si>
  <si>
    <t>7025</t>
  </si>
  <si>
    <t>FISHERIE BUILDING</t>
  </si>
  <si>
    <t>7528</t>
  </si>
  <si>
    <t>DUPLEX MARTIN/THOM</t>
  </si>
  <si>
    <t>7534</t>
  </si>
  <si>
    <t>CONFERENCE ANN.-M6</t>
  </si>
  <si>
    <t>1043</t>
  </si>
  <si>
    <t>HOKE SMITH BLDG</t>
  </si>
  <si>
    <t>2291</t>
  </si>
  <si>
    <t>SIGMA NU</t>
  </si>
  <si>
    <t>2379</t>
  </si>
  <si>
    <t>VET M CAT-DOG BLDG</t>
  </si>
  <si>
    <t>2391</t>
  </si>
  <si>
    <t>2696</t>
  </si>
  <si>
    <t>BOYD GOLF TEE BOX</t>
  </si>
  <si>
    <t>2965</t>
  </si>
  <si>
    <t>GOLF PUMP HOUSE</t>
  </si>
  <si>
    <t>3491</t>
  </si>
  <si>
    <t>EF HAY BARN</t>
  </si>
  <si>
    <t>3760</t>
  </si>
  <si>
    <t>HQ FARM SERV CNTR</t>
  </si>
  <si>
    <t>4413</t>
  </si>
  <si>
    <t>COWART BUILDING</t>
  </si>
  <si>
    <t>4726</t>
  </si>
  <si>
    <t>QUONSET HOG BARN</t>
  </si>
  <si>
    <t>4748</t>
  </si>
  <si>
    <t>DRYING SHED</t>
  </si>
  <si>
    <t>5320</t>
  </si>
  <si>
    <t>CABIN 19-PROGRAM DIR'S RES</t>
  </si>
  <si>
    <t>5990</t>
  </si>
  <si>
    <t>VOVR DWELLING I</t>
  </si>
  <si>
    <t>6304</t>
  </si>
  <si>
    <t>MAINT SHOP OFFICE</t>
  </si>
  <si>
    <t>6351</t>
  </si>
  <si>
    <t>CHEM ECO LAB</t>
  </si>
  <si>
    <t>1033</t>
  </si>
  <si>
    <t>ECOLOGY</t>
  </si>
  <si>
    <t>1035</t>
  </si>
  <si>
    <t>SCIENCE LRN CTR</t>
  </si>
  <si>
    <t>1110</t>
  </si>
  <si>
    <t>CARLTON ST DECK</t>
  </si>
  <si>
    <t>1503</t>
  </si>
  <si>
    <t>RHODES CNTR ADS -B</t>
  </si>
  <si>
    <t>1509</t>
  </si>
  <si>
    <t>FACIL MGMT EAST</t>
  </si>
  <si>
    <t>1600</t>
  </si>
  <si>
    <t>CHEMISTRY STORAGE</t>
  </si>
  <si>
    <t>1619</t>
  </si>
  <si>
    <t>FUEL OIL STORAGE</t>
  </si>
  <si>
    <t>1939</t>
  </si>
  <si>
    <t>2223</t>
  </si>
  <si>
    <t>UNIV. VLG-C</t>
  </si>
  <si>
    <t>2261</t>
  </si>
  <si>
    <t>BRANDON OAKS U</t>
  </si>
  <si>
    <t>2320</t>
  </si>
  <si>
    <t>PDRC STORAGE 2</t>
  </si>
  <si>
    <t>2460</t>
  </si>
  <si>
    <t>BTGDN HORT OFFICE</t>
  </si>
  <si>
    <t>2545</t>
  </si>
  <si>
    <t>SILVICULTURE STRG</t>
  </si>
  <si>
    <t>3716</t>
  </si>
  <si>
    <t>HQ EQUIPMENT SHED</t>
  </si>
  <si>
    <t>3766</t>
  </si>
  <si>
    <t>HQ OIL STG HOUSE</t>
  </si>
  <si>
    <t>3771</t>
  </si>
  <si>
    <t>GLDS PUMP HOUSE</t>
  </si>
  <si>
    <t>3801</t>
  </si>
  <si>
    <t>ADMIN BLDG</t>
  </si>
  <si>
    <t>4029</t>
  </si>
  <si>
    <t>FRS EQUIP FAC</t>
  </si>
  <si>
    <t>4476</t>
  </si>
  <si>
    <t>PESTICIDE BUILDING</t>
  </si>
  <si>
    <t>4830</t>
  </si>
  <si>
    <t>ALAPAHA:BLUBRRY SH</t>
  </si>
  <si>
    <t>5016</t>
  </si>
  <si>
    <t>COTTAGE 16</t>
  </si>
  <si>
    <t>5065</t>
  </si>
  <si>
    <t>COCA COLA COTG</t>
  </si>
  <si>
    <t>5068</t>
  </si>
  <si>
    <t>L.P. GAS BLDG</t>
  </si>
  <si>
    <t>5079</t>
  </si>
  <si>
    <t>RESIDENT TANKERSLY</t>
  </si>
  <si>
    <t>5135</t>
  </si>
  <si>
    <t>MAINT SHOP STRG</t>
  </si>
  <si>
    <t>3351</t>
  </si>
  <si>
    <t>FERTIGATE FAC</t>
  </si>
  <si>
    <t>3518</t>
  </si>
  <si>
    <t>UTILITY WAREHOUSE</t>
  </si>
  <si>
    <t>3666</t>
  </si>
  <si>
    <t>3799</t>
  </si>
  <si>
    <t>BNX PUMP HOUSE</t>
  </si>
  <si>
    <t>3830</t>
  </si>
  <si>
    <t>METAL STORAGE BLDG</t>
  </si>
  <si>
    <t>3929</t>
  </si>
  <si>
    <t>NEW OFFICE &amp; AUDIT</t>
  </si>
  <si>
    <t>4114</t>
  </si>
  <si>
    <t>VET MED CONF CNTR</t>
  </si>
  <si>
    <t>4120</t>
  </si>
  <si>
    <t>ROSE CREEK RESIDENCE WELL HOUS</t>
  </si>
  <si>
    <t>4580</t>
  </si>
  <si>
    <t>UGA FUTURE FARMSTEAD</t>
  </si>
  <si>
    <t>4625</t>
  </si>
  <si>
    <t>HOR GREENHSE CPES</t>
  </si>
  <si>
    <t>4754</t>
  </si>
  <si>
    <t>PL SCIENCE ANNEX</t>
  </si>
  <si>
    <t>4944</t>
  </si>
  <si>
    <t>PONDER:EASTIN IMP</t>
  </si>
  <si>
    <t>5100</t>
  </si>
  <si>
    <t>SECURITY HOUSE</t>
  </si>
  <si>
    <t>5143</t>
  </si>
  <si>
    <t>STAFF HOUSE 403</t>
  </si>
  <si>
    <t>5319</t>
  </si>
  <si>
    <t>CABIN 18-STAFF HOUSING</t>
  </si>
  <si>
    <t>5853</t>
  </si>
  <si>
    <t>PAVILION # 2 POND</t>
  </si>
  <si>
    <t>5865</t>
  </si>
  <si>
    <t>CANTEEN</t>
  </si>
  <si>
    <t>6105</t>
  </si>
  <si>
    <t>SAPELO TRAILER F</t>
  </si>
  <si>
    <t>1042</t>
  </si>
  <si>
    <t>HOKE SMITH ANNEX</t>
  </si>
  <si>
    <t>1077</t>
  </si>
  <si>
    <t>ANIMAL HEALTH RSCH</t>
  </si>
  <si>
    <t>1979</t>
  </si>
  <si>
    <t>CHEMICAL STORAGE</t>
  </si>
  <si>
    <t>6451</t>
  </si>
  <si>
    <t>ODUM LOG CABIN</t>
  </si>
  <si>
    <t>7113</t>
  </si>
  <si>
    <t>7532</t>
  </si>
  <si>
    <t>QUAD APARTMENTS</t>
  </si>
  <si>
    <t>8653</t>
  </si>
  <si>
    <t>MILITARY,ARMY ROTC</t>
  </si>
  <si>
    <t>ZELL B MILLER SLC</t>
  </si>
  <si>
    <t>TANNER BUILDING</t>
  </si>
  <si>
    <t>0767</t>
  </si>
  <si>
    <t>BROAD ST STUDIO 2</t>
  </si>
  <si>
    <t>1037</t>
  </si>
  <si>
    <t>ESD HAZ STRG PHARMACY</t>
  </si>
  <si>
    <t>2371</t>
  </si>
  <si>
    <t>VET M BARN</t>
  </si>
  <si>
    <t>2442</t>
  </si>
  <si>
    <t>HERRICK PICNIC PAV</t>
  </si>
  <si>
    <t>2525</t>
  </si>
  <si>
    <t>SILVICULTURAL BLDG</t>
  </si>
  <si>
    <t>2582</t>
  </si>
  <si>
    <t>ABEL GREENHOUSE</t>
  </si>
  <si>
    <t>2674</t>
  </si>
  <si>
    <t>GOLF CART STORAGE</t>
  </si>
  <si>
    <t>3059</t>
  </si>
  <si>
    <t>HORT PUMP HSE</t>
  </si>
  <si>
    <t>3670</t>
  </si>
  <si>
    <t>3787</t>
  </si>
  <si>
    <t>GAR PUMP HOUSE</t>
  </si>
  <si>
    <t>4302</t>
  </si>
  <si>
    <t>SPRING LAKE WELL H</t>
  </si>
  <si>
    <t>5027</t>
  </si>
  <si>
    <t>COTTAGE 27</t>
  </si>
  <si>
    <t>5045</t>
  </si>
  <si>
    <t>COTTAGE 45</t>
  </si>
  <si>
    <t>5082</t>
  </si>
  <si>
    <t>POOL 1 FILTER HOUS</t>
  </si>
  <si>
    <t>5158</t>
  </si>
  <si>
    <t>MARGARET K. JOHNSON RES</t>
  </si>
  <si>
    <t>6031</t>
  </si>
  <si>
    <t>S END HOIST DOCK</t>
  </si>
  <si>
    <t>4398</t>
  </si>
  <si>
    <t>ENT SHADEHOUSE</t>
  </si>
  <si>
    <t>4414</t>
  </si>
  <si>
    <t>ALAMO BUILDING</t>
  </si>
  <si>
    <t>4767</t>
  </si>
  <si>
    <t>AGY STORAGE</t>
  </si>
  <si>
    <t>2415</t>
  </si>
  <si>
    <t>GREENHSE RES BOT</t>
  </si>
  <si>
    <t>2557</t>
  </si>
  <si>
    <t>FOR UTIL LAB GRN-2</t>
  </si>
  <si>
    <t>2562</t>
  </si>
  <si>
    <t>FLINCHUMS GAZEBO</t>
  </si>
  <si>
    <t>2659</t>
  </si>
  <si>
    <t>GOLF RAIN SHEL 3</t>
  </si>
  <si>
    <t>1918</t>
  </si>
  <si>
    <t>1995</t>
  </si>
  <si>
    <t>2314</t>
  </si>
  <si>
    <t>PDRC ISOLATION 3</t>
  </si>
  <si>
    <t>2864</t>
  </si>
  <si>
    <t>PS BROILER HSE J</t>
  </si>
  <si>
    <t>2923</t>
  </si>
  <si>
    <t>AS BOAR TEST 2</t>
  </si>
  <si>
    <t>2982</t>
  </si>
  <si>
    <t>UGARDEN TEACHING GH</t>
  </si>
  <si>
    <t>3082</t>
  </si>
  <si>
    <t>VMC LRG AN ISO</t>
  </si>
  <si>
    <t>3207</t>
  </si>
  <si>
    <t>3208</t>
  </si>
  <si>
    <t>3445</t>
  </si>
  <si>
    <t>DB SWINE FINISHING BLDG 1</t>
  </si>
  <si>
    <t>3519</t>
  </si>
  <si>
    <t>STORAGE SHED</t>
  </si>
  <si>
    <t>3602</t>
  </si>
  <si>
    <t>ASST SUPT HOME</t>
  </si>
  <si>
    <t>3765</t>
  </si>
  <si>
    <t>HQ METAL POLE BARN</t>
  </si>
  <si>
    <t>4035</t>
  </si>
  <si>
    <t>GIBBS FRM:NEMOTLGY</t>
  </si>
  <si>
    <t>4052</t>
  </si>
  <si>
    <t>4307</t>
  </si>
  <si>
    <t>HORT BLUBERRY SRNH</t>
  </si>
  <si>
    <t>4370</t>
  </si>
  <si>
    <t>GRIFFIN SLC UTILITY BLDG</t>
  </si>
  <si>
    <t>4442</t>
  </si>
  <si>
    <t>PLANT INTRO BLDG</t>
  </si>
  <si>
    <t>4578</t>
  </si>
  <si>
    <t>P PT WEST SHELTER</t>
  </si>
  <si>
    <t>4602</t>
  </si>
  <si>
    <t>H. H. TIFT BLDG</t>
  </si>
  <si>
    <t>4664</t>
  </si>
  <si>
    <t>SOILS SHED</t>
  </si>
  <si>
    <t>4930</t>
  </si>
  <si>
    <t>PROPTY MGMT FACIL</t>
  </si>
  <si>
    <t>4942</t>
  </si>
  <si>
    <t>PONDER:FIELD RS EQ</t>
  </si>
  <si>
    <t>5009</t>
  </si>
  <si>
    <t>COTTAGE 9</t>
  </si>
  <si>
    <t>5161</t>
  </si>
  <si>
    <t>CABIN 56</t>
  </si>
  <si>
    <t>5317</t>
  </si>
  <si>
    <t>CABIN 17-STAFF HOUSING</t>
  </si>
  <si>
    <t>0053</t>
  </si>
  <si>
    <t>LECONTE HALL</t>
  </si>
  <si>
    <t>0740</t>
  </si>
  <si>
    <t>SPEC COLL LIBRARY</t>
  </si>
  <si>
    <t>1946</t>
  </si>
  <si>
    <t>HSC-HOUSING BLDG M</t>
  </si>
  <si>
    <t>2426</t>
  </si>
  <si>
    <t>AGRONOMY SEED LAB</t>
  </si>
  <si>
    <t>2604</t>
  </si>
  <si>
    <t>LEGION POOL</t>
  </si>
  <si>
    <t>3074</t>
  </si>
  <si>
    <t>HORT IRRIG SYS</t>
  </si>
  <si>
    <t>3111</t>
  </si>
  <si>
    <t>DS RESIDENCE</t>
  </si>
  <si>
    <t>3126</t>
  </si>
  <si>
    <t>DS PUMP HOUSE 2</t>
  </si>
  <si>
    <t>6308</t>
  </si>
  <si>
    <t>BREED PEN 3</t>
  </si>
  <si>
    <t>6376</t>
  </si>
  <si>
    <t>PUMP BLDG</t>
  </si>
  <si>
    <t>7539</t>
  </si>
  <si>
    <t>PRST LND DIVE SHED</t>
  </si>
  <si>
    <t>8652</t>
  </si>
  <si>
    <t>NEW COLLEGE</t>
  </si>
  <si>
    <t>1131</t>
  </si>
  <si>
    <t>STEM RESEARCH BUILDING I</t>
  </si>
  <si>
    <t>1635</t>
  </si>
  <si>
    <t>AUTO CTR TIRE STG</t>
  </si>
  <si>
    <t>2331</t>
  </si>
  <si>
    <t>BTGDN RESTROOMS</t>
  </si>
  <si>
    <t>2341</t>
  </si>
  <si>
    <t>PDRC ISOLATION 5</t>
  </si>
  <si>
    <t>2530</t>
  </si>
  <si>
    <t>2571</t>
  </si>
  <si>
    <t>GREENHOUSE D WH</t>
  </si>
  <si>
    <t>2574</t>
  </si>
  <si>
    <t>STRG BLDG FRS</t>
  </si>
  <si>
    <t>2649</t>
  </si>
  <si>
    <t>GOLF COURSE STOR</t>
  </si>
  <si>
    <t>2853</t>
  </si>
  <si>
    <t>POULTRY SCIENCE ENVIRONMENTAL</t>
  </si>
  <si>
    <t>3045</t>
  </si>
  <si>
    <t>BEE RESEARCH LAB 2</t>
  </si>
  <si>
    <t>3129</t>
  </si>
  <si>
    <t>DS SILO 3</t>
  </si>
  <si>
    <t>3202</t>
  </si>
  <si>
    <t>3362</t>
  </si>
  <si>
    <t>FOR RES STAFF RES</t>
  </si>
  <si>
    <t>3449</t>
  </si>
  <si>
    <t>DB SWINE CONTROL BLDG</t>
  </si>
  <si>
    <t>3669</t>
  </si>
  <si>
    <t>3762</t>
  </si>
  <si>
    <t>FRS WELL HSE 4</t>
  </si>
  <si>
    <t>3783</t>
  </si>
  <si>
    <t>HQ PMP HS AST SUPT</t>
  </si>
  <si>
    <t>4151</t>
  </si>
  <si>
    <t>PDRC COLONY 5</t>
  </si>
  <si>
    <t>4603</t>
  </si>
  <si>
    <t>AG RESEARCH BLDG</t>
  </si>
  <si>
    <t>4608</t>
  </si>
  <si>
    <t>GH #2 HOR AGY</t>
  </si>
  <si>
    <t>4700</t>
  </si>
  <si>
    <t>LIVESTOCK ARENA</t>
  </si>
  <si>
    <t>4900</t>
  </si>
  <si>
    <t>CVM TIFTON HAUL-IN FACILITY</t>
  </si>
  <si>
    <t>4902</t>
  </si>
  <si>
    <t>LAB &amp; STOR BLDG</t>
  </si>
  <si>
    <t>5023</t>
  </si>
  <si>
    <t>COTTAGE 23</t>
  </si>
  <si>
    <t>5145</t>
  </si>
  <si>
    <t>PAVILION AREA 4</t>
  </si>
  <si>
    <t>5720</t>
  </si>
  <si>
    <t>STORAGE POD</t>
  </si>
  <si>
    <t>5995</t>
  </si>
  <si>
    <t>VOVR METAL STORAGE</t>
  </si>
  <si>
    <t>6039</t>
  </si>
  <si>
    <t>PC-3 TRAILER</t>
  </si>
  <si>
    <t>6311</t>
  </si>
  <si>
    <t>RHIZOTRON BLDG</t>
  </si>
  <si>
    <t>6356</t>
  </si>
  <si>
    <t>UTILITY GARAGE</t>
  </si>
  <si>
    <t>7109</t>
  </si>
  <si>
    <t>7516</t>
  </si>
  <si>
    <t>GSU WAREHOUSE</t>
  </si>
  <si>
    <t>7524</t>
  </si>
  <si>
    <t>BERM FACILITY</t>
  </si>
  <si>
    <t>7525</t>
  </si>
  <si>
    <t>MAINT SHOP-S8</t>
  </si>
  <si>
    <t>3640</t>
  </si>
  <si>
    <t>LOAFING BARN 1</t>
  </si>
  <si>
    <t>4176</t>
  </si>
  <si>
    <t>PDRC COLONY 11</t>
  </si>
  <si>
    <t>4380</t>
  </si>
  <si>
    <t>WSTBRK USDA EQ SHD</t>
  </si>
  <si>
    <t>4645</t>
  </si>
  <si>
    <t>ENT EQUIP SHED</t>
  </si>
  <si>
    <t>4736</t>
  </si>
  <si>
    <t>DAIRY CATTLE J31</t>
  </si>
  <si>
    <t>4752</t>
  </si>
  <si>
    <t>PL PATH EQUIPM SHD</t>
  </si>
  <si>
    <t>4768</t>
  </si>
  <si>
    <t>HOR EQUIP SHED</t>
  </si>
  <si>
    <t>4780</t>
  </si>
  <si>
    <t>GIBBS FRM:MTL SHD</t>
  </si>
  <si>
    <t>5007</t>
  </si>
  <si>
    <t>COTTAGE 7</t>
  </si>
  <si>
    <t>5043</t>
  </si>
  <si>
    <t>COTTAGE 43</t>
  </si>
  <si>
    <t>5328</t>
  </si>
  <si>
    <t>PAVILION 2</t>
  </si>
  <si>
    <t>5667</t>
  </si>
  <si>
    <t>BRTN 4H CAMP MANAG</t>
  </si>
  <si>
    <t>6076</t>
  </si>
  <si>
    <t>SOUTH END OFFICE</t>
  </si>
  <si>
    <t>6322</t>
  </si>
  <si>
    <t>SREL RECEIVE BLDG</t>
  </si>
  <si>
    <t>7107</t>
  </si>
  <si>
    <t>FINE ARTS SCEN WKS</t>
  </si>
  <si>
    <t>0687</t>
  </si>
  <si>
    <t>STAD. EAST STANDS</t>
  </si>
  <si>
    <t>1067</t>
  </si>
  <si>
    <t>VET MED - 11</t>
  </si>
  <si>
    <t>1900</t>
  </si>
  <si>
    <t>2652</t>
  </si>
  <si>
    <t>GOLF MAINTENANCE</t>
  </si>
  <si>
    <t>3058</t>
  </si>
  <si>
    <t>PREFAB STRG BLDG 2</t>
  </si>
  <si>
    <t>3130</t>
  </si>
  <si>
    <t>DS SILO 4</t>
  </si>
  <si>
    <t>3131</t>
  </si>
  <si>
    <t>DS POLE HAY BARN</t>
  </si>
  <si>
    <t>3917</t>
  </si>
  <si>
    <t>REFRIGERATION STO</t>
  </si>
  <si>
    <t>3964</t>
  </si>
  <si>
    <t>EATONTON WRKNG FAC</t>
  </si>
  <si>
    <t>4405</t>
  </si>
  <si>
    <t>DUNDEE CAFE</t>
  </si>
  <si>
    <t>4714</t>
  </si>
  <si>
    <t>AN SCI FARROW BARN</t>
  </si>
  <si>
    <t>4799</t>
  </si>
  <si>
    <t>INCINERATOR BLDG</t>
  </si>
  <si>
    <t>5119</t>
  </si>
  <si>
    <t>BIRD LAB</t>
  </si>
  <si>
    <t>5301</t>
  </si>
  <si>
    <t>CABIN 1</t>
  </si>
  <si>
    <t>5756</t>
  </si>
  <si>
    <t>STORAGE BLDG</t>
  </si>
  <si>
    <t>6102</t>
  </si>
  <si>
    <t>SAPELO TRAILER D</t>
  </si>
  <si>
    <t>2549</t>
  </si>
  <si>
    <t>POWER HOUSE FRS</t>
  </si>
  <si>
    <t>2650</t>
  </si>
  <si>
    <t>E B SMITH CLUBHSE</t>
  </si>
  <si>
    <t>2654</t>
  </si>
  <si>
    <t>GOLF AIR COMP/PEST</t>
  </si>
  <si>
    <t>2811</t>
  </si>
  <si>
    <t>BROILER HSE WHITEH</t>
  </si>
  <si>
    <t>2863</t>
  </si>
  <si>
    <t>MULTI PURP HSE N</t>
  </si>
  <si>
    <t>3184</t>
  </si>
  <si>
    <t>FMD GROUNDS ADMIN</t>
  </si>
  <si>
    <t>3203</t>
  </si>
  <si>
    <t>JPC STORAGE</t>
  </si>
  <si>
    <t>3272</t>
  </si>
  <si>
    <t>EQUIP STRG  WEST 1</t>
  </si>
  <si>
    <t>6357</t>
  </si>
  <si>
    <t>8165</t>
  </si>
  <si>
    <t>SANFORD HALL</t>
  </si>
  <si>
    <t>1220</t>
  </si>
  <si>
    <t>SOULE HALL</t>
  </si>
  <si>
    <t>1907</t>
  </si>
  <si>
    <t>2252</t>
  </si>
  <si>
    <t>PRES. GUEST HOUSE</t>
  </si>
  <si>
    <t>6065</t>
  </si>
  <si>
    <t>SHELL HAMMOCK 4</t>
  </si>
  <si>
    <t>6086</t>
  </si>
  <si>
    <t>AZALEA APARTMENT</t>
  </si>
  <si>
    <t>6092</t>
  </si>
  <si>
    <t>PLUMBING SHOP</t>
  </si>
  <si>
    <t>0183</t>
  </si>
  <si>
    <t>TATE DECK BOOTH 2</t>
  </si>
  <si>
    <t>0280</t>
  </si>
  <si>
    <t>REED HALL</t>
  </si>
  <si>
    <t>1745</t>
  </si>
  <si>
    <t>WOODRUFF FLD TWR 3</t>
  </si>
  <si>
    <t>1904</t>
  </si>
  <si>
    <t>2392</t>
  </si>
  <si>
    <t>2416</t>
  </si>
  <si>
    <t>GREENHSE R P CCRC</t>
  </si>
  <si>
    <t>2497</t>
  </si>
  <si>
    <t>BIO-CONV EQ CANOPY</t>
  </si>
  <si>
    <t>2566</t>
  </si>
  <si>
    <t>RHIZOTRON BLDG FRS</t>
  </si>
  <si>
    <t>2639</t>
  </si>
  <si>
    <t>RIVER'S CROSSING</t>
  </si>
  <si>
    <t>2842</t>
  </si>
  <si>
    <t>AGRL SERVICES LAB</t>
  </si>
  <si>
    <t>2972</t>
  </si>
  <si>
    <t>3209</t>
  </si>
  <si>
    <t>JPC EQUIPMENT SHED</t>
  </si>
  <si>
    <t>3477</t>
  </si>
  <si>
    <t>EF ARENA</t>
  </si>
  <si>
    <t>4178</t>
  </si>
  <si>
    <t>PDRC COLONY 13</t>
  </si>
  <si>
    <t>4462</t>
  </si>
  <si>
    <t>STUCKEY CONF CNTR</t>
  </si>
  <si>
    <t>4733</t>
  </si>
  <si>
    <t>HOR EQUIP STORAGE</t>
  </si>
  <si>
    <t>4759</t>
  </si>
  <si>
    <t>SWINE BREED/GEST</t>
  </si>
  <si>
    <t>5019</t>
  </si>
  <si>
    <t>COTTAGE 19</t>
  </si>
  <si>
    <t>5066</t>
  </si>
  <si>
    <t>BANKERS BLDG</t>
  </si>
  <si>
    <t>5069</t>
  </si>
  <si>
    <t>FOUNDERS HALL</t>
  </si>
  <si>
    <t>5304</t>
  </si>
  <si>
    <t>CABIN 4</t>
  </si>
  <si>
    <t>5994</t>
  </si>
  <si>
    <t>VIDALIA ONION CNTR</t>
  </si>
  <si>
    <t>6079</t>
  </si>
  <si>
    <t>SMALL HOOD BLDG</t>
  </si>
  <si>
    <t>6310</t>
  </si>
  <si>
    <t>GREENHOUSE 3</t>
  </si>
  <si>
    <t>6323</t>
  </si>
  <si>
    <t>ANIMAL CARE FAC</t>
  </si>
  <si>
    <t>8298</t>
  </si>
  <si>
    <t>CHAPEL</t>
  </si>
  <si>
    <t>CHICOPEE NO.1</t>
  </si>
  <si>
    <t>1021</t>
  </si>
  <si>
    <t>BARROW HALL</t>
  </si>
  <si>
    <t>1221</t>
  </si>
  <si>
    <t>MARY LYNDON HALL</t>
  </si>
  <si>
    <t>1510</t>
  </si>
  <si>
    <t>EAST VILL PRKNG</t>
  </si>
  <si>
    <t>2253</t>
  </si>
  <si>
    <t>PRES. GARAGE</t>
  </si>
  <si>
    <t>2308</t>
  </si>
  <si>
    <t>PDRC HOUSE 3</t>
  </si>
  <si>
    <t>2383</t>
  </si>
  <si>
    <t>VET MED STALL BARN</t>
  </si>
  <si>
    <t>2534</t>
  </si>
  <si>
    <t>FORESTRY CABIN #1</t>
  </si>
  <si>
    <t>2615</t>
  </si>
  <si>
    <t>PRACTICE FIELD SHD</t>
  </si>
  <si>
    <t>2685</t>
  </si>
  <si>
    <t>2922</t>
  </si>
  <si>
    <t>AS BOAR TEST 1</t>
  </si>
  <si>
    <t>3048</t>
  </si>
  <si>
    <t>HORT POLE SHED 2</t>
  </si>
  <si>
    <t>3116</t>
  </si>
  <si>
    <t>DS HERD HSE BARN</t>
  </si>
  <si>
    <t>3119</t>
  </si>
  <si>
    <t>DS MACHINE SHED</t>
  </si>
  <si>
    <t>3220</t>
  </si>
  <si>
    <t>3361</t>
  </si>
  <si>
    <t>FOR RES EDU CNTR</t>
  </si>
  <si>
    <t>3457</t>
  </si>
  <si>
    <t>DB SWINE FEED STRG</t>
  </si>
  <si>
    <t>3701</t>
  </si>
  <si>
    <t>HQ OFFICE BUILDING</t>
  </si>
  <si>
    <t>3775</t>
  </si>
  <si>
    <t>FRS SUPT RESIDENCE</t>
  </si>
  <si>
    <t>3796</t>
  </si>
  <si>
    <t>TH PMP HS CORRAL</t>
  </si>
  <si>
    <t>4155</t>
  </si>
  <si>
    <t>PDRC COLONY 9</t>
  </si>
  <si>
    <t>4475</t>
  </si>
  <si>
    <t>REDDING BUILDING</t>
  </si>
  <si>
    <t>4554</t>
  </si>
  <si>
    <t>GRDN-PUMPING STATN</t>
  </si>
  <si>
    <t>4745</t>
  </si>
  <si>
    <t>METAL POLE BARN</t>
  </si>
  <si>
    <t>4764</t>
  </si>
  <si>
    <t>ARBORETUM PAVILION</t>
  </si>
  <si>
    <t>4790</t>
  </si>
  <si>
    <t>RDC PESTICIDE STG</t>
  </si>
  <si>
    <t>4832</t>
  </si>
  <si>
    <t>ALAPAHA: TOOL STRG</t>
  </si>
  <si>
    <t>4941</t>
  </si>
  <si>
    <t>PONDER: HORT EQUIP</t>
  </si>
  <si>
    <t>5003</t>
  </si>
  <si>
    <t>COTTAGE 3</t>
  </si>
  <si>
    <t>5142</t>
  </si>
  <si>
    <t>STAFF HOUSE 402</t>
  </si>
  <si>
    <t>5321</t>
  </si>
  <si>
    <t>DINING HALL W 4H</t>
  </si>
  <si>
    <t>5322</t>
  </si>
  <si>
    <t>5323</t>
  </si>
  <si>
    <t>CANTEEN BUILDING</t>
  </si>
  <si>
    <t>5331</t>
  </si>
  <si>
    <t>GIRLS BATH HOUSE</t>
  </si>
  <si>
    <t>3529</t>
  </si>
  <si>
    <t>FEED BARN</t>
  </si>
  <si>
    <t>4379</t>
  </si>
  <si>
    <t>ENVIROTRON GRNHS</t>
  </si>
  <si>
    <t>4489</t>
  </si>
  <si>
    <t>GARDEN STG BLD</t>
  </si>
  <si>
    <t>4772</t>
  </si>
  <si>
    <t>HORT CHEM STORAGE</t>
  </si>
  <si>
    <t>4828</t>
  </si>
  <si>
    <t>ALAPAHA:COTTAGE</t>
  </si>
  <si>
    <t>4873</t>
  </si>
  <si>
    <t>EQUIP STORAGE FAC</t>
  </si>
  <si>
    <t>5123</t>
  </si>
  <si>
    <t>INFIRMARY</t>
  </si>
  <si>
    <t>5305</t>
  </si>
  <si>
    <t>CABIN 5</t>
  </si>
  <si>
    <t>5670</t>
  </si>
  <si>
    <t>BURTON-4H GAZEBO</t>
  </si>
  <si>
    <t>5708</t>
  </si>
  <si>
    <t>GREENHOUSE 2</t>
  </si>
  <si>
    <t>5714</t>
  </si>
  <si>
    <t>MULTI PURPOSE BLDG</t>
  </si>
  <si>
    <t>6315</t>
  </si>
  <si>
    <t>6500</t>
  </si>
  <si>
    <t>HISTORICAL CABIN</t>
  </si>
  <si>
    <t>0661</t>
  </si>
  <si>
    <t>REED PLAZA EAST RESTROOM</t>
  </si>
  <si>
    <t>1511</t>
  </si>
  <si>
    <t>JOE FRANK HARRIS COMMONS</t>
  </si>
  <si>
    <t>1902</t>
  </si>
  <si>
    <t>MILLER HALL</t>
  </si>
  <si>
    <t>1910</t>
  </si>
  <si>
    <t>BROOKS HALL</t>
  </si>
  <si>
    <t>0660</t>
  </si>
  <si>
    <t>REED PLAZA CONCESSIONS</t>
  </si>
  <si>
    <t>1630</t>
  </si>
  <si>
    <t>CEDAR STREET ART</t>
  </si>
  <si>
    <t>2351</t>
  </si>
  <si>
    <t>PUMP HSE FOR RES</t>
  </si>
  <si>
    <t>2407</t>
  </si>
  <si>
    <t>AGY SEED COLD STRG</t>
  </si>
  <si>
    <t>3422</t>
  </si>
  <si>
    <t>FIRING RANGE SHED</t>
  </si>
  <si>
    <t>3441</t>
  </si>
  <si>
    <t>DB SWINE BREEDING BLDG</t>
  </si>
  <si>
    <t>3465</t>
  </si>
  <si>
    <t>DB BEEF SUPPORT BLDG</t>
  </si>
  <si>
    <t>3520</t>
  </si>
  <si>
    <t>STORAGE BUILDING</t>
  </si>
  <si>
    <t>4301</t>
  </si>
  <si>
    <t>ORCHARD PUMPHOUSE</t>
  </si>
  <si>
    <t>5038</t>
  </si>
  <si>
    <t>COTTAGE 38</t>
  </si>
  <si>
    <t>5075</t>
  </si>
  <si>
    <t>PAVILION AREA 1</t>
  </si>
  <si>
    <t>5166</t>
  </si>
  <si>
    <t>PRICE HOUSE</t>
  </si>
  <si>
    <t>5330</t>
  </si>
  <si>
    <t>MAINTENANCE SHOP</t>
  </si>
  <si>
    <t>5751</t>
  </si>
  <si>
    <t>POND AREA COVD STG</t>
  </si>
  <si>
    <t>5988</t>
  </si>
  <si>
    <t>VOVR RES WELL HS</t>
  </si>
  <si>
    <t>4374</t>
  </si>
  <si>
    <t>FUEL PUMPING STATN</t>
  </si>
  <si>
    <t>4550</t>
  </si>
  <si>
    <t>GRDN EDUCATION CNT</t>
  </si>
  <si>
    <t>1632</t>
  </si>
  <si>
    <t>1683</t>
  </si>
  <si>
    <t>VET MED - 5D</t>
  </si>
  <si>
    <t>1691</t>
  </si>
  <si>
    <t>MUSIC BUILDING</t>
  </si>
  <si>
    <t>1743</t>
  </si>
  <si>
    <t>WOODRUFF FLD TWR 1</t>
  </si>
  <si>
    <t>2229</t>
  </si>
  <si>
    <t>UNIV. VLG-J</t>
  </si>
  <si>
    <t>2230</t>
  </si>
  <si>
    <t>UNIV. VLG-K</t>
  </si>
  <si>
    <t>2919</t>
  </si>
  <si>
    <t>3117</t>
  </si>
  <si>
    <t>DS RCH BARN Z-23</t>
  </si>
  <si>
    <t>3521</t>
  </si>
  <si>
    <t>BARBECUE HOUSE</t>
  </si>
  <si>
    <t>3605</t>
  </si>
  <si>
    <t>3634</t>
  </si>
  <si>
    <t>MACHINERY SHOP</t>
  </si>
  <si>
    <t>4623</t>
  </si>
  <si>
    <t>GR BR HH &amp; GH</t>
  </si>
  <si>
    <t>4731</t>
  </si>
  <si>
    <t>CATTLE FEED FAC.</t>
  </si>
  <si>
    <t>5025</t>
  </si>
  <si>
    <t>COTTAGE 25</t>
  </si>
  <si>
    <t>5134</t>
  </si>
  <si>
    <t>MUSEUM NAT HIST</t>
  </si>
  <si>
    <t>5316</t>
  </si>
  <si>
    <t>CABIN 16</t>
  </si>
  <si>
    <t>5668</t>
  </si>
  <si>
    <t>A-FRAME PAVILION</t>
  </si>
  <si>
    <t>5711</t>
  </si>
  <si>
    <t>CONFERENCE CENTER</t>
  </si>
  <si>
    <t>5911</t>
  </si>
  <si>
    <t>HAMPTN FRM:BULL FC</t>
  </si>
  <si>
    <t>6033</t>
  </si>
  <si>
    <t>SAPELO TRAILER J</t>
  </si>
  <si>
    <t>BUSINESS SERVICES</t>
  </si>
  <si>
    <t>0741</t>
  </si>
  <si>
    <t>DIST ENERGY PL #1</t>
  </si>
  <si>
    <t>1084</t>
  </si>
  <si>
    <t>VET BIORES FAC-VBF</t>
  </si>
  <si>
    <t>1924</t>
  </si>
  <si>
    <t>2508</t>
  </si>
  <si>
    <t>POLE SHED FRS</t>
  </si>
  <si>
    <t>2573</t>
  </si>
  <si>
    <t>CABIN NO 4</t>
  </si>
  <si>
    <t>2658</t>
  </si>
  <si>
    <t>GOLF RESTROOM 2</t>
  </si>
  <si>
    <t>3046</t>
  </si>
  <si>
    <t>HORT FARM GH #3</t>
  </si>
  <si>
    <t>3128</t>
  </si>
  <si>
    <t>DS SILO 2</t>
  </si>
  <si>
    <t>7512</t>
  </si>
  <si>
    <t>MCSRIC</t>
  </si>
  <si>
    <t>0042</t>
  </si>
  <si>
    <t>PEABODY HALL</t>
  </si>
  <si>
    <t>0650</t>
  </si>
  <si>
    <t>FOUNDERS HOUSE</t>
  </si>
  <si>
    <t>0755</t>
  </si>
  <si>
    <t>WNP 154</t>
  </si>
  <si>
    <t>1064</t>
  </si>
  <si>
    <t>LOCOMO DIAG CTR</t>
  </si>
  <si>
    <t>1637</t>
  </si>
  <si>
    <t>CAMPUS TRANS FAC</t>
  </si>
  <si>
    <t>2127</t>
  </si>
  <si>
    <t>C A I S</t>
  </si>
  <si>
    <t>2209</t>
  </si>
  <si>
    <t>MELL HALL</t>
  </si>
  <si>
    <t>2695</t>
  </si>
  <si>
    <t>GOLF MAINT FAC</t>
  </si>
  <si>
    <t>2920</t>
  </si>
  <si>
    <t>AS FARROWING BLDG</t>
  </si>
  <si>
    <t>2960</t>
  </si>
  <si>
    <t>EQUESTRIAN POLE BN</t>
  </si>
  <si>
    <t>3211</t>
  </si>
  <si>
    <t>JPC MACH SHED 15</t>
  </si>
  <si>
    <t>3798</t>
  </si>
  <si>
    <t>RCH PUMP HOUSE</t>
  </si>
  <si>
    <t>4053</t>
  </si>
  <si>
    <t>4416</t>
  </si>
  <si>
    <t>FLYNT BUILDING</t>
  </si>
  <si>
    <t>4551</t>
  </si>
  <si>
    <t>GRDN-CHLDRNS ARBOR</t>
  </si>
  <si>
    <t>4599</t>
  </si>
  <si>
    <t>MICRO-GIN EQUP SHD</t>
  </si>
  <si>
    <t>4600</t>
  </si>
  <si>
    <t>MICRO -GIN FACIL</t>
  </si>
  <si>
    <t>4665</t>
  </si>
  <si>
    <t>SOILS LABORATORY</t>
  </si>
  <si>
    <t>4746</t>
  </si>
  <si>
    <t>4766</t>
  </si>
  <si>
    <t>PLANT PATH DRY HSE</t>
  </si>
  <si>
    <t>4812</t>
  </si>
  <si>
    <t>LANDSCAPE &amp; GROUNDS</t>
  </si>
  <si>
    <t>5026</t>
  </si>
  <si>
    <t>COTTAGE 26</t>
  </si>
  <si>
    <t>5037</t>
  </si>
  <si>
    <t>COTTAGE 37</t>
  </si>
  <si>
    <t>5302</t>
  </si>
  <si>
    <t>CABIN 2</t>
  </si>
  <si>
    <t>5810</t>
  </si>
  <si>
    <t>5870</t>
  </si>
  <si>
    <t>FORTSON FARM</t>
  </si>
  <si>
    <t>6321</t>
  </si>
  <si>
    <t>SREL REC OFF</t>
  </si>
  <si>
    <t>7086</t>
  </si>
  <si>
    <t>7110</t>
  </si>
  <si>
    <t>7502</t>
  </si>
  <si>
    <t>OCN SCI INSTR CTR</t>
  </si>
  <si>
    <t>3478</t>
  </si>
  <si>
    <t>EF RED ROOF BARN</t>
  </si>
  <si>
    <t>4310</t>
  </si>
  <si>
    <t>HORTICULTURE SHADE</t>
  </si>
  <si>
    <t>4675</t>
  </si>
  <si>
    <t>CORN BR &amp; PEANUT B</t>
  </si>
  <si>
    <t>5052</t>
  </si>
  <si>
    <t>COTTAGE 52</t>
  </si>
  <si>
    <t>5128</t>
  </si>
  <si>
    <t>5155</t>
  </si>
  <si>
    <t>FOUNDERS HALL STG</t>
  </si>
  <si>
    <t>5307</t>
  </si>
  <si>
    <t>CABIN 7</t>
  </si>
  <si>
    <t>5311</t>
  </si>
  <si>
    <t>CABIN 11</t>
  </si>
  <si>
    <t>5325</t>
  </si>
  <si>
    <t>5723</t>
  </si>
  <si>
    <t>POWER HOUSE</t>
  </si>
  <si>
    <t>6025</t>
  </si>
  <si>
    <t>SLAT HOUSE</t>
  </si>
  <si>
    <t>5862</t>
  </si>
  <si>
    <t>DORM 3 &amp; 4</t>
  </si>
  <si>
    <t>6306</t>
  </si>
  <si>
    <t>BREED PEN 1</t>
  </si>
  <si>
    <t>6377</t>
  </si>
  <si>
    <t>BOAT EQUIP STRG</t>
  </si>
  <si>
    <t>7101</t>
  </si>
  <si>
    <t>0737</t>
  </si>
  <si>
    <t>ORKIN HALL</t>
  </si>
  <si>
    <t>1079</t>
  </si>
  <si>
    <t>ATH V M DIAG LAB</t>
  </si>
  <si>
    <t>1634</t>
  </si>
  <si>
    <t>AUTOMOTIVE CENTER</t>
  </si>
  <si>
    <t>1671</t>
  </si>
  <si>
    <t>BUTTS-MEHRE</t>
  </si>
  <si>
    <t>1940</t>
  </si>
  <si>
    <t>2125</t>
  </si>
  <si>
    <t>RIVERBEND RSCH N</t>
  </si>
  <si>
    <t>2221</t>
  </si>
  <si>
    <t>UNIV. VLG-A</t>
  </si>
  <si>
    <t>2222</t>
  </si>
  <si>
    <t>UNIV. VLG-B</t>
  </si>
  <si>
    <t>2394</t>
  </si>
  <si>
    <t>2907</t>
  </si>
  <si>
    <t>TURF GRASS R&amp;E CTR GH</t>
  </si>
  <si>
    <t>3053</t>
  </si>
  <si>
    <t>HORT FARM GH #2</t>
  </si>
  <si>
    <t>3668</t>
  </si>
  <si>
    <t>3724</t>
  </si>
  <si>
    <t>HQ ERIC'S HOUSE</t>
  </si>
  <si>
    <t>3932</t>
  </si>
  <si>
    <t>MACHINE SHED #4</t>
  </si>
  <si>
    <t>4032</t>
  </si>
  <si>
    <t>NESPAL AG ENG SHED</t>
  </si>
  <si>
    <t>4666</t>
  </si>
  <si>
    <t>SOILS EQUIP SHED</t>
  </si>
  <si>
    <t>4758</t>
  </si>
  <si>
    <t>HORNED FLY REAR BL</t>
  </si>
  <si>
    <t>5042</t>
  </si>
  <si>
    <t>COTTAGE 42</t>
  </si>
  <si>
    <t>5144</t>
  </si>
  <si>
    <t>STAFF HOUSE 404</t>
  </si>
  <si>
    <t>5859</t>
  </si>
  <si>
    <t>SCHOOLHOUSE</t>
  </si>
  <si>
    <t>5996</t>
  </si>
  <si>
    <t>VOVR EQUP STG 1</t>
  </si>
  <si>
    <t>5998</t>
  </si>
  <si>
    <t>VOVR IRRIG EQ FAC</t>
  </si>
  <si>
    <t>2425</t>
  </si>
  <si>
    <t>ENTOMOL GRHSE/HDHS</t>
  </si>
  <si>
    <t>2438</t>
  </si>
  <si>
    <t>CENTER FOR APPLIED GENETIC TEC</t>
  </si>
  <si>
    <t>2462</t>
  </si>
  <si>
    <t>BTGDN MAINTENANCE</t>
  </si>
  <si>
    <t>2481</t>
  </si>
  <si>
    <t>MARINE SCIENCE STORAGE</t>
  </si>
  <si>
    <t>2494</t>
  </si>
  <si>
    <t>BIOPOLYMER CENTER</t>
  </si>
  <si>
    <t>2513</t>
  </si>
  <si>
    <t>METAL BUILDING FRS</t>
  </si>
  <si>
    <t>2527</t>
  </si>
  <si>
    <t>QUONSET HUT SHOP</t>
  </si>
  <si>
    <t>2536</t>
  </si>
  <si>
    <t>CABIN NO 3</t>
  </si>
  <si>
    <t>2572</t>
  </si>
  <si>
    <t>GREENHOUSE E WH</t>
  </si>
  <si>
    <t>2692</t>
  </si>
  <si>
    <t>GOLF DRIV RNG BLD</t>
  </si>
  <si>
    <t>2860</t>
  </si>
  <si>
    <t>STORAGE SHOP BLDG</t>
  </si>
  <si>
    <t>2898</t>
  </si>
  <si>
    <t>TURF GRASS WELL</t>
  </si>
  <si>
    <t>2921</t>
  </si>
  <si>
    <t>SOUTH MILLEDGE GH2</t>
  </si>
  <si>
    <t>6312</t>
  </si>
  <si>
    <t>0250</t>
  </si>
  <si>
    <t>JOE BROWN</t>
  </si>
  <si>
    <t>0620</t>
  </si>
  <si>
    <t>HUMAN RESOURCES</t>
  </si>
  <si>
    <t>1909</t>
  </si>
  <si>
    <t>2003</t>
  </si>
  <si>
    <t>L.C. CARRIAGE HSE.</t>
  </si>
  <si>
    <t>2136</t>
  </si>
  <si>
    <t>WEST CAMPUS PRKNG</t>
  </si>
  <si>
    <t>2333</t>
  </si>
  <si>
    <t>BTGDN TRACTOR SHED</t>
  </si>
  <si>
    <t>6109</t>
  </si>
  <si>
    <t>SAPELO TRAILER V</t>
  </si>
  <si>
    <t>CHICOPEE NO.8</t>
  </si>
  <si>
    <t>0685</t>
  </si>
  <si>
    <t>STAD. NORTH STANDS</t>
  </si>
  <si>
    <t>1000</t>
  </si>
  <si>
    <t>1215</t>
  </si>
  <si>
    <t>RUTHERFORD HALL</t>
  </si>
  <si>
    <t>1680</t>
  </si>
  <si>
    <t>VET MED - 5A</t>
  </si>
  <si>
    <t>2214</t>
  </si>
  <si>
    <t>HILL HALL</t>
  </si>
  <si>
    <t>2292</t>
  </si>
  <si>
    <t>TAU EPSILON PHI</t>
  </si>
  <si>
    <t>2306</t>
  </si>
  <si>
    <t>PDRC FEED STORAGE</t>
  </si>
  <si>
    <t>2319</t>
  </si>
  <si>
    <t>PDRC STORAGE 1</t>
  </si>
  <si>
    <t>2414</t>
  </si>
  <si>
    <t>LATH GREENHOUSE-3</t>
  </si>
  <si>
    <t>2577</t>
  </si>
  <si>
    <t>FRS FISH WLIFE STG</t>
  </si>
  <si>
    <t>2694</t>
  </si>
  <si>
    <t>BOYD GOLF CENTER</t>
  </si>
  <si>
    <t>3033</t>
  </si>
  <si>
    <t>HORT FARM GH # 10</t>
  </si>
  <si>
    <t>3034</t>
  </si>
  <si>
    <t>HORT FARM GHS # 11</t>
  </si>
  <si>
    <t>3466</t>
  </si>
  <si>
    <t>DB BEEF PAVILION</t>
  </si>
  <si>
    <t>3475</t>
  </si>
  <si>
    <t>EQUESTRIAN BARN</t>
  </si>
  <si>
    <t>3525</t>
  </si>
  <si>
    <t>EQUIP STRG BLDG</t>
  </si>
  <si>
    <t>4158</t>
  </si>
  <si>
    <t>PDRC MECH BLDG</t>
  </si>
  <si>
    <t>4303</t>
  </si>
  <si>
    <t>ELLIS RD WELL/RPZ</t>
  </si>
  <si>
    <t>4457</t>
  </si>
  <si>
    <t>S-9 LAB BUILDING</t>
  </si>
  <si>
    <t>4678</t>
  </si>
  <si>
    <t>FERT STORAGE HOUSE</t>
  </si>
  <si>
    <t>5013</t>
  </si>
  <si>
    <t>COTTAGE 13</t>
  </si>
  <si>
    <t>5044</t>
  </si>
  <si>
    <t>COTTAGE 44</t>
  </si>
  <si>
    <t>5159</t>
  </si>
  <si>
    <t>ROCK EAGLE GREENHOUSE</t>
  </si>
  <si>
    <t>5991</t>
  </si>
  <si>
    <t>VOVR DWELLING 2</t>
  </si>
  <si>
    <t>7521</t>
  </si>
  <si>
    <t>SKIDAWAY COMMONS</t>
  </si>
  <si>
    <t>8555</t>
  </si>
  <si>
    <t>8651</t>
  </si>
  <si>
    <t>JACKSON ST BLDG</t>
  </si>
  <si>
    <t>0686</t>
  </si>
  <si>
    <t>STAD. SOUTH STANDS</t>
  </si>
  <si>
    <t>0739</t>
  </si>
  <si>
    <t>CORRELL HALL</t>
  </si>
  <si>
    <t>0756</t>
  </si>
  <si>
    <t>198 WADDELL ST</t>
  </si>
  <si>
    <t>1083</t>
  </si>
  <si>
    <t>VET MED HAZ MAT BL</t>
  </si>
  <si>
    <t>1130</t>
  </si>
  <si>
    <t>COMPUTING SERVICES</t>
  </si>
  <si>
    <t>1802</t>
  </si>
  <si>
    <t>JACK TURNER STADIUM</t>
  </si>
  <si>
    <t>1949</t>
  </si>
  <si>
    <t>2118</t>
  </si>
  <si>
    <t>ENVIRON SAFETY DIVISION</t>
  </si>
  <si>
    <t>2561</t>
  </si>
  <si>
    <t>ACID RAIN HQ BLDG</t>
  </si>
  <si>
    <t>2812</t>
  </si>
  <si>
    <t>BROILER HSE STORAG</t>
  </si>
  <si>
    <t>2870</t>
  </si>
  <si>
    <t>TRANSGENIC POUL</t>
  </si>
  <si>
    <t>2926</t>
  </si>
  <si>
    <t>TURFGRASS RES &amp; ED</t>
  </si>
  <si>
    <t>3784</t>
  </si>
  <si>
    <t>HQ PMP HS BIG WELL</t>
  </si>
  <si>
    <t>3877</t>
  </si>
  <si>
    <t>TH PMP HS RED BARN</t>
  </si>
  <si>
    <t>4175</t>
  </si>
  <si>
    <t>PDRC COLONY 10</t>
  </si>
  <si>
    <t>4779</t>
  </si>
  <si>
    <t>GIBBS FRM:MTL WKSP</t>
  </si>
  <si>
    <t>4975</t>
  </si>
  <si>
    <t>AN SCI FRM STORAGE</t>
  </si>
  <si>
    <t>5032</t>
  </si>
  <si>
    <t>COTTAGE 32</t>
  </si>
  <si>
    <t>5709</t>
  </si>
  <si>
    <t>3175</t>
  </si>
  <si>
    <t>CES PLT PATH GHSE</t>
  </si>
  <si>
    <t>3218</t>
  </si>
  <si>
    <t>JPC PESTICIDE BL</t>
  </si>
  <si>
    <t>4375</t>
  </si>
  <si>
    <t>NCW PAVILLION</t>
  </si>
  <si>
    <t>4399</t>
  </si>
  <si>
    <t>PATHOLOGY POLY GH</t>
  </si>
  <si>
    <t>4498</t>
  </si>
  <si>
    <t>HORT POLY GH 1</t>
  </si>
  <si>
    <t>4503</t>
  </si>
  <si>
    <t>BLEDSOE FARM RESID</t>
  </si>
  <si>
    <t>4739</t>
  </si>
  <si>
    <t>WASTE DISPOSAL</t>
  </si>
  <si>
    <t>4773</t>
  </si>
  <si>
    <t>VID ON ST RSCH LAB</t>
  </si>
  <si>
    <t>4802</t>
  </si>
  <si>
    <t>BOWEN FM:CTG B-F B</t>
  </si>
  <si>
    <t>5150</t>
  </si>
  <si>
    <t>WATSON-BROWN PAVIL</t>
  </si>
  <si>
    <t>5653</t>
  </si>
  <si>
    <t>DORMITORY #2</t>
  </si>
  <si>
    <t>6368</t>
  </si>
  <si>
    <t>AEL LAB BLDG</t>
  </si>
  <si>
    <t>7080</t>
  </si>
  <si>
    <t>FIELD STATION M S</t>
  </si>
  <si>
    <t>7500</t>
  </si>
  <si>
    <t>ROEBLING LAB</t>
  </si>
  <si>
    <t>CHICOPEE NO.4</t>
  </si>
  <si>
    <t>1133</t>
  </si>
  <si>
    <t>6098</t>
  </si>
  <si>
    <t>MERIDIAN GARAGE</t>
  </si>
  <si>
    <t>6106</t>
  </si>
  <si>
    <t>SAPELO TRAILER KM</t>
  </si>
  <si>
    <t>7503</t>
  </si>
  <si>
    <t>LIFE SCIENCES</t>
  </si>
  <si>
    <t>CANDLER HALL</t>
  </si>
  <si>
    <t>BALDWIN HALL</t>
  </si>
  <si>
    <t>1023</t>
  </si>
  <si>
    <t>1093</t>
  </si>
  <si>
    <t>AG. ENG. SHED-1</t>
  </si>
  <si>
    <t>1094</t>
  </si>
  <si>
    <t>DRIFTMIER ENG ANNX</t>
  </si>
  <si>
    <t>2334</t>
  </si>
  <si>
    <t>BTGDN BOILER HOUSE</t>
  </si>
  <si>
    <t>3037</t>
  </si>
  <si>
    <t>HORT POLE SHED 3</t>
  </si>
  <si>
    <t>3524</t>
  </si>
  <si>
    <t>POLE BARN - CORRAL</t>
  </si>
  <si>
    <t>3702</t>
  </si>
  <si>
    <t>HQ LAB BLDG</t>
  </si>
  <si>
    <t>3820</t>
  </si>
  <si>
    <t>FEED MILL</t>
  </si>
  <si>
    <t>3931</t>
  </si>
  <si>
    <t>PESTICIDE STOR</t>
  </si>
  <si>
    <t>4028</t>
  </si>
  <si>
    <t>SHOP STORAGE FAC</t>
  </si>
  <si>
    <t>5004</t>
  </si>
  <si>
    <t>COTTAGE 4</t>
  </si>
  <si>
    <t>5012</t>
  </si>
  <si>
    <t>COTTAGE 12</t>
  </si>
  <si>
    <t>5022</t>
  </si>
  <si>
    <t>COTTAGE 22</t>
  </si>
  <si>
    <t>5757</t>
  </si>
  <si>
    <t>BAMBOO MAZE OB TWR</t>
  </si>
  <si>
    <t>5860</t>
  </si>
  <si>
    <t>ROWAN GUEST CABIN</t>
  </si>
  <si>
    <t>5901</t>
  </si>
  <si>
    <t>LANG FRM: SHOP-OFF</t>
  </si>
  <si>
    <t>6014</t>
  </si>
  <si>
    <t>GARDENER COTTAGE N</t>
  </si>
  <si>
    <t>6015</t>
  </si>
  <si>
    <t>GARDENR COTT N SHD</t>
  </si>
  <si>
    <t>4308</t>
  </si>
  <si>
    <t>WATER FILTRATION B</t>
  </si>
  <si>
    <t>4384</t>
  </si>
  <si>
    <t>PLANT RESEARCH BLD</t>
  </si>
  <si>
    <t>4504</t>
  </si>
  <si>
    <t>BLEDSOE IRRG PMPHS</t>
  </si>
  <si>
    <t>4555</t>
  </si>
  <si>
    <t>GRDN-SHADE STRUCTR</t>
  </si>
  <si>
    <t>2376</t>
  </si>
  <si>
    <t>VET M SWINE FAC 1</t>
  </si>
  <si>
    <t>2485</t>
  </si>
  <si>
    <t>SURF WAT MONITOR</t>
  </si>
  <si>
    <t>2543</t>
  </si>
  <si>
    <t>DEER FEEDER</t>
  </si>
  <si>
    <t>2640</t>
  </si>
  <si>
    <t>1639</t>
  </si>
  <si>
    <t>LANDSCAPE STRG SHED</t>
  </si>
  <si>
    <t>1901</t>
  </si>
  <si>
    <t>2226</t>
  </si>
  <si>
    <t>UNIV. VLG-F</t>
  </si>
  <si>
    <t>2233</t>
  </si>
  <si>
    <t>KAPPA SIGMA F.</t>
  </si>
  <si>
    <t>3212</t>
  </si>
  <si>
    <t>JPC ENGING LAB</t>
  </si>
  <si>
    <t>4725</t>
  </si>
  <si>
    <t>SWINE PARASITE BR</t>
  </si>
  <si>
    <t>4751</t>
  </si>
  <si>
    <t>SOIL STERILIZ SHED</t>
  </si>
  <si>
    <t>4876</t>
  </si>
  <si>
    <t>TIFTON CONF CTR</t>
  </si>
  <si>
    <t>5015</t>
  </si>
  <si>
    <t>COTTAGE 15</t>
  </si>
  <si>
    <t>5718</t>
  </si>
  <si>
    <t>ANNEX - INSTR CNTR</t>
  </si>
  <si>
    <t>5867</t>
  </si>
  <si>
    <t>SMITH GUEST CABIN</t>
  </si>
  <si>
    <t>5877</t>
  </si>
  <si>
    <t>STAFF BLDG # 1</t>
  </si>
  <si>
    <t>6036</t>
  </si>
  <si>
    <t>SAPELO TRAILER B</t>
  </si>
  <si>
    <t>INST PLAZA</t>
  </si>
  <si>
    <t>1250</t>
  </si>
  <si>
    <t>TUCKER HALL</t>
  </si>
  <si>
    <t>1617</t>
  </si>
  <si>
    <t>DIST ENERGY PL #2</t>
  </si>
  <si>
    <t>1673</t>
  </si>
  <si>
    <t>RANKIN ST ATH ACAD</t>
  </si>
  <si>
    <t>2225</t>
  </si>
  <si>
    <t>UNIV. VLG-E</t>
  </si>
  <si>
    <t>2423</t>
  </si>
  <si>
    <t>HORT GREENHOUSE-1</t>
  </si>
  <si>
    <t>2430</t>
  </si>
  <si>
    <t>DRY WASTE STORAGE</t>
  </si>
  <si>
    <t>2555</t>
  </si>
  <si>
    <t>WOOD UTILIZN LAB</t>
  </si>
  <si>
    <t>2697</t>
  </si>
  <si>
    <t>2819</t>
  </si>
  <si>
    <t>FEED MILL WHITEHAL</t>
  </si>
  <si>
    <t>2851</t>
  </si>
  <si>
    <t>PS CAGE LAY HSE B</t>
  </si>
  <si>
    <t>3049</t>
  </si>
  <si>
    <t>HORT EQUIP STG</t>
  </si>
  <si>
    <t>3153</t>
  </si>
  <si>
    <t>POLE BARN SPLY STG</t>
  </si>
  <si>
    <t>6358</t>
  </si>
  <si>
    <t>8364</t>
  </si>
  <si>
    <t>DEAN RUSK HALL</t>
  </si>
  <si>
    <t>0734</t>
  </si>
  <si>
    <t>IVESTER HALL</t>
  </si>
  <si>
    <t>0752</t>
  </si>
  <si>
    <t>WNP 240</t>
  </si>
  <si>
    <t>1072</t>
  </si>
  <si>
    <t>VET MED-2</t>
  </si>
  <si>
    <t>1744</t>
  </si>
  <si>
    <t>WOODRUFF FLD TWR 2</t>
  </si>
  <si>
    <t>1908</t>
  </si>
  <si>
    <t>2119</t>
  </si>
  <si>
    <t>AUXILIARY SERVICES</t>
  </si>
  <si>
    <t>2300</t>
  </si>
  <si>
    <t>PDRC MAIN BUILDING</t>
  </si>
  <si>
    <t>2519</t>
  </si>
  <si>
    <t>FEED HOUSE FRS</t>
  </si>
  <si>
    <t>2560</t>
  </si>
  <si>
    <t>STORAGE- WHITEHALL</t>
  </si>
  <si>
    <t>2900</t>
  </si>
  <si>
    <t>CLUB SPORT RESTRMS</t>
  </si>
  <si>
    <t>3176</t>
  </si>
  <si>
    <t>PLANT PATH NEM LAB</t>
  </si>
  <si>
    <t>3219</t>
  </si>
  <si>
    <t>3458</t>
  </si>
  <si>
    <t>DB SWINE COMPOST</t>
  </si>
  <si>
    <t>3492</t>
  </si>
  <si>
    <t>EQUESTR CLUBHOUSE</t>
  </si>
  <si>
    <t>3767</t>
  </si>
  <si>
    <t>HQ SUPERS GARAGE</t>
  </si>
  <si>
    <t>3910</t>
  </si>
  <si>
    <t>4373</t>
  </si>
  <si>
    <t>GARDEN WELL HOUSE</t>
  </si>
  <si>
    <t>4388</t>
  </si>
  <si>
    <t>WESTBROOK POLE BRN</t>
  </si>
  <si>
    <t>4640</t>
  </si>
  <si>
    <t>4717</t>
  </si>
  <si>
    <t>LABORERS COTTAGE E</t>
  </si>
  <si>
    <t>4850</t>
  </si>
  <si>
    <t>RES ATTAPULGUS 1</t>
  </si>
  <si>
    <t>5759</t>
  </si>
  <si>
    <t>MULCH SHED</t>
  </si>
  <si>
    <t>5863</t>
  </si>
  <si>
    <t>PAVILION # 1</t>
  </si>
  <si>
    <t>5864</t>
  </si>
  <si>
    <t>KITCHEN KUTIES - STAFF BL</t>
  </si>
  <si>
    <t>7104</t>
  </si>
  <si>
    <t>7118</t>
  </si>
  <si>
    <t>7210</t>
  </si>
  <si>
    <t>7538</t>
  </si>
  <si>
    <t>MAINT SHOP B</t>
  </si>
  <si>
    <t>3421</t>
  </si>
  <si>
    <t>PUB.SFTY TRNG CTR</t>
  </si>
  <si>
    <t>3429</t>
  </si>
  <si>
    <t>PUB SAF RR FAC</t>
  </si>
  <si>
    <t>3772</t>
  </si>
  <si>
    <t>FRS WELL HSE 5</t>
  </si>
  <si>
    <t>3781</t>
  </si>
  <si>
    <t>HQ PMP HS - GREG</t>
  </si>
  <si>
    <t>3811</t>
  </si>
  <si>
    <t>OLD OFF BLDG SEGB</t>
  </si>
  <si>
    <t>3911</t>
  </si>
  <si>
    <t>4118</t>
  </si>
  <si>
    <t>VET MED EQUIN BARN</t>
  </si>
  <si>
    <t>4177</t>
  </si>
  <si>
    <t>PDRC COLONY 12</t>
  </si>
  <si>
    <t>4506</t>
  </si>
  <si>
    <t>BLEDSOE FERT/PEST</t>
  </si>
  <si>
    <t>4650</t>
  </si>
  <si>
    <t>GIN &amp; SEED HOUSE</t>
  </si>
  <si>
    <t>4727</t>
  </si>
  <si>
    <t>BST PACK HOUSE</t>
  </si>
  <si>
    <t>6307</t>
  </si>
  <si>
    <t>BREED PEN 2</t>
  </si>
  <si>
    <t>7084</t>
  </si>
  <si>
    <t>0768</t>
  </si>
  <si>
    <t>1073</t>
  </si>
  <si>
    <t>VET MED-6</t>
  </si>
  <si>
    <t>1340</t>
  </si>
  <si>
    <t>GREENHSE A NR PHAR</t>
  </si>
  <si>
    <t>1618</t>
  </si>
  <si>
    <t>CENT STEAM PLT BOILER HS 2</t>
  </si>
  <si>
    <t>1692</t>
  </si>
  <si>
    <t>PERFORMNG ARTS CTR</t>
  </si>
  <si>
    <t>1809</t>
  </si>
  <si>
    <t>SOC PROMO STAND</t>
  </si>
  <si>
    <t>1911</t>
  </si>
  <si>
    <t>1914</t>
  </si>
  <si>
    <t>1922</t>
  </si>
  <si>
    <t>2369</t>
  </si>
  <si>
    <t>VET M STORAGE</t>
  </si>
  <si>
    <t>2431</t>
  </si>
  <si>
    <t>CRS WAREHOUSE</t>
  </si>
  <si>
    <t>2653</t>
  </si>
  <si>
    <t>GOLF RIVER PUMP PD</t>
  </si>
  <si>
    <t>2835</t>
  </si>
  <si>
    <t>FOUR TOWERS</t>
  </si>
  <si>
    <t>3125</t>
  </si>
  <si>
    <t>DS POLE SHED - 2</t>
  </si>
  <si>
    <t>3508</t>
  </si>
  <si>
    <t>JARRET HOUSE</t>
  </si>
  <si>
    <t>3532</t>
  </si>
  <si>
    <t>METAL MACH STOR</t>
  </si>
  <si>
    <t>3761</t>
  </si>
  <si>
    <t>FRS WELL HSE 3</t>
  </si>
  <si>
    <t>3823</t>
  </si>
  <si>
    <t>HERDSMAN'S HOUSE</t>
  </si>
  <si>
    <t>4482</t>
  </si>
  <si>
    <t>SEED STOR COOLER</t>
  </si>
  <si>
    <t>4676</t>
  </si>
  <si>
    <t>FORAGE &amp; PASTURE S</t>
  </si>
  <si>
    <t>4811</t>
  </si>
  <si>
    <t>TIFTON GAMBREL BARN</t>
  </si>
  <si>
    <t>4949</t>
  </si>
  <si>
    <t>DRY COW BARN</t>
  </si>
  <si>
    <t>5030</t>
  </si>
  <si>
    <t>COTTAGE 30</t>
  </si>
  <si>
    <t>5327</t>
  </si>
  <si>
    <t>PAVILION 1</t>
  </si>
  <si>
    <t>5851</t>
  </si>
  <si>
    <t>DIRECTOR WELL HOUSE</t>
  </si>
  <si>
    <t>5869</t>
  </si>
  <si>
    <t>MAIN WELL HOUSE</t>
  </si>
  <si>
    <t>5872</t>
  </si>
  <si>
    <t>STAFF BLDG #3</t>
  </si>
  <si>
    <t>6063</t>
  </si>
  <si>
    <t>SHELL HAMMOCK 2</t>
  </si>
  <si>
    <t>6067</t>
  </si>
  <si>
    <t>SHELL HAMMOCK UTIL</t>
  </si>
  <si>
    <t>2512</t>
  </si>
  <si>
    <t>GREENHSE SHOP FRS</t>
  </si>
  <si>
    <t>2518</t>
  </si>
  <si>
    <t>BOAT SHED LAB</t>
  </si>
  <si>
    <t>2529</t>
  </si>
  <si>
    <t>BARN</t>
  </si>
  <si>
    <t>2551</t>
  </si>
  <si>
    <t>PUMP HOUSE-4 FRS</t>
  </si>
  <si>
    <t>2606</t>
  </si>
  <si>
    <t>THOMAS ST STUDIO</t>
  </si>
  <si>
    <t>2630</t>
  </si>
  <si>
    <t>RIVER'S CROSS # 2</t>
  </si>
  <si>
    <t>2763</t>
  </si>
  <si>
    <t>RS CH CRS EQ SHED</t>
  </si>
  <si>
    <t>2862</t>
  </si>
  <si>
    <t>MULTI PURP HSE M</t>
  </si>
  <si>
    <t>3217</t>
  </si>
  <si>
    <t>JPC FESCUE BRN 27</t>
  </si>
  <si>
    <t>6301</t>
  </si>
  <si>
    <t>SREL-MAIN LAB, DOE</t>
  </si>
  <si>
    <t>7116</t>
  </si>
  <si>
    <t>7507</t>
  </si>
  <si>
    <t>PSYCHOLOGY</t>
  </si>
  <si>
    <t>GEOL. HYDROTHERMAL</t>
  </si>
  <si>
    <t>1665</t>
  </si>
  <si>
    <t>ATH STG SHD 1 NCAA</t>
  </si>
  <si>
    <t>1976</t>
  </si>
  <si>
    <t>1977</t>
  </si>
  <si>
    <t>2115</t>
  </si>
  <si>
    <t>HAZ STRG RIVERBEND</t>
  </si>
  <si>
    <t>2204</t>
  </si>
  <si>
    <t>MORRIS HALL</t>
  </si>
  <si>
    <t>2216</t>
  </si>
  <si>
    <t>BOGGS HALL</t>
  </si>
  <si>
    <t>6062</t>
  </si>
  <si>
    <t>SHELL HAMMOCK 1</t>
  </si>
  <si>
    <t>6314</t>
  </si>
  <si>
    <t>SREL BUS ANNEX</t>
  </si>
  <si>
    <t>6316</t>
  </si>
  <si>
    <t>PUMP TANK HSE</t>
  </si>
  <si>
    <t>7018</t>
  </si>
  <si>
    <t>SKIDAWAY STORAGE</t>
  </si>
  <si>
    <t>7028</t>
  </si>
  <si>
    <t>SPRINGER MT FM PAV</t>
  </si>
  <si>
    <t>7509</t>
  </si>
  <si>
    <t>SCALE HOUSE</t>
  </si>
  <si>
    <t>CHICOPEE NO.2</t>
  </si>
  <si>
    <t>1085</t>
  </si>
  <si>
    <t>HAZ STRG VET MED</t>
  </si>
  <si>
    <t>1690</t>
  </si>
  <si>
    <t>RAMSEY STU CTR PA</t>
  </si>
  <si>
    <t>1698</t>
  </si>
  <si>
    <t>1916</t>
  </si>
  <si>
    <t>2238</t>
  </si>
  <si>
    <t>UNIV VILL COMM OFF</t>
  </si>
  <si>
    <t>2302</t>
  </si>
  <si>
    <t>PDRC VISITOR HOUSE</t>
  </si>
  <si>
    <t>2365</t>
  </si>
  <si>
    <t>2389</t>
  </si>
  <si>
    <t>EQPT SHED VET MED</t>
  </si>
  <si>
    <t>2540</t>
  </si>
  <si>
    <t>STRAGE HOUSE FRS-2</t>
  </si>
  <si>
    <t>2544</t>
  </si>
  <si>
    <t>PUMP HOUSE-3 FRS</t>
  </si>
  <si>
    <t>2638</t>
  </si>
  <si>
    <t>LEGION FLD CONCERT</t>
  </si>
  <si>
    <t>3187</t>
  </si>
  <si>
    <t>SAND/SALT BINS</t>
  </si>
  <si>
    <t>3210</t>
  </si>
  <si>
    <t>3443</t>
  </si>
  <si>
    <t>DB SWINE FINISHING BLDG 2</t>
  </si>
  <si>
    <t>3705</t>
  </si>
  <si>
    <t>HQ ASSTNT SUP RES</t>
  </si>
  <si>
    <t>3753</t>
  </si>
  <si>
    <t>HQ FEED ML &amp; BIN</t>
  </si>
  <si>
    <t>3773</t>
  </si>
  <si>
    <t>FRS WELL HSE 6</t>
  </si>
  <si>
    <t>3908</t>
  </si>
  <si>
    <t>4150</t>
  </si>
  <si>
    <t>PDRC STORAGE 4</t>
  </si>
  <si>
    <t>4360</t>
  </si>
  <si>
    <t>SEPTIC SYS EDU FAC</t>
  </si>
  <si>
    <t>4735</t>
  </si>
  <si>
    <t>SILOS+IRRIGATION S</t>
  </si>
  <si>
    <t>4867</t>
  </si>
  <si>
    <t>SHOP AND STORAGE</t>
  </si>
  <si>
    <t>4875</t>
  </si>
  <si>
    <t>STRIPLING OFF BLDG</t>
  </si>
  <si>
    <t>4908</t>
  </si>
  <si>
    <t>DIAG LAB MAINT</t>
  </si>
  <si>
    <t>5002</t>
  </si>
  <si>
    <t>COTTAGE 2</t>
  </si>
  <si>
    <t>5024</t>
  </si>
  <si>
    <t>COTTAGE 24</t>
  </si>
  <si>
    <t>5993</t>
  </si>
  <si>
    <t>VOVR PROCESSING</t>
  </si>
  <si>
    <t>6110</t>
  </si>
  <si>
    <t>BSL-3 MOD LAB BL</t>
  </si>
  <si>
    <t>7059</t>
  </si>
  <si>
    <t>7537</t>
  </si>
  <si>
    <t>SCULPTURE CANOPY</t>
  </si>
  <si>
    <t>1031</t>
  </si>
  <si>
    <t>HARDMAN HALL</t>
  </si>
  <si>
    <t>1040</t>
  </si>
  <si>
    <t>FOREST RESOURCES-1</t>
  </si>
  <si>
    <t>1643</t>
  </si>
  <si>
    <t>SNELLING HALL</t>
  </si>
  <si>
    <t>1912</t>
  </si>
  <si>
    <t>2370</t>
  </si>
  <si>
    <t>VET M BLOCK BLDG</t>
  </si>
  <si>
    <t>2690</t>
  </si>
  <si>
    <t>TOWNS RES 2</t>
  </si>
  <si>
    <t>2815</t>
  </si>
  <si>
    <t>STOR SHED WHITEHAL</t>
  </si>
  <si>
    <t>3655</t>
  </si>
  <si>
    <t>FEED MILL FACILITY</t>
  </si>
  <si>
    <t>3905</t>
  </si>
  <si>
    <t>4033</t>
  </si>
  <si>
    <t>FUEL MONITOR BLDG</t>
  </si>
  <si>
    <t>4371</t>
  </si>
  <si>
    <t>TURF LAKE PUMPHS</t>
  </si>
  <si>
    <t>4643</t>
  </si>
  <si>
    <t>INSECTARY</t>
  </si>
  <si>
    <t>3763</t>
  </si>
  <si>
    <t>PUMP HOUSE 13</t>
  </si>
  <si>
    <t>3815</t>
  </si>
  <si>
    <t>4417</t>
  </si>
  <si>
    <t>URBAN AG CTR</t>
  </si>
  <si>
    <t>4508</t>
  </si>
  <si>
    <t>BLEDSOE EQUIP SHED</t>
  </si>
  <si>
    <t>4831</t>
  </si>
  <si>
    <t>ALAPAHA: HAY SHED</t>
  </si>
  <si>
    <t>5001</t>
  </si>
  <si>
    <t>ROCK EGL:COTTAGE 1</t>
  </si>
  <si>
    <t>5049</t>
  </si>
  <si>
    <t>COTTAGE 49</t>
  </si>
  <si>
    <t>5058</t>
  </si>
  <si>
    <t>INTERNATIONAL PAPER BUILDING</t>
  </si>
  <si>
    <t>5092</t>
  </si>
  <si>
    <t>SEWERAGE LIFT STA</t>
  </si>
  <si>
    <t>6077</t>
  </si>
  <si>
    <t>APARTMENT BLDG</t>
  </si>
  <si>
    <t>6078</t>
  </si>
  <si>
    <t>CARRIAGE HOUSE</t>
  </si>
  <si>
    <t>6089</t>
  </si>
  <si>
    <t>SEARS ROEBUCK GAR</t>
  </si>
  <si>
    <t>6309</t>
  </si>
  <si>
    <t>BREED PEN 4</t>
  </si>
  <si>
    <t>7504</t>
  </si>
  <si>
    <t>MARINE OPRTNS STRG</t>
  </si>
  <si>
    <t>7527</t>
  </si>
  <si>
    <t>JOURNALISM</t>
  </si>
  <si>
    <t>2137</t>
  </si>
  <si>
    <t>FLO PAK MECH</t>
  </si>
  <si>
    <t>1011</t>
  </si>
  <si>
    <t>CONNER HALL</t>
  </si>
  <si>
    <t>1515</t>
  </si>
  <si>
    <t>E V MCWHORTER HALL</t>
  </si>
  <si>
    <t>1675</t>
  </si>
  <si>
    <t>J.W. FANNING BLDG</t>
  </si>
  <si>
    <t>2263</t>
  </si>
  <si>
    <t>COMMUNICATION HUT2</t>
  </si>
  <si>
    <t>2393</t>
  </si>
  <si>
    <t>2395</t>
  </si>
  <si>
    <t>CTR MOLECULAR MED</t>
  </si>
  <si>
    <t>2441</t>
  </si>
  <si>
    <t>HERRICK BOAT HOUSE</t>
  </si>
  <si>
    <t>2617</t>
  </si>
  <si>
    <t>LUCY COBB CHAPEL</t>
  </si>
  <si>
    <t>2678</t>
  </si>
  <si>
    <t>GOLF RESTROOM 1</t>
  </si>
  <si>
    <t>3205</t>
  </si>
  <si>
    <t>3304</t>
  </si>
  <si>
    <t>SPRING SHED</t>
  </si>
  <si>
    <t>3654</t>
  </si>
  <si>
    <t>LIVESTOCK PAVILION</t>
  </si>
  <si>
    <t>3764</t>
  </si>
  <si>
    <t>PUMP HOUSE 16</t>
  </si>
  <si>
    <t>3809</t>
  </si>
  <si>
    <t>RES WELL HOUSE 1</t>
  </si>
  <si>
    <t>3918</t>
  </si>
  <si>
    <t>5055</t>
  </si>
  <si>
    <t>5137</t>
  </si>
  <si>
    <t>5156</t>
  </si>
  <si>
    <t>CABIN PROTOTYPE</t>
  </si>
  <si>
    <t>5309</t>
  </si>
  <si>
    <t>CABIN 9</t>
  </si>
  <si>
    <t>4549</t>
  </si>
  <si>
    <t>GARDEN GAZEBO 2</t>
  </si>
  <si>
    <t>4630</t>
  </si>
  <si>
    <t>HORTICULTURE BARN</t>
  </si>
  <si>
    <t>4763</t>
  </si>
  <si>
    <t>PHY PLT STG CPES</t>
  </si>
  <si>
    <t>2576</t>
  </si>
  <si>
    <t>TANK HOUSE</t>
  </si>
  <si>
    <t>2620</t>
  </si>
  <si>
    <t>SOIL TESTING LAB</t>
  </si>
  <si>
    <t>1657</t>
  </si>
  <si>
    <t>TREANOR HOUSE</t>
  </si>
  <si>
    <t>1982</t>
  </si>
  <si>
    <t>2005</t>
  </si>
  <si>
    <t>VINSON HALL</t>
  </si>
  <si>
    <t>2007</t>
  </si>
  <si>
    <t>ADMIN SERV ANNEX</t>
  </si>
  <si>
    <t>3528</t>
  </si>
  <si>
    <t>3719</t>
  </si>
  <si>
    <t>3731</t>
  </si>
  <si>
    <t>GAR JOHNNYS HOUSE</t>
  </si>
  <si>
    <t>3768</t>
  </si>
  <si>
    <t>TH METAL POLE BARN</t>
  </si>
  <si>
    <t>3945</t>
  </si>
  <si>
    <t>GENERAL WAREHOUSE</t>
  </si>
  <si>
    <t>4152</t>
  </si>
  <si>
    <t>PDRC COLONY 6</t>
  </si>
  <si>
    <t>4673</t>
  </si>
  <si>
    <t>DRYING HOUSE</t>
  </si>
  <si>
    <t>4749</t>
  </si>
  <si>
    <t>TRAILER</t>
  </si>
  <si>
    <t>4761</t>
  </si>
  <si>
    <t>AGY RESTROOM</t>
  </si>
  <si>
    <t>5084</t>
  </si>
  <si>
    <t>PAVILION C</t>
  </si>
  <si>
    <t>5121</t>
  </si>
  <si>
    <t>ADMIN GAZEBO</t>
  </si>
  <si>
    <t>5164</t>
  </si>
  <si>
    <t>JOHNSON PUMPHS</t>
  </si>
  <si>
    <t>5658</t>
  </si>
  <si>
    <t>BRTN-4H DORMS 6&amp;7</t>
  </si>
  <si>
    <t>5695</t>
  </si>
  <si>
    <t>ROCK HAWK TOWER</t>
  </si>
  <si>
    <t>5749</t>
  </si>
  <si>
    <t>MAINT SHOP BMBOO F</t>
  </si>
  <si>
    <t>5900</t>
  </si>
  <si>
    <t>LANG FRM:FIELD EQP</t>
  </si>
  <si>
    <t>5914</t>
  </si>
  <si>
    <t>HAMPTN FRM:RES II</t>
  </si>
  <si>
    <t>0662</t>
  </si>
  <si>
    <t>REED PLAZA WEST RESTROOM</t>
  </si>
  <si>
    <t>1024</t>
  </si>
  <si>
    <t>ECOLOGY ANNEX</t>
  </si>
  <si>
    <t>1140</t>
  </si>
  <si>
    <t>FOREST RESOURCES-2</t>
  </si>
  <si>
    <t>1925</t>
  </si>
  <si>
    <t>1952</t>
  </si>
  <si>
    <t>2004</t>
  </si>
  <si>
    <t>L. COBB KITCHEN</t>
  </si>
  <si>
    <t>2227</t>
  </si>
  <si>
    <t>UNIV. VLG-G</t>
  </si>
  <si>
    <t>2265</t>
  </si>
  <si>
    <t>BOLTON DINING HALL</t>
  </si>
  <si>
    <t>2305</t>
  </si>
  <si>
    <t>PDRC HOUSE 1</t>
  </si>
  <si>
    <t>2318</t>
  </si>
  <si>
    <t>PDRC ANIMAL CARE</t>
  </si>
  <si>
    <t>2850</t>
  </si>
  <si>
    <t>PS SERVICE BLDG A</t>
  </si>
  <si>
    <t>2911</t>
  </si>
  <si>
    <t>SUS ED MAINT BARN</t>
  </si>
  <si>
    <t>3036</t>
  </si>
  <si>
    <t>HORT SNOW ARCH GH</t>
  </si>
  <si>
    <t>7115</t>
  </si>
  <si>
    <t>7520</t>
  </si>
  <si>
    <t>RV SAVANNAH</t>
  </si>
  <si>
    <t>0705</t>
  </si>
  <si>
    <t>RADIO TRNSMIT BLD</t>
  </si>
  <si>
    <t>1513</t>
  </si>
  <si>
    <t>E V ROOKER HALL</t>
  </si>
  <si>
    <t>1694</t>
  </si>
  <si>
    <t>MAIN ART BUILDING</t>
  </si>
  <si>
    <t>2244</t>
  </si>
  <si>
    <t>ROGERS ROAD APTS R</t>
  </si>
  <si>
    <t>2293</t>
  </si>
  <si>
    <t>PHI DELTA THETA</t>
  </si>
  <si>
    <t>2329</t>
  </si>
  <si>
    <t>BTGDN QUAD GRNHSE</t>
  </si>
  <si>
    <t>2537</t>
  </si>
  <si>
    <t>GREENHOUSE A-WH</t>
  </si>
  <si>
    <t>3081</t>
  </si>
  <si>
    <t>VMC VET ED CENTER</t>
  </si>
  <si>
    <t>3186</t>
  </si>
  <si>
    <t>FMD IPM</t>
  </si>
  <si>
    <t>3426</t>
  </si>
  <si>
    <t>A STRINGFELLOW BLD</t>
  </si>
  <si>
    <t>3676</t>
  </si>
  <si>
    <t>3769</t>
  </si>
  <si>
    <t>HQ PMP HS FIRE TWR</t>
  </si>
  <si>
    <t>3881</t>
  </si>
  <si>
    <t>RCH CORRAL</t>
  </si>
  <si>
    <t>4400</t>
  </si>
  <si>
    <t>GRIFFIN SLC</t>
  </si>
  <si>
    <t>4496</t>
  </si>
  <si>
    <t>HORT STORAGE BLD</t>
  </si>
  <si>
    <t>4512</t>
  </si>
  <si>
    <t>CROP PROCESSING</t>
  </si>
  <si>
    <t>4598</t>
  </si>
  <si>
    <t>FRS LANG 60X120</t>
  </si>
  <si>
    <t>4901</t>
  </si>
  <si>
    <t>DIAGNOSTIC/BIOSAFT</t>
  </si>
  <si>
    <t>5852</t>
  </si>
  <si>
    <t>DIRECTOR'S HOUSE</t>
  </si>
  <si>
    <t>7200</t>
  </si>
  <si>
    <t>7517</t>
  </si>
  <si>
    <t>GA SOU LAB</t>
  </si>
  <si>
    <t>3778</t>
  </si>
  <si>
    <t>HQ PMP HS - ERIC</t>
  </si>
  <si>
    <t>4026</t>
  </si>
  <si>
    <t>DAIRY RSCH LAB</t>
  </si>
  <si>
    <t>4312</t>
  </si>
  <si>
    <t>TURF BUILDING</t>
  </si>
  <si>
    <t>4369</t>
  </si>
  <si>
    <t>WESTBROOK USDA BARN</t>
  </si>
  <si>
    <t>4656</t>
  </si>
  <si>
    <t>IMPLEMENT STORAGE</t>
  </si>
  <si>
    <t>4864</t>
  </si>
  <si>
    <t>GREENHSE ATTAPULGU</t>
  </si>
  <si>
    <t>5051</t>
  </si>
  <si>
    <t>COTTAGE 51</t>
  </si>
  <si>
    <t>5303</t>
  </si>
  <si>
    <t>CABIN 3</t>
  </si>
  <si>
    <t>5314</t>
  </si>
  <si>
    <t>CABIN 14</t>
  </si>
  <si>
    <t>5715</t>
  </si>
  <si>
    <t>EQUIP STG AND LATH</t>
  </si>
  <si>
    <t>5997</t>
  </si>
  <si>
    <t>VOVR EQUIP STG 2</t>
  </si>
  <si>
    <t>5764</t>
  </si>
  <si>
    <t>UGA EXPO BUILDING</t>
  </si>
  <si>
    <t>5861</t>
  </si>
  <si>
    <t>HERPETOLOGY LAB</t>
  </si>
  <si>
    <t>6072</t>
  </si>
  <si>
    <t>CARPENTER SHOP</t>
  </si>
  <si>
    <t>6324</t>
  </si>
  <si>
    <t>SREL DIST LRN CNTR</t>
  </si>
  <si>
    <t>6395</t>
  </si>
  <si>
    <t>SREL CONF CENTER</t>
  </si>
  <si>
    <t>7017</t>
  </si>
  <si>
    <t>ALGAE GROWTH HOUSE</t>
  </si>
  <si>
    <t>1686</t>
  </si>
  <si>
    <t>BASEBALL MAINT BL</t>
  </si>
  <si>
    <t>1903</t>
  </si>
  <si>
    <t>2506</t>
  </si>
  <si>
    <t>SHOP FRS</t>
  </si>
  <si>
    <t>2691</t>
  </si>
  <si>
    <t>THOMAS ST SCULP</t>
  </si>
  <si>
    <t>3047</t>
  </si>
  <si>
    <t>HORT POLE SHED 1</t>
  </si>
  <si>
    <t>3450</t>
  </si>
  <si>
    <t>DB FARM BRICK HOUS</t>
  </si>
  <si>
    <t>3658</t>
  </si>
  <si>
    <t>MACHINE SHOP</t>
  </si>
  <si>
    <t>3810</t>
  </si>
  <si>
    <t>RES WELL HOUSE 2</t>
  </si>
  <si>
    <t>3878</t>
  </si>
  <si>
    <t>TH CORRAL</t>
  </si>
  <si>
    <t>3901</t>
  </si>
  <si>
    <t>OLD OFF BLDG SWGB</t>
  </si>
  <si>
    <t>3902</t>
  </si>
  <si>
    <t>DWELLING 1</t>
  </si>
  <si>
    <t>3920</t>
  </si>
  <si>
    <t>MACHINE SHED 3</t>
  </si>
  <si>
    <t>3930</t>
  </si>
  <si>
    <t>GRAIN HAND FAC</t>
  </si>
  <si>
    <t>4897</t>
  </si>
  <si>
    <t>NESPAL-SOUTH</t>
  </si>
  <si>
    <t>5028</t>
  </si>
  <si>
    <t>COTTAGE 28</t>
  </si>
  <si>
    <t>5162</t>
  </si>
  <si>
    <t>CABIN 57</t>
  </si>
  <si>
    <t>5655</t>
  </si>
  <si>
    <t>BILTMORE - OFF/STF</t>
  </si>
  <si>
    <t>5665</t>
  </si>
  <si>
    <t>BRTN-4H PROG COORD</t>
  </si>
  <si>
    <t>5762</t>
  </si>
  <si>
    <t>CHAIR HOUSE</t>
  </si>
  <si>
    <t>6070</t>
  </si>
  <si>
    <t>SOUTH END EQUIP 2</t>
  </si>
  <si>
    <t>3113</t>
  </si>
  <si>
    <t>DS CALF BARN</t>
  </si>
  <si>
    <t>7051</t>
  </si>
  <si>
    <t>7102</t>
  </si>
  <si>
    <t>7103</t>
  </si>
  <si>
    <t>7501</t>
  </si>
  <si>
    <t>MECHANICAL SHOP-W1</t>
  </si>
  <si>
    <t>0271</t>
  </si>
  <si>
    <t>MILLEDGE HALL</t>
  </si>
  <si>
    <t>2006</t>
  </si>
  <si>
    <t>MECHANICAL BLDG</t>
  </si>
  <si>
    <t>2313</t>
  </si>
  <si>
    <t>PDRC POLE BARN</t>
  </si>
  <si>
    <t>1943</t>
  </si>
  <si>
    <t>HSC-HOUSING BLDG J</t>
  </si>
  <si>
    <t>2260</t>
  </si>
  <si>
    <t>BRANDON OAKS T</t>
  </si>
  <si>
    <t>2458</t>
  </si>
  <si>
    <t>2567</t>
  </si>
  <si>
    <t>BOAT SHED 2</t>
  </si>
  <si>
    <t>2909</t>
  </si>
  <si>
    <t>AS FARROWING B WH</t>
  </si>
  <si>
    <t>2964</t>
  </si>
  <si>
    <t>GOLF BOOSTER PUMP</t>
  </si>
  <si>
    <t>4581</t>
  </si>
  <si>
    <t>TURF SCI GRN HS</t>
  </si>
  <si>
    <t>4646</t>
  </si>
  <si>
    <t>PEANUT BARN (ENT.)</t>
  </si>
  <si>
    <t>4765</t>
  </si>
  <si>
    <t>WEED SCI LAB CPES</t>
  </si>
  <si>
    <t>4797</t>
  </si>
  <si>
    <t>ENTO GREENHOUSE</t>
  </si>
  <si>
    <t>4945</t>
  </si>
  <si>
    <t>PONDER:DUTCHER GAR</t>
  </si>
  <si>
    <t>5061</t>
  </si>
  <si>
    <t>ADMINISTRATION BLD</t>
  </si>
  <si>
    <t>HULL STREET PRKING</t>
  </si>
  <si>
    <t>1512</t>
  </si>
  <si>
    <t>GEO D BUSBEE HALL</t>
  </si>
  <si>
    <t>1917</t>
  </si>
  <si>
    <t>2126</t>
  </si>
  <si>
    <t>UGAPD/OEP TRAINING</t>
  </si>
  <si>
    <t>2322</t>
  </si>
  <si>
    <t>PDRC STORAGE 3</t>
  </si>
  <si>
    <t>2324</t>
  </si>
  <si>
    <t>BTGDN HEADHSE 2</t>
  </si>
  <si>
    <t>2526</t>
  </si>
  <si>
    <t>QUONSET HUT 1</t>
  </si>
  <si>
    <t>2578</t>
  </si>
  <si>
    <t>METAL STOR BLDG 2</t>
  </si>
  <si>
    <t>3522</t>
  </si>
  <si>
    <t>3745</t>
  </si>
  <si>
    <t>TH POLE BARN 2</t>
  </si>
  <si>
    <t>3827</t>
  </si>
  <si>
    <t>3904</t>
  </si>
  <si>
    <t>DWELLING 3</t>
  </si>
  <si>
    <t>4367</t>
  </si>
  <si>
    <t>BLUEBERRY RSCH</t>
  </si>
  <si>
    <t>4393</t>
  </si>
  <si>
    <t>PATHOLOGY GREENHS</t>
  </si>
  <si>
    <t>4421</t>
  </si>
  <si>
    <t>TISSUE CULTURE LAB</t>
  </si>
  <si>
    <t>4472</t>
  </si>
  <si>
    <t>4806</t>
  </si>
  <si>
    <t>BOWEN FM:TOBBACO B</t>
  </si>
  <si>
    <t>4904</t>
  </si>
  <si>
    <t>SMALL ANIMAL BARN</t>
  </si>
  <si>
    <t>5056</t>
  </si>
  <si>
    <t>W.A.S. HALL</t>
  </si>
  <si>
    <t>5076</t>
  </si>
  <si>
    <t>PAVILION AREA 2</t>
  </si>
  <si>
    <t>5120</t>
  </si>
  <si>
    <t>FOUR STORAGE UNITS</t>
  </si>
  <si>
    <t>5160</t>
  </si>
  <si>
    <t>WATER TREATMENT BL</t>
  </si>
  <si>
    <t>3755</t>
  </si>
  <si>
    <t>FRS WELL HOUSE 1</t>
  </si>
  <si>
    <t>3779</t>
  </si>
  <si>
    <t>TH PUMP HOUSE</t>
  </si>
  <si>
    <t>3875</t>
  </si>
  <si>
    <t>GLDS MTL HAY SHD 1</t>
  </si>
  <si>
    <t>3943</t>
  </si>
  <si>
    <t>4419</t>
  </si>
  <si>
    <t>GIN SHOP</t>
  </si>
  <si>
    <t>4732</t>
  </si>
  <si>
    <t>SWINE RESEARCH</t>
  </si>
  <si>
    <t>4760</t>
  </si>
  <si>
    <t>PEANUT SEED STOR B</t>
  </si>
  <si>
    <t>5010</t>
  </si>
  <si>
    <t>COTTAGE 10</t>
  </si>
  <si>
    <t>5085</t>
  </si>
  <si>
    <t>LAKESIDE PAVILION</t>
  </si>
  <si>
    <t>6303</t>
  </si>
  <si>
    <t>GREENHOUSE COMPLEX</t>
  </si>
  <si>
    <t>7012</t>
  </si>
  <si>
    <t>SKIDAWAY MAR EXT</t>
  </si>
  <si>
    <t>7023</t>
  </si>
  <si>
    <t>MAR EXT BOILER BLD</t>
  </si>
  <si>
    <t>7119</t>
  </si>
  <si>
    <t>1057</t>
  </si>
  <si>
    <t>LIFE SCI F.DAVISON</t>
  </si>
  <si>
    <t>1687</t>
  </si>
  <si>
    <t>COLISEUM TRAIN FAC</t>
  </si>
  <si>
    <t>6361</t>
  </si>
  <si>
    <t>6378</t>
  </si>
  <si>
    <t>RSCH STORAGE BLDG</t>
  </si>
  <si>
    <t>7097</t>
  </si>
  <si>
    <t>7533</t>
  </si>
  <si>
    <t>2439</t>
  </si>
  <si>
    <t>TR FAC BUS WASH</t>
  </si>
  <si>
    <t>2504</t>
  </si>
  <si>
    <t>RESIDENCE FRS</t>
  </si>
  <si>
    <t>2550</t>
  </si>
  <si>
    <t>FEED HOUSE-2 FRS</t>
  </si>
  <si>
    <t>3188</t>
  </si>
  <si>
    <t>FMD CNSTR SHOP</t>
  </si>
  <si>
    <t>3802</t>
  </si>
  <si>
    <t>SUPT HOUSE</t>
  </si>
  <si>
    <t>4862</t>
  </si>
  <si>
    <t>EQUIPMENT SHED</t>
  </si>
  <si>
    <t>4880</t>
  </si>
  <si>
    <t>STRIPLING STORAGE SHELTER</t>
  </si>
  <si>
    <t>5318</t>
  </si>
  <si>
    <t>DIRECTOR'S RESIDENCE</t>
  </si>
  <si>
    <t>5754</t>
  </si>
  <si>
    <t>BAMBOO FM WELL # 2</t>
  </si>
  <si>
    <t>4461</t>
  </si>
  <si>
    <t>HORT GREENHOUSE</t>
  </si>
  <si>
    <t>4740</t>
  </si>
  <si>
    <t>ENTOMOLOGY ANNEX</t>
  </si>
  <si>
    <t>6034</t>
  </si>
  <si>
    <t>SAPELO TRAILER G</t>
  </si>
  <si>
    <t>2368</t>
  </si>
  <si>
    <t>VET M SHOP</t>
  </si>
  <si>
    <t>2424</t>
  </si>
  <si>
    <t>HORT GREENHOUSE-2</t>
  </si>
  <si>
    <t>2509</t>
  </si>
  <si>
    <t>SAW MILL SHED FRS</t>
  </si>
  <si>
    <t>2532</t>
  </si>
  <si>
    <t>WEIR INSTRUMT BLDG</t>
  </si>
  <si>
    <t>2623</t>
  </si>
  <si>
    <t>LINDSEY HOPKINS IN</t>
  </si>
  <si>
    <t>2670</t>
  </si>
  <si>
    <t>GOLF MACH STOR</t>
  </si>
  <si>
    <t>1667</t>
  </si>
  <si>
    <t>TOWNS TRACK GRAND</t>
  </si>
  <si>
    <t>1804</t>
  </si>
  <si>
    <t>SMSC MAINT FAC</t>
  </si>
  <si>
    <t>1953</t>
  </si>
  <si>
    <t>2212</t>
  </si>
  <si>
    <t>RUSSELL HALL</t>
  </si>
  <si>
    <t>2304</t>
  </si>
  <si>
    <t>PDRC ISOLATION 1</t>
  </si>
  <si>
    <t>2307</t>
  </si>
  <si>
    <t>PDRC HOUSE 2</t>
  </si>
  <si>
    <t>2677</t>
  </si>
  <si>
    <t>SOIL SAMPLE STOR.</t>
  </si>
  <si>
    <t>2857</t>
  </si>
  <si>
    <t>PS BROODING H</t>
  </si>
  <si>
    <t>2959</t>
  </si>
  <si>
    <t>AS B&amp;B C PAVILION</t>
  </si>
  <si>
    <t>3512</t>
  </si>
  <si>
    <t>OFFICE / LAB</t>
  </si>
  <si>
    <t>3940</t>
  </si>
  <si>
    <t>3965</t>
  </si>
  <si>
    <t>EATONTON CTL RSCH</t>
  </si>
  <si>
    <t>4111</t>
  </si>
  <si>
    <t>CALF BARN</t>
  </si>
  <si>
    <t>4483</t>
  </si>
  <si>
    <t>4486</t>
  </si>
  <si>
    <t>ENVIROTRON BG/COOL</t>
  </si>
  <si>
    <t>4558</t>
  </si>
  <si>
    <t>GARDEN TEA HOUSE</t>
  </si>
  <si>
    <t>4613</t>
  </si>
  <si>
    <t>MAIN BARN</t>
  </si>
  <si>
    <t>5040</t>
  </si>
  <si>
    <t>COTTAGE 40</t>
  </si>
  <si>
    <t>5046</t>
  </si>
  <si>
    <t>COTTAGE 46</t>
  </si>
  <si>
    <t>5067</t>
  </si>
  <si>
    <t>KRANNERT BLDG</t>
  </si>
  <si>
    <t>5086</t>
  </si>
  <si>
    <t>BARKULOO CONF CTR</t>
  </si>
  <si>
    <t>5124</t>
  </si>
  <si>
    <t>SEWAGE TREATMENT</t>
  </si>
  <si>
    <t>5868</t>
  </si>
  <si>
    <t>GYMNASIUM</t>
  </si>
  <si>
    <t>LIBRARY, MAIN</t>
  </si>
  <si>
    <t>1039</t>
  </si>
  <si>
    <t>PHAR STG BUILDING</t>
  </si>
  <si>
    <t>1090</t>
  </si>
  <si>
    <t>1111</t>
  </si>
  <si>
    <t>COVERDELL CENTER</t>
  </si>
  <si>
    <t>2303</t>
  </si>
  <si>
    <t>PDRC SHOP</t>
  </si>
  <si>
    <t>2325</t>
  </si>
  <si>
    <t>BTGDN QUONSET HS</t>
  </si>
  <si>
    <t>2505</t>
  </si>
  <si>
    <t>STORAGE HOUSE FRS</t>
  </si>
  <si>
    <t>2524</t>
  </si>
  <si>
    <t>2546</t>
  </si>
  <si>
    <t>TESTING BLDG FRS</t>
  </si>
  <si>
    <t>2634</t>
  </si>
  <si>
    <t>INTRMURL EQPMT SHD</t>
  </si>
  <si>
    <t>2635</t>
  </si>
  <si>
    <t>LUMPKIN ST 1260 S</t>
  </si>
  <si>
    <t>2908</t>
  </si>
  <si>
    <t>SUS ED CLASS BARN</t>
  </si>
  <si>
    <t>2970</t>
  </si>
  <si>
    <t>INTRA TENNIS PAVIL</t>
  </si>
  <si>
    <t>6313</t>
  </si>
  <si>
    <t>BOAT SHED</t>
  </si>
  <si>
    <t>7108</t>
  </si>
  <si>
    <t>7536</t>
  </si>
  <si>
    <t>FINE ARTS</t>
  </si>
  <si>
    <t>0672</t>
  </si>
  <si>
    <t>TATE STUDENT CTR</t>
  </si>
  <si>
    <t>0751</t>
  </si>
  <si>
    <t>WRAY NICHOLSON HSE</t>
  </si>
  <si>
    <t>1060</t>
  </si>
  <si>
    <t>ADERHOLD HALL</t>
  </si>
  <si>
    <t>1139</t>
  </si>
  <si>
    <t>SOUTH CAMPUS PRKNG</t>
  </si>
  <si>
    <t>1803</t>
  </si>
  <si>
    <t>SOCCER STADIUM</t>
  </si>
  <si>
    <t>2346</t>
  </si>
  <si>
    <t>HORSESHOE ECOL II</t>
  </si>
  <si>
    <t>2377</t>
  </si>
  <si>
    <t>VET M SWINE FAC 2</t>
  </si>
  <si>
    <t>2411</t>
  </si>
  <si>
    <t>GREENHSE RES P AGY</t>
  </si>
  <si>
    <t>2413</t>
  </si>
  <si>
    <t>SOIL STORAGE BLDG</t>
  </si>
  <si>
    <t>2660</t>
  </si>
  <si>
    <t>GOLF RAIN SHEL 4</t>
  </si>
  <si>
    <t>3667</t>
  </si>
  <si>
    <t>PUMPHOUSE #1</t>
  </si>
  <si>
    <t>4117</t>
  </si>
  <si>
    <t>EQUIP STORAGE</t>
  </si>
  <si>
    <t>4368</t>
  </si>
  <si>
    <t>FOOD PROD INOV/COM</t>
  </si>
  <si>
    <t>4401</t>
  </si>
  <si>
    <t>SUPPORT SRVCS BLDG</t>
  </si>
  <si>
    <t>4701</t>
  </si>
  <si>
    <t>FEED MILL HOUSE</t>
  </si>
  <si>
    <t>4793</t>
  </si>
  <si>
    <t>NATURAL PROD LAB</t>
  </si>
  <si>
    <t>5059</t>
  </si>
  <si>
    <t>HASTINGS BLDG</t>
  </si>
  <si>
    <t>5152</t>
  </si>
  <si>
    <t>PUMP HOUSE AREA 3</t>
  </si>
  <si>
    <t>6069</t>
  </si>
  <si>
    <t>LUMBER AND LAB</t>
  </si>
  <si>
    <t>7201</t>
  </si>
  <si>
    <t>8553</t>
  </si>
  <si>
    <t>8582</t>
  </si>
  <si>
    <t>3486</t>
  </si>
  <si>
    <t>EF SHED</t>
  </si>
  <si>
    <t>3797</t>
  </si>
  <si>
    <t>HQ SUPERNTNDNT RES</t>
  </si>
  <si>
    <t>3944</t>
  </si>
  <si>
    <t>CHICKEN EQP STRG</t>
  </si>
  <si>
    <t>4641</t>
  </si>
  <si>
    <t>ENT GREENHSE CPES</t>
  </si>
  <si>
    <t>4680</t>
  </si>
  <si>
    <t>SAMPLE PREP &amp; DRY</t>
  </si>
  <si>
    <t>4804</t>
  </si>
  <si>
    <t>BOWEN FM: MULE&amp;STG</t>
  </si>
  <si>
    <t>4815</t>
  </si>
  <si>
    <t>ALAPAHA FRS EQ SHD</t>
  </si>
  <si>
    <t>4903</t>
  </si>
  <si>
    <t>GA POULTRY ASSOC</t>
  </si>
  <si>
    <t>5034</t>
  </si>
  <si>
    <t>COTTAGE 34</t>
  </si>
  <si>
    <t>5073</t>
  </si>
  <si>
    <t>SENIOR EMC PAVILN</t>
  </si>
  <si>
    <t>5151</t>
  </si>
  <si>
    <t>WILDLIFE ECOLOGY</t>
  </si>
  <si>
    <t>5168</t>
  </si>
  <si>
    <t>5315</t>
  </si>
  <si>
    <t>CABIN 15</t>
  </si>
  <si>
    <t>5652</t>
  </si>
  <si>
    <t>THE HOLE</t>
  </si>
  <si>
    <t>5660</t>
  </si>
  <si>
    <t>DORMITORY #1</t>
  </si>
  <si>
    <t>5755</t>
  </si>
  <si>
    <t>ANDREWS V&amp;E CENTER</t>
  </si>
  <si>
    <t>6030</t>
  </si>
  <si>
    <t>SAPELO TRAILER R</t>
  </si>
  <si>
    <t>6029</t>
  </si>
  <si>
    <t>GHSE APT PUMP HSE</t>
  </si>
  <si>
    <t>6037</t>
  </si>
  <si>
    <t>SAPELO TRAILER C</t>
  </si>
  <si>
    <t>6317</t>
  </si>
  <si>
    <t>CHEMICAL STG FAC</t>
  </si>
  <si>
    <t>7054</t>
  </si>
  <si>
    <t>0043</t>
  </si>
  <si>
    <t>LAW SCHOOL</t>
  </si>
  <si>
    <t>0753</t>
  </si>
  <si>
    <t>WNP 290</t>
  </si>
  <si>
    <t>1061</t>
  </si>
  <si>
    <t>MILLER PLANT SCI</t>
  </si>
  <si>
    <t>1640</t>
  </si>
  <si>
    <t>GEORGIA CENTER C.E</t>
  </si>
  <si>
    <t>1921</t>
  </si>
  <si>
    <t>2636</t>
  </si>
  <si>
    <t>LUMPKIN ST 1280 S</t>
  </si>
  <si>
    <t>3201</t>
  </si>
  <si>
    <t>3922</t>
  </si>
  <si>
    <t>OIL STORAGE HOUSE</t>
  </si>
  <si>
    <t>4304</t>
  </si>
  <si>
    <t>TURF RPZ</t>
  </si>
  <si>
    <t>4389</t>
  </si>
  <si>
    <t>SUN-RAIN SHELTER</t>
  </si>
  <si>
    <t>4434</t>
  </si>
  <si>
    <t>WESTBROOK TOOL SHD</t>
  </si>
  <si>
    <t>4619</t>
  </si>
  <si>
    <t>WEED CONTROL GH HH</t>
  </si>
  <si>
    <t>4648</t>
  </si>
  <si>
    <t>SEED DRYING HOUSE</t>
  </si>
  <si>
    <t>4653</t>
  </si>
  <si>
    <t>ENG TOBACCO BARN</t>
  </si>
  <si>
    <t>4800</t>
  </si>
  <si>
    <t>RDC PIVOT EQUIP SH</t>
  </si>
  <si>
    <t>4833</t>
  </si>
  <si>
    <t>ALAPAHA: PUMP HOUS</t>
  </si>
  <si>
    <t>5310</t>
  </si>
  <si>
    <t>CABIN 10</t>
  </si>
  <si>
    <t>5312</t>
  </si>
  <si>
    <t>CABIN 12</t>
  </si>
  <si>
    <t>5866</t>
  </si>
  <si>
    <t>WHITE HOUSE</t>
  </si>
  <si>
    <t>2435</t>
  </si>
  <si>
    <t>UGAPD STORAGE</t>
  </si>
  <si>
    <t>2542</t>
  </si>
  <si>
    <t>PUMP HOUSE - 2</t>
  </si>
  <si>
    <t>2570</t>
  </si>
  <si>
    <t>GREENHOUSE C WH</t>
  </si>
  <si>
    <t>2614</t>
  </si>
  <si>
    <t>3127</t>
  </si>
  <si>
    <t>DS SILO 1</t>
  </si>
  <si>
    <t>6354</t>
  </si>
  <si>
    <t>MORGAN LAB BLDG</t>
  </si>
  <si>
    <t>7510</t>
  </si>
  <si>
    <t>LIBRARY</t>
  </si>
  <si>
    <t>0668</t>
  </si>
  <si>
    <t>TATE EXPANSION '09</t>
  </si>
  <si>
    <t>0758</t>
  </si>
  <si>
    <t>FMD NORTH</t>
  </si>
  <si>
    <t>1044</t>
  </si>
  <si>
    <t>FOREST RESOURCES-3</t>
  </si>
  <si>
    <t>1046</t>
  </si>
  <si>
    <t>FOREST RESOURCES-4</t>
  </si>
  <si>
    <t>1937</t>
  </si>
  <si>
    <t>1945</t>
  </si>
  <si>
    <t>HSC-HOUSING BLDG L</t>
  </si>
  <si>
    <t>0270</t>
  </si>
  <si>
    <t>PAYNE HALL</t>
  </si>
  <si>
    <t>0632</t>
  </si>
  <si>
    <t>LUSTRAT HOUSE</t>
  </si>
  <si>
    <t>1003</t>
  </si>
  <si>
    <t>PHYSICS</t>
  </si>
  <si>
    <t>1022</t>
  </si>
  <si>
    <t>FOOD PROCESS LAB</t>
  </si>
  <si>
    <t>1670</t>
  </si>
  <si>
    <t>TENNIS HALL FAME</t>
  </si>
  <si>
    <t>1947</t>
  </si>
  <si>
    <t>1951</t>
  </si>
  <si>
    <t>2001</t>
  </si>
  <si>
    <t>MARGARET HALL</t>
  </si>
  <si>
    <t>2120</t>
  </si>
  <si>
    <t>LAB OF ARCHAEOLOGY</t>
  </si>
  <si>
    <t>2340</t>
  </si>
  <si>
    <t>PDRC ISOLATION 4</t>
  </si>
  <si>
    <t>2428</t>
  </si>
  <si>
    <t>CROP &amp; SOIL GH</t>
  </si>
  <si>
    <t>2585</t>
  </si>
  <si>
    <t>WHITEHALL OFF COMPLEX</t>
  </si>
  <si>
    <t>3770</t>
  </si>
  <si>
    <t>HQ PMP HS SUPR RES</t>
  </si>
  <si>
    <t>4309</t>
  </si>
  <si>
    <t>PESTICIDE CONTAIN.</t>
  </si>
  <si>
    <t>4604</t>
  </si>
  <si>
    <t>HORTICULTURE BLDG</t>
  </si>
  <si>
    <t>4607</t>
  </si>
  <si>
    <t>PLANT SCI - TIFTON</t>
  </si>
  <si>
    <t>4704</t>
  </si>
  <si>
    <t>CORN CRIB</t>
  </si>
  <si>
    <t>4948</t>
  </si>
  <si>
    <t>ENTOM EQ STG SHLTR</t>
  </si>
  <si>
    <t>5062</t>
  </si>
  <si>
    <t>GA POWER BLDG</t>
  </si>
  <si>
    <t>5089</t>
  </si>
  <si>
    <t>5654</t>
  </si>
  <si>
    <t>BRTN-4H DRMS 3A&amp;3B</t>
  </si>
  <si>
    <t>5910</t>
  </si>
  <si>
    <t>HAMPTN FRM:MULTI P</t>
  </si>
  <si>
    <t>6090</t>
  </si>
  <si>
    <t>GARDENER COTTAGE S</t>
  </si>
  <si>
    <t>6104</t>
  </si>
  <si>
    <t>B.I.R.L.&amp;CNTR (RH)</t>
  </si>
  <si>
    <t>DEMOSTHENIAN HALL</t>
  </si>
  <si>
    <t>WADDEL HALL</t>
  </si>
  <si>
    <t>1020</t>
  </si>
  <si>
    <t>FOOD SCIENCE</t>
  </si>
  <si>
    <t>1082</t>
  </si>
  <si>
    <t>WILDLIFE HEALTH</t>
  </si>
  <si>
    <t>1504</t>
  </si>
  <si>
    <t>LIVEST INS ARENA</t>
  </si>
  <si>
    <t>1514</t>
  </si>
  <si>
    <t>E V VANDIVER HALL</t>
  </si>
  <si>
    <t>1633</t>
  </si>
  <si>
    <t>V T M CAR WASH</t>
  </si>
  <si>
    <t>1656</t>
  </si>
  <si>
    <t>COBB HOUSE</t>
  </si>
  <si>
    <t>1942</t>
  </si>
  <si>
    <t>HSC-HOUSING BLDG H</t>
  </si>
  <si>
    <t>2315</t>
  </si>
  <si>
    <t>PDRC TECH SERVICES</t>
  </si>
  <si>
    <t>2378</t>
  </si>
  <si>
    <t>VET M SWINE FAC 3</t>
  </si>
  <si>
    <t>2568</t>
  </si>
  <si>
    <t>TRACTOR SHED FRS</t>
  </si>
  <si>
    <t>3051</t>
  </si>
  <si>
    <t>HORT WAREHOUSE</t>
  </si>
  <si>
    <t>3151</t>
  </si>
  <si>
    <t>PDRC COMPOSTING</t>
  </si>
  <si>
    <t>3215</t>
  </si>
  <si>
    <t>JPC HYDRAL LAB</t>
  </si>
  <si>
    <t>3424</t>
  </si>
  <si>
    <t>HIGH SKEET HOUSE</t>
  </si>
  <si>
    <t>3909</t>
  </si>
  <si>
    <t>4559</t>
  </si>
  <si>
    <t>TURF SCIENCE RAINOUT SHELTER</t>
  </si>
  <si>
    <t>4774</t>
  </si>
  <si>
    <t>PLT PATH HDHSE LAB</t>
  </si>
  <si>
    <t>4851</t>
  </si>
  <si>
    <t>RES. ATTAPULGUS 2</t>
  </si>
  <si>
    <t>5018</t>
  </si>
  <si>
    <t>COTTAGE 18</t>
  </si>
  <si>
    <t>5063</t>
  </si>
  <si>
    <t>CALLAWAY BLDG</t>
  </si>
  <si>
    <t>5154</t>
  </si>
  <si>
    <t>EQUIP STORG SHELT</t>
  </si>
  <si>
    <t>5157</t>
  </si>
  <si>
    <t>SARAH HUFF BATH HS</t>
  </si>
  <si>
    <t>5163</t>
  </si>
  <si>
    <t>JOHNSON BARN</t>
  </si>
  <si>
    <t>3535</t>
  </si>
  <si>
    <t>GA MTN EQUIP STORG</t>
  </si>
  <si>
    <t>3677</t>
  </si>
  <si>
    <t>EQUIPMENT STRG SHELTER</t>
  </si>
  <si>
    <t>4706</t>
  </si>
  <si>
    <t>AN SCI NUTRIT BARN</t>
  </si>
  <si>
    <t>4757</t>
  </si>
  <si>
    <t>AQUACULTURE HDQT</t>
  </si>
  <si>
    <t>5014</t>
  </si>
  <si>
    <t>COTTAGE 14</t>
  </si>
  <si>
    <t>5017</t>
  </si>
  <si>
    <t>COTTAGE 17</t>
  </si>
  <si>
    <t>5053</t>
  </si>
  <si>
    <t>COTTAGE 53</t>
  </si>
  <si>
    <t>5093</t>
  </si>
  <si>
    <t>PAVILION POOL 2</t>
  </si>
  <si>
    <t>5326</t>
  </si>
  <si>
    <t>PAVILION 4</t>
  </si>
  <si>
    <t>5663</t>
  </si>
  <si>
    <t>STAFF LOUNGE</t>
  </si>
  <si>
    <t>5706</t>
  </si>
  <si>
    <t>MAIN OFFICE BLDG</t>
  </si>
  <si>
    <t>5976</t>
  </si>
  <si>
    <t>BLUEBERRY EQ SHLTR</t>
  </si>
  <si>
    <t>6024</t>
  </si>
  <si>
    <t>AZALEA STORAGE</t>
  </si>
  <si>
    <t>0046</t>
  </si>
  <si>
    <t>CALDWELL HALL</t>
  </si>
  <si>
    <t>6101</t>
  </si>
  <si>
    <t>LAB HOOD BLDG</t>
  </si>
  <si>
    <t>6318</t>
  </si>
  <si>
    <t>CUSTODIAL BLDG</t>
  </si>
  <si>
    <t>BISHOP HOUSE</t>
  </si>
  <si>
    <t>2208</t>
  </si>
  <si>
    <t>LIPSCOMB HALL</t>
  </si>
  <si>
    <t>0150</t>
  </si>
  <si>
    <t>N CAM CHILLER BLDG</t>
  </si>
  <si>
    <t>0669</t>
  </si>
  <si>
    <t>TATE CNTR PRK DCK</t>
  </si>
  <si>
    <t>1038</t>
  </si>
  <si>
    <t>PHARMACY SOUTH</t>
  </si>
  <si>
    <t>2337</t>
  </si>
  <si>
    <t>BTGDN DAY CHAPEL</t>
  </si>
  <si>
    <t>2434</t>
  </si>
  <si>
    <t>RSCH STORES ADMIN</t>
  </si>
  <si>
    <t>2495</t>
  </si>
  <si>
    <t>THOMAS TEXTILE</t>
  </si>
  <si>
    <t>2501</t>
  </si>
  <si>
    <t>WHITEHALL HEADQTR</t>
  </si>
  <si>
    <t>3440</t>
  </si>
  <si>
    <t>DB SWINE FACILITY OFFICE</t>
  </si>
  <si>
    <t>3671</t>
  </si>
  <si>
    <t>3757</t>
  </si>
  <si>
    <t>FRS QUONSET HUT</t>
  </si>
  <si>
    <t>4770</t>
  </si>
  <si>
    <t>HORT STORAGE</t>
  </si>
  <si>
    <t>4807</t>
  </si>
  <si>
    <t>5041</t>
  </si>
  <si>
    <t>COTTAGE 41</t>
  </si>
  <si>
    <t>5081</t>
  </si>
  <si>
    <t>RESIDENT JENKINS</t>
  </si>
  <si>
    <t>5129</t>
  </si>
  <si>
    <t>5147</t>
  </si>
  <si>
    <t>WOODRUFF AQUA IV</t>
  </si>
  <si>
    <t>5673</t>
  </si>
  <si>
    <t>BURTON- STAFF DORM</t>
  </si>
  <si>
    <t>4372</t>
  </si>
  <si>
    <t>SPC TRAINING CTR</t>
  </si>
  <si>
    <t>4501</t>
  </si>
  <si>
    <t>BLEDSOE SERVICE BG</t>
  </si>
  <si>
    <t>4651</t>
  </si>
  <si>
    <t>TOBACCO PACK HOUSE</t>
  </si>
  <si>
    <t>4744</t>
  </si>
  <si>
    <t>LAYER HOUSE(ENT.)</t>
  </si>
  <si>
    <t>2419</t>
  </si>
  <si>
    <t>CCRC</t>
  </si>
  <si>
    <t>2502</t>
  </si>
  <si>
    <t>WELL HOUSE FRS</t>
  </si>
  <si>
    <t>2559</t>
  </si>
  <si>
    <t>PUMPHOUSE-WHITEHAL</t>
  </si>
  <si>
    <t>2586</t>
  </si>
  <si>
    <t>WHITEHALL EQ SHLTR</t>
  </si>
  <si>
    <t>1685</t>
  </si>
  <si>
    <t>FOLEY BASEBALL STA</t>
  </si>
  <si>
    <t>2262</t>
  </si>
  <si>
    <t>BRANDON OAKS V</t>
  </si>
  <si>
    <t>2328</t>
  </si>
  <si>
    <t>BTGDN ADMIN HQTR</t>
  </si>
  <si>
    <t>2910</t>
  </si>
  <si>
    <t>AS WELLHSE WH</t>
  </si>
  <si>
    <t>3271</t>
  </si>
  <si>
    <t>SAMPLE PROC &amp; STRG</t>
  </si>
  <si>
    <t>3456</t>
  </si>
  <si>
    <t>DB SWINE FARROWING BLDG</t>
  </si>
  <si>
    <t>3511</t>
  </si>
  <si>
    <t>3517</t>
  </si>
  <si>
    <t>TOOL STORAGE SHED</t>
  </si>
  <si>
    <t>3939</t>
  </si>
  <si>
    <t>PEANUT DRYING FAC</t>
  </si>
  <si>
    <t>4834</t>
  </si>
  <si>
    <t>ALAPAHA:MULTI USE</t>
  </si>
  <si>
    <t>5710</t>
  </si>
  <si>
    <t>BRIDAL COTTAGE</t>
  </si>
  <si>
    <t>5858</t>
  </si>
  <si>
    <t>5992</t>
  </si>
  <si>
    <t>VOVRC HEADQUARTERS</t>
  </si>
  <si>
    <t>6071</t>
  </si>
  <si>
    <t>AUTO SHOP</t>
  </si>
  <si>
    <t>SCHOOL OF SOCIAL WORK</t>
  </si>
  <si>
    <t>1246</t>
  </si>
  <si>
    <t>FAMILY SCI CTR I</t>
  </si>
  <si>
    <t>1693</t>
  </si>
  <si>
    <t>GA MUS OF ART PVAC</t>
  </si>
  <si>
    <t>1746</t>
  </si>
  <si>
    <t>ADS HAY BARN</t>
  </si>
  <si>
    <t>2213</t>
  </si>
  <si>
    <t>BRUMBY HALL</t>
  </si>
  <si>
    <t>2503</t>
  </si>
  <si>
    <t>TIN BARN FRS</t>
  </si>
  <si>
    <t>2531</t>
  </si>
  <si>
    <t>QUONSET HUT 2</t>
  </si>
  <si>
    <t>2548</t>
  </si>
  <si>
    <t>2856</t>
  </si>
  <si>
    <t>PS LAYING-BREED G</t>
  </si>
  <si>
    <t>3132</t>
  </si>
  <si>
    <t>DS COMMODITY BARN</t>
  </si>
  <si>
    <t>3154</t>
  </si>
  <si>
    <t>POLE BARN EQ STRG</t>
  </si>
  <si>
    <t>6091</t>
  </si>
  <si>
    <t>GARDENR COTT UTL S</t>
  </si>
  <si>
    <t>6369</t>
  </si>
  <si>
    <t>AEL RSCH UTILITY</t>
  </si>
  <si>
    <t>6385</t>
  </si>
  <si>
    <t>WILD ANIMAL FAC</t>
  </si>
  <si>
    <t>6503</t>
  </si>
  <si>
    <t>DIRECTOR RESIDENCE</t>
  </si>
  <si>
    <t>7066</t>
  </si>
  <si>
    <t>7106</t>
  </si>
  <si>
    <t>0670</t>
  </si>
  <si>
    <t>MEMORIAL HALL</t>
  </si>
  <si>
    <t>2121</t>
  </si>
  <si>
    <t>ROCK EAGLE WAREHS</t>
  </si>
  <si>
    <t>2433</t>
  </si>
  <si>
    <t>LIQ WASTE STORAGE</t>
  </si>
  <si>
    <t>2440</t>
  </si>
  <si>
    <t>LAKE HERRICK PAVLN</t>
  </si>
  <si>
    <t>2651</t>
  </si>
  <si>
    <t>GOLF CART MAINT.</t>
  </si>
  <si>
    <t>3039</t>
  </si>
  <si>
    <t>HORT FARM GH #5</t>
  </si>
  <si>
    <t>4622</t>
  </si>
  <si>
    <t>4698</t>
  </si>
  <si>
    <t>MACHINE SHED</t>
  </si>
  <si>
    <t>4858</t>
  </si>
  <si>
    <t>ATTAPULG RSCH CNTR</t>
  </si>
  <si>
    <t>5006</t>
  </si>
  <si>
    <t>COTTAGE 6</t>
  </si>
  <si>
    <t>5036</t>
  </si>
  <si>
    <t>COTTAGE 36</t>
  </si>
  <si>
    <t>5050</t>
  </si>
  <si>
    <t>COTTAGE 50</t>
  </si>
  <si>
    <t>5088</t>
  </si>
  <si>
    <t>6353</t>
  </si>
  <si>
    <t>MORGAN OFF BLDG</t>
  </si>
  <si>
    <t>7105</t>
  </si>
  <si>
    <t>7540</t>
  </si>
  <si>
    <t>NOAA BUILDING</t>
  </si>
  <si>
    <t>3455</t>
  </si>
  <si>
    <t>DB SWINE FARROWING NURS 1</t>
  </si>
  <si>
    <t>3501</t>
  </si>
  <si>
    <t>ADMINISTRATION GMB</t>
  </si>
  <si>
    <t>3641</t>
  </si>
  <si>
    <t>STORAGE</t>
  </si>
  <si>
    <t>3672</t>
  </si>
  <si>
    <t>3817</t>
  </si>
  <si>
    <t>3821</t>
  </si>
  <si>
    <t>4036</t>
  </si>
  <si>
    <t>SMALL PEN RSCH BRN</t>
  </si>
  <si>
    <t>4789</t>
  </si>
  <si>
    <t>AS COMMODITY BARN</t>
  </si>
  <si>
    <t>4803</t>
  </si>
  <si>
    <t>BOWEN FM:SHED&amp;FERT</t>
  </si>
  <si>
    <t>4866</t>
  </si>
  <si>
    <t>PUMP HOUSE -RES 1</t>
  </si>
  <si>
    <t>4947</t>
  </si>
  <si>
    <t>PONDER FM SECD SHEL</t>
  </si>
  <si>
    <t>5048</t>
  </si>
  <si>
    <t>COTTAGE 48</t>
  </si>
  <si>
    <t>5060</t>
  </si>
  <si>
    <t>HOUSEKEEPING</t>
  </si>
  <si>
    <t>5090</t>
  </si>
  <si>
    <t>OBSERVATION TOWER</t>
  </si>
  <si>
    <t>5096</t>
  </si>
  <si>
    <t>BATH HOUSE PIONEER CAMP</t>
  </si>
  <si>
    <t>5879</t>
  </si>
  <si>
    <t>ROPES STRG SHED</t>
  </si>
  <si>
    <t>6064</t>
  </si>
  <si>
    <t>SHELL HAMMOCK 3</t>
  </si>
  <si>
    <t>7014</t>
  </si>
  <si>
    <t>SKIDAWAY DINING H</t>
  </si>
  <si>
    <t>7024</t>
  </si>
  <si>
    <t>MAR EX WAREHOUSE</t>
  </si>
  <si>
    <t>7514</t>
  </si>
  <si>
    <t>CANOPY SHED</t>
  </si>
  <si>
    <t>7518</t>
  </si>
  <si>
    <t>MARINE OPS STORAGE</t>
  </si>
  <si>
    <t>7526</t>
  </si>
  <si>
    <t>SALTWATER LAB</t>
  </si>
  <si>
    <t>8359</t>
  </si>
  <si>
    <t>0122</t>
  </si>
  <si>
    <t>NORTH CAMPUS PRKNG</t>
  </si>
  <si>
    <t>1002</t>
  </si>
  <si>
    <t>GEOGRAPHY GEOLOGY</t>
  </si>
  <si>
    <t>1050</t>
  </si>
  <si>
    <t>ENVIRO HEALTH SCI</t>
  </si>
  <si>
    <t>1679</t>
  </si>
  <si>
    <t>MENS TENNIS CLUBHS</t>
  </si>
  <si>
    <t>1905</t>
  </si>
  <si>
    <t>2240</t>
  </si>
  <si>
    <t>ROGERS ROAD APTS M</t>
  </si>
  <si>
    <t>3114</t>
  </si>
  <si>
    <t>DS HEIFER SHED</t>
  </si>
  <si>
    <t>3115</t>
  </si>
  <si>
    <t>DS FD PROCESS</t>
  </si>
  <si>
    <t>3216</t>
  </si>
  <si>
    <t>JPC DAIRY UNIT</t>
  </si>
  <si>
    <t>3276</t>
  </si>
  <si>
    <t>IRRIGATION PUMP HS</t>
  </si>
  <si>
    <t>3277</t>
  </si>
  <si>
    <t>WELL HOUSE</t>
  </si>
  <si>
    <t>3523</t>
  </si>
  <si>
    <t>3611</t>
  </si>
  <si>
    <t>3733</t>
  </si>
  <si>
    <t>GAR 6 ROW POLE BRN</t>
  </si>
  <si>
    <t>3785</t>
  </si>
  <si>
    <t>FRS WELL HSE 2</t>
  </si>
  <si>
    <t>4027</t>
  </si>
  <si>
    <t>POST MORTEM LAB</t>
  </si>
  <si>
    <t>4034</t>
  </si>
  <si>
    <t>ENTOMOL LAB CPES</t>
  </si>
  <si>
    <t>4382</t>
  </si>
  <si>
    <t>COLD STORAGE BLDG</t>
  </si>
  <si>
    <t>4734</t>
  </si>
  <si>
    <t>PESTICIDE STOR C P</t>
  </si>
  <si>
    <t>5011</t>
  </si>
  <si>
    <t>COTTAGE 11</t>
  </si>
  <si>
    <t>5098</t>
  </si>
  <si>
    <t>ADIRONDACK CABINS</t>
  </si>
  <si>
    <t>5165</t>
  </si>
  <si>
    <t>RED HOUSE</t>
  </si>
  <si>
    <t>5707</t>
  </si>
  <si>
    <t>GREENHOUSE 1</t>
  </si>
  <si>
    <t>6088</t>
  </si>
  <si>
    <t>SEARS ROEBUCK RES</t>
  </si>
  <si>
    <t>2538</t>
  </si>
  <si>
    <t>GREENHOUSE B-WH</t>
  </si>
  <si>
    <t>3083</t>
  </si>
  <si>
    <t>VMC FIELD SERV</t>
  </si>
  <si>
    <t>3112</t>
  </si>
  <si>
    <t>DS MATERNITY SHED</t>
  </si>
  <si>
    <t>3122</t>
  </si>
  <si>
    <t>DS PUMP HOUSE 1</t>
  </si>
  <si>
    <t>6352</t>
  </si>
  <si>
    <t>OVEN BLDG</t>
  </si>
  <si>
    <t>6355</t>
  </si>
  <si>
    <t>7543</t>
  </si>
  <si>
    <t>NOAA WAREHOUSE</t>
  </si>
  <si>
    <t>0735</t>
  </si>
  <si>
    <t>BENSON HALL</t>
  </si>
  <si>
    <t>1070</t>
  </si>
  <si>
    <t>VET MED - 1</t>
  </si>
  <si>
    <t>1682</t>
  </si>
  <si>
    <t>VET MED - 5C</t>
  </si>
  <si>
    <t>1701</t>
  </si>
  <si>
    <t>UGA HEALTH CNTR</t>
  </si>
  <si>
    <t>1810</t>
  </si>
  <si>
    <t>SOC CONCESSION STD</t>
  </si>
  <si>
    <t>2000</t>
  </si>
  <si>
    <t>LUCY COBB</t>
  </si>
  <si>
    <t>2117</t>
  </si>
  <si>
    <t>AG SVCS STG BLDG</t>
  </si>
  <si>
    <t>2215</t>
  </si>
  <si>
    <t>CHURCH HALL</t>
  </si>
  <si>
    <t>2347</t>
  </si>
  <si>
    <t>HORSESHOE ECOL BLD</t>
  </si>
  <si>
    <t>2348</t>
  </si>
  <si>
    <t>ECOLOGY GREENHOUSE</t>
  </si>
  <si>
    <t>2390</t>
  </si>
  <si>
    <t>6087</t>
  </si>
  <si>
    <t>6319</t>
  </si>
  <si>
    <t>ELEC SHOP</t>
  </si>
  <si>
    <t>6501</t>
  </si>
  <si>
    <t>WORMSLOE CABIN 1</t>
  </si>
  <si>
    <t>8912</t>
  </si>
  <si>
    <t>1616</t>
  </si>
  <si>
    <t>FUEL OIL TRANS HSE</t>
  </si>
  <si>
    <t>1913</t>
  </si>
  <si>
    <t>1936</t>
  </si>
  <si>
    <t>2037</t>
  </si>
  <si>
    <t>ADMIN SERV WAREHSE</t>
  </si>
  <si>
    <t>2130</t>
  </si>
  <si>
    <t>BUILDING 2130</t>
  </si>
  <si>
    <t>2301</t>
  </si>
  <si>
    <t>PDRC DIAGNOSTIC</t>
  </si>
  <si>
    <t>2380</t>
  </si>
  <si>
    <t>VET MED FEED STR 2</t>
  </si>
  <si>
    <t>2461</t>
  </si>
  <si>
    <t>BTGDN HD &amp; GRNHS 1</t>
  </si>
  <si>
    <t>2493</t>
  </si>
  <si>
    <t>STRENGTH LAB</t>
  </si>
  <si>
    <t>2496</t>
  </si>
  <si>
    <t>2558</t>
  </si>
  <si>
    <t>STORAGE SHED-WHALL</t>
  </si>
  <si>
    <t>3050</t>
  </si>
  <si>
    <t>HORT FRM RESIDENCE</t>
  </si>
  <si>
    <t>3274</t>
  </si>
  <si>
    <t>FARM SHOP</t>
  </si>
  <si>
    <t>3673</t>
  </si>
  <si>
    <t>4553</t>
  </si>
  <si>
    <t>GRDN-LARGE PERGOLA</t>
  </si>
  <si>
    <t>4620</t>
  </si>
  <si>
    <t>PAT GH-HH</t>
  </si>
  <si>
    <t>4755</t>
  </si>
  <si>
    <t>P. PATH MACH SHED</t>
  </si>
  <si>
    <t>4868</t>
  </si>
  <si>
    <t>5029</t>
  </si>
  <si>
    <t>COTTAGE 29</t>
  </si>
  <si>
    <t>5031</t>
  </si>
  <si>
    <t>COTTAGE 31</t>
  </si>
  <si>
    <t>5097</t>
  </si>
  <si>
    <t>PAVILION PIONEER C</t>
  </si>
  <si>
    <t>5153</t>
  </si>
  <si>
    <t>PUMP HOUSE WAT-BRN</t>
  </si>
  <si>
    <t>5662</t>
  </si>
  <si>
    <t>BURTN 4H DINING HL</t>
  </si>
  <si>
    <t>6302</t>
  </si>
  <si>
    <t>ANIMAL HOLD FAC</t>
  </si>
  <si>
    <t>6375</t>
  </si>
  <si>
    <t>RADIOECOLOGY LAB</t>
  </si>
  <si>
    <t>7061</t>
  </si>
  <si>
    <t>OKEFE SWAMP LAB II</t>
  </si>
  <si>
    <t>7508</t>
  </si>
  <si>
    <t>LAUNDRY  BUILDING</t>
  </si>
  <si>
    <t>0049</t>
  </si>
  <si>
    <t>ANTHRO GRN HS</t>
  </si>
  <si>
    <t>1030</t>
  </si>
  <si>
    <t>MARINE SCI - DANCE</t>
  </si>
  <si>
    <t>1058</t>
  </si>
  <si>
    <t>L S FERM PLANT</t>
  </si>
  <si>
    <t>1249</t>
  </si>
  <si>
    <t>FAMILY SCI CTR II</t>
  </si>
  <si>
    <t>2219</t>
  </si>
  <si>
    <t>GLOBAL ENGAGEMENT</t>
  </si>
  <si>
    <t>2224</t>
  </si>
  <si>
    <t>UNIV. VLG-D</t>
  </si>
  <si>
    <t>2309</t>
  </si>
  <si>
    <t>PDRC ISOLATION 2</t>
  </si>
  <si>
    <t>2511</t>
  </si>
  <si>
    <t>GENETICS LAB FRS</t>
  </si>
  <si>
    <t>2575</t>
  </si>
  <si>
    <t>PUMP HOUSE 6 FRS</t>
  </si>
  <si>
    <t>2632</t>
  </si>
  <si>
    <t>INTRAMURAL FLD RR</t>
  </si>
  <si>
    <t>2854</t>
  </si>
  <si>
    <t>PS LAYING-BREED E</t>
  </si>
  <si>
    <t>3038</t>
  </si>
  <si>
    <t>PREFAB STRG BLDG 3</t>
  </si>
  <si>
    <t>3084</t>
  </si>
  <si>
    <t>VMC EQN PERF ARENA</t>
  </si>
  <si>
    <t>3279</t>
  </si>
  <si>
    <t>EQUIP STRG EAST 1</t>
  </si>
  <si>
    <t>3527</t>
  </si>
  <si>
    <t>3788</t>
  </si>
  <si>
    <t>GAR JOHNNYS WELL</t>
  </si>
  <si>
    <t>4156</t>
  </si>
  <si>
    <t>PDRC SHAVINGS</t>
  </si>
  <si>
    <t>4311</t>
  </si>
  <si>
    <t>RAINOUT SHELTER</t>
  </si>
  <si>
    <t>4601</t>
  </si>
  <si>
    <t>ADMINISTRATION OFF</t>
  </si>
  <si>
    <t>4647</t>
  </si>
  <si>
    <t>POTATO CURING HSE</t>
  </si>
  <si>
    <t>5033</t>
  </si>
  <si>
    <t>COTTAGE 33</t>
  </si>
  <si>
    <t>5308</t>
  </si>
  <si>
    <t>CABIN 8</t>
  </si>
  <si>
    <t>5329</t>
  </si>
  <si>
    <t>PAVILION 3</t>
  </si>
  <si>
    <t>3777</t>
  </si>
  <si>
    <t>FRS AUTO SHOP</t>
  </si>
  <si>
    <t>3841</t>
  </si>
  <si>
    <t>GLDS REDFIELD WELL</t>
  </si>
  <si>
    <t>4466</t>
  </si>
  <si>
    <t>VISITOR HOUSING</t>
  </si>
  <si>
    <t>4644</t>
  </si>
  <si>
    <t>ENTOMOLOGY LAB</t>
  </si>
  <si>
    <t>4696</t>
  </si>
  <si>
    <t>SUPERINTENDNTS CTG</t>
  </si>
  <si>
    <t>4753</t>
  </si>
  <si>
    <t>4762</t>
  </si>
  <si>
    <t>PHY PLT BLDG CPES</t>
  </si>
  <si>
    <t>4801</t>
  </si>
  <si>
    <t>BOWEN FM:CTG B-F A</t>
  </si>
  <si>
    <t>4860</t>
  </si>
  <si>
    <t>GEN PURPOSE BARN</t>
  </si>
  <si>
    <t>5078</t>
  </si>
  <si>
    <t>RESIDENT SMITH</t>
  </si>
  <si>
    <t>5664</t>
  </si>
  <si>
    <t>BURTON-4H REC HALL</t>
  </si>
  <si>
    <t>5855</t>
  </si>
  <si>
    <t>DORM 1 &amp; 2</t>
  </si>
  <si>
    <t>5989</t>
  </si>
  <si>
    <t>VOVR FARM WELL HS</t>
  </si>
  <si>
    <t>6366</t>
  </si>
  <si>
    <t>AEL THERM EFF LAB</t>
  </si>
  <si>
    <t>7530</t>
  </si>
  <si>
    <t>RICE HOUSE</t>
  </si>
  <si>
    <t>0023</t>
  </si>
  <si>
    <t>TERRELL HALL</t>
  </si>
  <si>
    <t>1501</t>
  </si>
  <si>
    <t>ANIMAL DAIRY SCI - RHODES CTR</t>
  </si>
  <si>
    <t>1941</t>
  </si>
  <si>
    <t>HSC-HOUSING BLDG G</t>
  </si>
  <si>
    <t>2131</t>
  </si>
  <si>
    <t>CERAMICS</t>
  </si>
  <si>
    <t>7029</t>
  </si>
  <si>
    <t>SOFT SHEL CRAB FAC</t>
  </si>
  <si>
    <t>7089</t>
  </si>
  <si>
    <t>HODGSON OIL BLDG</t>
  </si>
  <si>
    <t>MEIGS HALL</t>
  </si>
  <si>
    <t>2220</t>
  </si>
  <si>
    <t>SIGMA DELTA TAU S.</t>
  </si>
  <si>
    <t>2231</t>
  </si>
  <si>
    <t>UNIV. VLG-L</t>
  </si>
  <si>
    <t>2257</t>
  </si>
  <si>
    <t>OGLETHORPE DIN COM</t>
  </si>
  <si>
    <t>0113</t>
  </si>
  <si>
    <t>382 E BROAD STREET</t>
  </si>
  <si>
    <t>0640</t>
  </si>
  <si>
    <t>GILBERT HALL</t>
  </si>
  <si>
    <t>1516</t>
  </si>
  <si>
    <t>EAST CAMPUS RES HL</t>
  </si>
  <si>
    <t>2852</t>
  </si>
  <si>
    <t>PS BATTERY HSE C</t>
  </si>
  <si>
    <t>3204</t>
  </si>
  <si>
    <t>JPC MACHINE SHED</t>
  </si>
  <si>
    <t>3425</t>
  </si>
  <si>
    <t>LOW SKEET HOUSE</t>
  </si>
  <si>
    <t>3506</t>
  </si>
  <si>
    <t>WORK CTR / STORAGE</t>
  </si>
  <si>
    <t>3690</t>
  </si>
  <si>
    <t>ANI SCI HAY BARN 4</t>
  </si>
  <si>
    <t>3710</t>
  </si>
  <si>
    <t>HQ METAL SHED</t>
  </si>
  <si>
    <t>3712</t>
  </si>
  <si>
    <t>HQ RED BARN</t>
  </si>
  <si>
    <t>3924</t>
  </si>
  <si>
    <t>4030</t>
  </si>
  <si>
    <t>HANNA FORAGE SHOP</t>
  </si>
  <si>
    <t>5127</t>
  </si>
  <si>
    <t>5146</t>
  </si>
  <si>
    <t>STAFF HSE 423-424</t>
  </si>
  <si>
    <t>5313</t>
  </si>
  <si>
    <t>CABIN 13</t>
  </si>
  <si>
    <t>5324</t>
  </si>
  <si>
    <t>OFFICE</t>
  </si>
  <si>
    <t>5712</t>
  </si>
  <si>
    <t>WASH HOUSE</t>
  </si>
  <si>
    <t>5760</t>
  </si>
  <si>
    <t>HANDI HOUSE STRG</t>
  </si>
  <si>
    <t>4488</t>
  </si>
  <si>
    <t>WESTRBRK N STG BLD</t>
  </si>
  <si>
    <t>4737</t>
  </si>
  <si>
    <t>2375</t>
  </si>
  <si>
    <t>PDRC HOUSE 4</t>
  </si>
  <si>
    <t>2399</t>
  </si>
  <si>
    <t>PDRC INCINERATOR</t>
  </si>
  <si>
    <t>2553</t>
  </si>
  <si>
    <t>NURSERY BUILDING</t>
  </si>
  <si>
    <t>2556</t>
  </si>
  <si>
    <t>FOR UTIL LAB GRN-1</t>
  </si>
  <si>
    <t>2569</t>
  </si>
  <si>
    <t>2600</t>
  </si>
  <si>
    <t>THOMAS ST., SOUTH</t>
  </si>
  <si>
    <t>2633</t>
  </si>
  <si>
    <t>TENNIS CT REST RM</t>
  </si>
  <si>
    <t>2657</t>
  </si>
  <si>
    <t>GOLF RAIN SHEL 1</t>
  </si>
  <si>
    <t>2672</t>
  </si>
  <si>
    <t>GOLF RAIN SHEL 2</t>
  </si>
  <si>
    <t>1688</t>
  </si>
  <si>
    <t>BUTTS-MEHRE HERITAGE HALL EXPA</t>
  </si>
  <si>
    <t>1699</t>
  </si>
  <si>
    <t>PRF ARTS PRKING DK</t>
  </si>
  <si>
    <t>1954</t>
  </si>
  <si>
    <t>2335</t>
  </si>
  <si>
    <t>BTGDN VISITOR CTR</t>
  </si>
  <si>
    <t>2928</t>
  </si>
  <si>
    <t>AS SWINE GESTN</t>
  </si>
  <si>
    <t>3470</t>
  </si>
  <si>
    <t>DB SHEEP FACILITY</t>
  </si>
  <si>
    <t>3786</t>
  </si>
  <si>
    <t>GLDS WELL RED BARN</t>
  </si>
  <si>
    <t>3941</t>
  </si>
  <si>
    <t>EQUIP STORAGE SHED</t>
  </si>
  <si>
    <t>4024</t>
  </si>
  <si>
    <t>SWINE NURSERY 2</t>
  </si>
  <si>
    <t>4499</t>
  </si>
  <si>
    <t>HORT POLY GH 2</t>
  </si>
  <si>
    <t>4560</t>
  </si>
  <si>
    <t>TURF SCI R&amp;E FAC</t>
  </si>
  <si>
    <t>4663</t>
  </si>
  <si>
    <t>BLACK SHANK TOB BR</t>
  </si>
  <si>
    <t>5021</t>
  </si>
  <si>
    <t>COTTAGE 21</t>
  </si>
  <si>
    <t>5057</t>
  </si>
  <si>
    <t>TALMADGE AUDITORIU</t>
  </si>
  <si>
    <t>5913</t>
  </si>
  <si>
    <t>HAMPTN FRM:COM BRN</t>
  </si>
  <si>
    <t>5974</t>
  </si>
  <si>
    <t>BLUEBERRY GH</t>
  </si>
  <si>
    <t>6016</t>
  </si>
  <si>
    <t>SAPELO POWER HSE</t>
  </si>
  <si>
    <t>6022</t>
  </si>
  <si>
    <t>SAPELO TRAILER P</t>
  </si>
  <si>
    <t>PARK HALL</t>
  </si>
  <si>
    <t>CHICOPEE NO.3</t>
  </si>
  <si>
    <t>OLD COLLEGE</t>
  </si>
  <si>
    <t>0290</t>
  </si>
  <si>
    <t>CLARK HOWELL HALL</t>
  </si>
  <si>
    <t>1247</t>
  </si>
  <si>
    <t>C SCHWAB FINANCIAL PLNING CTR</t>
  </si>
  <si>
    <t>1638</t>
  </si>
  <si>
    <t>PRACTICE FLDS STRG</t>
  </si>
  <si>
    <t>1652</t>
  </si>
  <si>
    <t>CHILD DEVEL. LAB</t>
  </si>
  <si>
    <t>2855</t>
  </si>
  <si>
    <t>PS LAYING-BREED F</t>
  </si>
  <si>
    <t>2974</t>
  </si>
  <si>
    <t>REDCOAT BAND TWR</t>
  </si>
  <si>
    <t>3012</t>
  </si>
  <si>
    <t>ENT QUARANTINE LAB</t>
  </si>
  <si>
    <t>3120</t>
  </si>
  <si>
    <t>DS EMBRYO TRANSFER</t>
  </si>
  <si>
    <t>E235</t>
  </si>
  <si>
    <t>Student Center</t>
  </si>
  <si>
    <t>A118</t>
  </si>
  <si>
    <t>Dining Facility</t>
  </si>
  <si>
    <t>2002</t>
  </si>
  <si>
    <t>Darton Villiage South</t>
  </si>
  <si>
    <t>E221</t>
  </si>
  <si>
    <t>Plant Storage</t>
  </si>
  <si>
    <t>E226</t>
  </si>
  <si>
    <t>Library JPL</t>
  </si>
  <si>
    <t>E210</t>
  </si>
  <si>
    <t>President's House (old)</t>
  </si>
  <si>
    <t>I</t>
  </si>
  <si>
    <t>J</t>
  </si>
  <si>
    <t>M</t>
  </si>
  <si>
    <t>G</t>
  </si>
  <si>
    <t>A120</t>
  </si>
  <si>
    <t>100b South Site</t>
  </si>
  <si>
    <t>E231</t>
  </si>
  <si>
    <t>Military Science</t>
  </si>
  <si>
    <t>E</t>
  </si>
  <si>
    <t>E227</t>
  </si>
  <si>
    <t>A117</t>
  </si>
  <si>
    <t>South Hall</t>
  </si>
  <si>
    <t>H</t>
  </si>
  <si>
    <t>E234</t>
  </si>
  <si>
    <t>Early Learning Center</t>
  </si>
  <si>
    <t>A104</t>
  </si>
  <si>
    <t>Wiley Hall</t>
  </si>
  <si>
    <t>C</t>
  </si>
  <si>
    <t>E229</t>
  </si>
  <si>
    <t>HPER Bldg</t>
  </si>
  <si>
    <t>0001</t>
  </si>
  <si>
    <t>A</t>
  </si>
  <si>
    <t>Darton Commons</t>
  </si>
  <si>
    <t>E230</t>
  </si>
  <si>
    <t>Chemical Storage</t>
  </si>
  <si>
    <t>L</t>
  </si>
  <si>
    <t>A122</t>
  </si>
  <si>
    <t>200b North Site</t>
  </si>
  <si>
    <t>E208</t>
  </si>
  <si>
    <t>Daisy Brown (Pres Ofc)</t>
  </si>
  <si>
    <t>A115</t>
  </si>
  <si>
    <t>North Hall</t>
  </si>
  <si>
    <t>E206</t>
  </si>
  <si>
    <t>Orene Hall (Old Dining Hall)</t>
  </si>
  <si>
    <t>E236</t>
  </si>
  <si>
    <t>PE Storage Shed</t>
  </si>
  <si>
    <t>E217</t>
  </si>
  <si>
    <t>Peace Hall (PH)</t>
  </si>
  <si>
    <t>Maint Storerooms</t>
  </si>
  <si>
    <t>A119</t>
  </si>
  <si>
    <t>100a South Site</t>
  </si>
  <si>
    <t>D</t>
  </si>
  <si>
    <t>F</t>
  </si>
  <si>
    <t>E203</t>
  </si>
  <si>
    <t>Simmons (RHS)</t>
  </si>
  <si>
    <t>Paint Shed</t>
  </si>
  <si>
    <t>K</t>
  </si>
  <si>
    <t>E218</t>
  </si>
  <si>
    <t>Albany Municipal Coliseum</t>
  </si>
  <si>
    <t>E228</t>
  </si>
  <si>
    <t>Billy C. Black Building</t>
  </si>
  <si>
    <t>B</t>
  </si>
  <si>
    <t>A116</t>
  </si>
  <si>
    <t>East Hall</t>
  </si>
  <si>
    <t>A121</t>
  </si>
  <si>
    <t>200a North Site</t>
  </si>
  <si>
    <t>Maint Shed</t>
  </si>
  <si>
    <t>E209</t>
  </si>
  <si>
    <t>Sanford (SH)</t>
  </si>
  <si>
    <t>A109</t>
  </si>
  <si>
    <t>Andrews Hall</t>
  </si>
  <si>
    <t>E224</t>
  </si>
  <si>
    <t>J C Reese</t>
  </si>
  <si>
    <t>A105</t>
  </si>
  <si>
    <t>Gibson Hall</t>
  </si>
  <si>
    <t>A123</t>
  </si>
  <si>
    <t>Hall 5</t>
  </si>
  <si>
    <t>E220</t>
  </si>
  <si>
    <t>Staff Services</t>
  </si>
  <si>
    <t>A124</t>
  </si>
  <si>
    <t>Hall 6</t>
  </si>
  <si>
    <t>E215</t>
  </si>
  <si>
    <t>Plant Operations</t>
  </si>
  <si>
    <t>E219</t>
  </si>
  <si>
    <t>Hartnett(CMH)</t>
  </si>
  <si>
    <t>Spivey Hall</t>
  </si>
  <si>
    <t>COOLING TOWER &amp; PUMP HOUSE</t>
  </si>
  <si>
    <t>Laboratory Annex Building</t>
  </si>
  <si>
    <t>Faculty Hall</t>
  </si>
  <si>
    <t>Lucy Huie Hall</t>
  </si>
  <si>
    <t>College of Business</t>
  </si>
  <si>
    <t>500</t>
  </si>
  <si>
    <t>Laker Village Bldg 500</t>
  </si>
  <si>
    <t>SECURITY STATION</t>
  </si>
  <si>
    <t>102</t>
  </si>
  <si>
    <t>Laker Village Pool House</t>
  </si>
  <si>
    <t>300</t>
  </si>
  <si>
    <t>Laker Village Bldg 300</t>
  </si>
  <si>
    <t>Athletics Center</t>
  </si>
  <si>
    <t>0027</t>
  </si>
  <si>
    <t>Irrigation Pump House</t>
  </si>
  <si>
    <t>HOUS</t>
  </si>
  <si>
    <t>Laker Hall</t>
  </si>
  <si>
    <t>Arts &amp; Sciences</t>
  </si>
  <si>
    <t>CSU East - Arbor Hall</t>
  </si>
  <si>
    <t>Edgewater Hall</t>
  </si>
  <si>
    <t>100</t>
  </si>
  <si>
    <t>Laker Village Bldg 100</t>
  </si>
  <si>
    <t>Lecture Hall</t>
  </si>
  <si>
    <t>5000</t>
  </si>
  <si>
    <t>Laker Village 5000</t>
  </si>
  <si>
    <t>600</t>
  </si>
  <si>
    <t>Laker Village Bldg 600</t>
  </si>
  <si>
    <t>Facilities Management</t>
  </si>
  <si>
    <t>Lakeview Discovery &amp; Science</t>
  </si>
  <si>
    <t>Laker Village Bldg 1000</t>
  </si>
  <si>
    <t>Student Activities Center</t>
  </si>
  <si>
    <t>CSU East Trammell Rd</t>
  </si>
  <si>
    <t>101</t>
  </si>
  <si>
    <t>Laker Village Club House</t>
  </si>
  <si>
    <t>Clayton Hall</t>
  </si>
  <si>
    <t>CSU East - Woodlands Hall</t>
  </si>
  <si>
    <t>400</t>
  </si>
  <si>
    <t>4000</t>
  </si>
  <si>
    <t>Laker Village Bldg 4000</t>
  </si>
  <si>
    <t>Library</t>
  </si>
  <si>
    <t>3000</t>
  </si>
  <si>
    <t>Laker Village Bldg 3000</t>
  </si>
  <si>
    <t>Harry S. Downs Center</t>
  </si>
  <si>
    <t>103</t>
  </si>
  <si>
    <t>Laker Village Maintenance Bldg</t>
  </si>
  <si>
    <t>700</t>
  </si>
  <si>
    <t>Laker Village Bldg 700</t>
  </si>
  <si>
    <t>F006</t>
  </si>
  <si>
    <t>200</t>
  </si>
  <si>
    <t>Laker Village Bldg 200</t>
  </si>
  <si>
    <t>800</t>
  </si>
  <si>
    <t>Laker Village Bldg 800</t>
  </si>
  <si>
    <t>900</t>
  </si>
  <si>
    <t>Laker Village Bldg 900</t>
  </si>
  <si>
    <t>Laker Village Bldg 2000</t>
  </si>
  <si>
    <t>Magnolia Hall</t>
  </si>
  <si>
    <t>James M. Baker University Ctr.</t>
  </si>
  <si>
    <t>005G</t>
  </si>
  <si>
    <t>Softball Dougout Home</t>
  </si>
  <si>
    <t>RICHARDS HALL</t>
  </si>
  <si>
    <t>017A</t>
  </si>
  <si>
    <t>PLANT OPERATIONS ANNEX</t>
  </si>
  <si>
    <t>0846</t>
  </si>
  <si>
    <t>0070</t>
  </si>
  <si>
    <t>0854</t>
  </si>
  <si>
    <t>055C</t>
  </si>
  <si>
    <t>0860</t>
  </si>
  <si>
    <t>Tucker Hall</t>
  </si>
  <si>
    <t>Illges Hall</t>
  </si>
  <si>
    <t>001A</t>
  </si>
  <si>
    <t>RICHARDS HALL ADDITION</t>
  </si>
  <si>
    <t>005C</t>
  </si>
  <si>
    <t>Base Ball Dougout Home</t>
  </si>
  <si>
    <t>LeNoir Hall Annex</t>
  </si>
  <si>
    <t>WOODRUFF GYMNASIUM</t>
  </si>
  <si>
    <t>0795</t>
  </si>
  <si>
    <t>Student Recreation Center</t>
  </si>
  <si>
    <t>Soccer Complex</t>
  </si>
  <si>
    <t>075V</t>
  </si>
  <si>
    <t>Schuster Student Success Cntr</t>
  </si>
  <si>
    <t>0847</t>
  </si>
  <si>
    <t>075B</t>
  </si>
  <si>
    <t>0770</t>
  </si>
  <si>
    <t>CUNNINGHAM CONFERENCE CTR</t>
  </si>
  <si>
    <t>Jordan Hall</t>
  </si>
  <si>
    <t>055I</t>
  </si>
  <si>
    <t>Maryland Circle 3658</t>
  </si>
  <si>
    <t>0901</t>
  </si>
  <si>
    <t>0710</t>
  </si>
  <si>
    <t>Lumpkin, Frank G. Jr Center</t>
  </si>
  <si>
    <t>0815</t>
  </si>
  <si>
    <t>Front Ave 933, Seaboard Depot</t>
  </si>
  <si>
    <t>0870</t>
  </si>
  <si>
    <t>Frank Brown Hall</t>
  </si>
  <si>
    <t>005D</t>
  </si>
  <si>
    <t>Base Ball Dougout Visitors</t>
  </si>
  <si>
    <t>0791</t>
  </si>
  <si>
    <t>Intermural Field Storage Build</t>
  </si>
  <si>
    <t>Woodall Hall</t>
  </si>
  <si>
    <t>LeNoir Hall</t>
  </si>
  <si>
    <t>055J</t>
  </si>
  <si>
    <t>0811</t>
  </si>
  <si>
    <t>University Theatre, RiverPark</t>
  </si>
  <si>
    <t>910</t>
  </si>
  <si>
    <t>PRO SHOP</t>
  </si>
  <si>
    <t>Coca-Cola Space Science Center</t>
  </si>
  <si>
    <t>017E</t>
  </si>
  <si>
    <t>Transportation Building</t>
  </si>
  <si>
    <t>0730</t>
  </si>
  <si>
    <t>075F</t>
  </si>
  <si>
    <t>0903</t>
  </si>
  <si>
    <t>005F</t>
  </si>
  <si>
    <t>Press Box Base Ball Field</t>
  </si>
  <si>
    <t>055B</t>
  </si>
  <si>
    <t>Maryland Cirlce 2 A &amp; B</t>
  </si>
  <si>
    <t>0810</t>
  </si>
  <si>
    <t>Corn Center, RiverPark Campus</t>
  </si>
  <si>
    <t>0851</t>
  </si>
  <si>
    <t>075E</t>
  </si>
  <si>
    <t>852</t>
  </si>
  <si>
    <t>005A</t>
  </si>
  <si>
    <t>BASEBALL CONCESSION</t>
  </si>
  <si>
    <t>Synovus Ctr for Commerce Tech</t>
  </si>
  <si>
    <t>716</t>
  </si>
  <si>
    <t>055H</t>
  </si>
  <si>
    <t>Maryland Circle 3631</t>
  </si>
  <si>
    <t>0645</t>
  </si>
  <si>
    <t>Soccer Complex Concession</t>
  </si>
  <si>
    <t>0845</t>
  </si>
  <si>
    <t>0900</t>
  </si>
  <si>
    <t>3001 Macon Road</t>
  </si>
  <si>
    <t>0902</t>
  </si>
  <si>
    <t>005B</t>
  </si>
  <si>
    <t>CHARLIE MORROW FIELD HOUSE</t>
  </si>
  <si>
    <t>017I</t>
  </si>
  <si>
    <t>Bus Wash Rack</t>
  </si>
  <si>
    <t>Simon Schwob Memorial Library</t>
  </si>
  <si>
    <t>075G</t>
  </si>
  <si>
    <t>075S</t>
  </si>
  <si>
    <t>Stanley Hall</t>
  </si>
  <si>
    <t>0715</t>
  </si>
  <si>
    <t>Parking Deck</t>
  </si>
  <si>
    <t>017C</t>
  </si>
  <si>
    <t>LANDSCAPING SHOP</t>
  </si>
  <si>
    <t>TURNER CENTER CONTINUING ED</t>
  </si>
  <si>
    <t>018B</t>
  </si>
  <si>
    <t>Turner II University Police</t>
  </si>
  <si>
    <t>075U</t>
  </si>
  <si>
    <t>0842</t>
  </si>
  <si>
    <t>055G</t>
  </si>
  <si>
    <t>075D</t>
  </si>
  <si>
    <t>075T</t>
  </si>
  <si>
    <t>0853</t>
  </si>
  <si>
    <t>005J</t>
  </si>
  <si>
    <t>Softball Batting Cage</t>
  </si>
  <si>
    <t>017K</t>
  </si>
  <si>
    <t>Bus Shed 2</t>
  </si>
  <si>
    <t>005E</t>
  </si>
  <si>
    <t>Base Ball Batting Cage</t>
  </si>
  <si>
    <t>005H</t>
  </si>
  <si>
    <t>Softball Dougout Visitors</t>
  </si>
  <si>
    <t>055D</t>
  </si>
  <si>
    <t>Arnold Hall</t>
  </si>
  <si>
    <t>PLANT OPERATIONS BUILDING</t>
  </si>
  <si>
    <t>017N</t>
  </si>
  <si>
    <t>Bus Shed 3</t>
  </si>
  <si>
    <t>0841</t>
  </si>
  <si>
    <t>017L</t>
  </si>
  <si>
    <t>Equipment Shed 1</t>
  </si>
  <si>
    <t>DAVIDSON STUDENT CENTER</t>
  </si>
  <si>
    <t>0830</t>
  </si>
  <si>
    <t>0843</t>
  </si>
  <si>
    <t>055A</t>
  </si>
  <si>
    <t>P. E. STORAGE</t>
  </si>
  <si>
    <t>Health and Wellness Center</t>
  </si>
  <si>
    <t>0732</t>
  </si>
  <si>
    <t>Shannon Hall</t>
  </si>
  <si>
    <t>Turner I</t>
  </si>
  <si>
    <t>Howard Hall</t>
  </si>
  <si>
    <t>0733</t>
  </si>
  <si>
    <t>006A</t>
  </si>
  <si>
    <t>DAVIDSON STUDENT CTR. ADDITION</t>
  </si>
  <si>
    <t>017J</t>
  </si>
  <si>
    <t>Bus Shed 1</t>
  </si>
  <si>
    <t>017D</t>
  </si>
  <si>
    <t>TOOL SHED</t>
  </si>
  <si>
    <t>646</t>
  </si>
  <si>
    <t>Soccer Press Box</t>
  </si>
  <si>
    <t>075A</t>
  </si>
  <si>
    <t>0675</t>
  </si>
  <si>
    <t>International House</t>
  </si>
  <si>
    <t>017H</t>
  </si>
  <si>
    <t>Central Receiving</t>
  </si>
  <si>
    <t>017M</t>
  </si>
  <si>
    <t>Equipment Shed 2</t>
  </si>
  <si>
    <t>055E</t>
  </si>
  <si>
    <t>0695</t>
  </si>
  <si>
    <t>LINDSEY MOCK PAVILION--CAMPUS</t>
  </si>
  <si>
    <t>000E</t>
  </si>
  <si>
    <t>Maryland Circle 3629</t>
  </si>
  <si>
    <t>Lynn Haven, Harris County</t>
  </si>
  <si>
    <t>055F</t>
  </si>
  <si>
    <t>005I</t>
  </si>
  <si>
    <t>Softball Press Box</t>
  </si>
  <si>
    <t>075C</t>
  </si>
  <si>
    <t>0820</t>
  </si>
  <si>
    <t>PRINT SHOP</t>
  </si>
  <si>
    <t>0435</t>
  </si>
  <si>
    <t>KID/YEARLING BARN</t>
  </si>
  <si>
    <t>0440</t>
  </si>
  <si>
    <t>0470</t>
  </si>
  <si>
    <t>GOAT DAIRY</t>
  </si>
  <si>
    <t>0360</t>
  </si>
  <si>
    <t>HEADHOUSE #2</t>
  </si>
  <si>
    <t>FACULTY DUPLEX #2</t>
  </si>
  <si>
    <t>0382</t>
  </si>
  <si>
    <t>0415</t>
  </si>
  <si>
    <t>HOME-EC LAB</t>
  </si>
  <si>
    <t>0330</t>
  </si>
  <si>
    <t>POULTRY RESEARCH</t>
  </si>
  <si>
    <t>0407</t>
  </si>
  <si>
    <t>SWEET POTATO SHED</t>
  </si>
  <si>
    <t>0520</t>
  </si>
  <si>
    <t>COMPUTER TECHNOLOGY/MATHEMATIC</t>
  </si>
  <si>
    <t>0530</t>
  </si>
  <si>
    <t>SEWER LIFT STATION</t>
  </si>
  <si>
    <t>0550</t>
  </si>
  <si>
    <t>WC 3</t>
  </si>
  <si>
    <t>FACULTY DUPLEX #1</t>
  </si>
  <si>
    <t>0535</t>
  </si>
  <si>
    <t>SEWER SEPARATOR</t>
  </si>
  <si>
    <t>HUNT INFIRMARY</t>
  </si>
  <si>
    <t>FACULTY HSE UNIV DR</t>
  </si>
  <si>
    <t>CARNEGIE ADMIN</t>
  </si>
  <si>
    <t>0305</t>
  </si>
  <si>
    <t>STORAGE SHED-MAINT</t>
  </si>
  <si>
    <t>0390</t>
  </si>
  <si>
    <t>IMPLEMENT SHED #1</t>
  </si>
  <si>
    <t>0540</t>
  </si>
  <si>
    <t>WC 5</t>
  </si>
  <si>
    <t>TROUP ADMINISTRATION</t>
  </si>
  <si>
    <t>0340</t>
  </si>
  <si>
    <t>PLANT SCI STORAGE</t>
  </si>
  <si>
    <t>BISHOP MASS COMM</t>
  </si>
  <si>
    <t>0370</t>
  </si>
  <si>
    <t>RES GREENHOUSE #6</t>
  </si>
  <si>
    <t>0310</t>
  </si>
  <si>
    <t>WILSON-ROBERTS MNT</t>
  </si>
  <si>
    <t>0308</t>
  </si>
  <si>
    <t>FLAMMABLE STORAGE</t>
  </si>
  <si>
    <t>0350</t>
  </si>
  <si>
    <t>HEADHOUSE #1</t>
  </si>
  <si>
    <t>0505</t>
  </si>
  <si>
    <t>PUMPHOUSE #3</t>
  </si>
  <si>
    <t>0445</t>
  </si>
  <si>
    <t>BUCK QUARTERS</t>
  </si>
  <si>
    <t>OHIO DORM</t>
  </si>
  <si>
    <t>0351</t>
  </si>
  <si>
    <t>RES GREENHOUSE #1</t>
  </si>
  <si>
    <t>FOOD SERVICE</t>
  </si>
  <si>
    <t>0600</t>
  </si>
  <si>
    <t>STUDENT ACTIVITIES CENTER</t>
  </si>
  <si>
    <t>GARAGE #2</t>
  </si>
  <si>
    <t>BYWATERS ACADEMIC</t>
  </si>
  <si>
    <t>0605</t>
  </si>
  <si>
    <t>FARMHOUSE</t>
  </si>
  <si>
    <t>GANO COOP EXT</t>
  </si>
  <si>
    <t>0352</t>
  </si>
  <si>
    <t>RES GREENHOUSE #2</t>
  </si>
  <si>
    <t>FOUNDERS ACADEMIC</t>
  </si>
  <si>
    <t>0385</t>
  </si>
  <si>
    <t>IMPLEMENT SHED #2</t>
  </si>
  <si>
    <t>0441</t>
  </si>
  <si>
    <t>STORAGE SHED #4</t>
  </si>
  <si>
    <t>0555</t>
  </si>
  <si>
    <t>WC 1</t>
  </si>
  <si>
    <t>0590</t>
  </si>
  <si>
    <t>ACADEMIC CLASSROOM BUILDING</t>
  </si>
  <si>
    <t>0335</t>
  </si>
  <si>
    <t>POULTRY RES ANNEX</t>
  </si>
  <si>
    <t>0565</t>
  </si>
  <si>
    <t>WC CLUBHOUSE</t>
  </si>
  <si>
    <t>AG ARENA &amp; PAVILION</t>
  </si>
  <si>
    <t>MYERS HOME EC</t>
  </si>
  <si>
    <t>0380</t>
  </si>
  <si>
    <t>RES GREENHOUSE #8</t>
  </si>
  <si>
    <t>ANDERSON ALUMNI</t>
  </si>
  <si>
    <t>GREENHOUSE</t>
  </si>
  <si>
    <t>0225</t>
  </si>
  <si>
    <t>WOODWARD GYMNASIUM</t>
  </si>
  <si>
    <t>DAVISON DORM</t>
  </si>
  <si>
    <t>FACULTY APT #1</t>
  </si>
  <si>
    <t>0460</t>
  </si>
  <si>
    <t>ADULT BARN</t>
  </si>
  <si>
    <t>HOME-EC MNGT HOUSE</t>
  </si>
  <si>
    <t>0560</t>
  </si>
  <si>
    <t>WC 2</t>
  </si>
  <si>
    <t>0580</t>
  </si>
  <si>
    <t>WC 6</t>
  </si>
  <si>
    <t>HUNT LIBRARY</t>
  </si>
  <si>
    <t>0226</t>
  </si>
  <si>
    <t>WOODWARD GYMNASIUM ANNEX</t>
  </si>
  <si>
    <t>0240</t>
  </si>
  <si>
    <t>BOND ACADEMIC BLDG</t>
  </si>
  <si>
    <t>0300</t>
  </si>
  <si>
    <t>STALLWORTH RSCH</t>
  </si>
  <si>
    <t>0362</t>
  </si>
  <si>
    <t>RES GREENHOUSE #5</t>
  </si>
  <si>
    <t>0405</t>
  </si>
  <si>
    <t>RABBIT RESEARCH</t>
  </si>
  <si>
    <t>0475</t>
  </si>
  <si>
    <t>SMALL RUMINANT CENTER</t>
  </si>
  <si>
    <t>0570</t>
  </si>
  <si>
    <t>HPE BUILDING</t>
  </si>
  <si>
    <t>HUNTINGTON ADMIN</t>
  </si>
  <si>
    <t>GUARD HOUSE UNIV DR</t>
  </si>
  <si>
    <t>0615</t>
  </si>
  <si>
    <t>SAFE CENTER</t>
  </si>
  <si>
    <t>LYONS STUDENT CTR</t>
  </si>
  <si>
    <t>PATTON ACADEMIC</t>
  </si>
  <si>
    <t>0430</t>
  </si>
  <si>
    <t>GOAT CENTER ADMIN</t>
  </si>
  <si>
    <t>FLD EXPER</t>
  </si>
  <si>
    <t>0406</t>
  </si>
  <si>
    <t>STORAGE SHED #3</t>
  </si>
  <si>
    <t>0525</t>
  </si>
  <si>
    <t>EXERCISE PHYSIOLOGY &amp; SPORTS</t>
  </si>
  <si>
    <t>0575</t>
  </si>
  <si>
    <t>AG TECHNOLOGY CENTER</t>
  </si>
  <si>
    <t>FAC HOUSE 904</t>
  </si>
  <si>
    <t>0545</t>
  </si>
  <si>
    <t>WC 4</t>
  </si>
  <si>
    <t>0611</t>
  </si>
  <si>
    <t>0213</t>
  </si>
  <si>
    <t>GREENHOUSE/WET LAB</t>
  </si>
  <si>
    <t>0220</t>
  </si>
  <si>
    <t>ELLIS AG-MECH ACAD</t>
  </si>
  <si>
    <t>0387</t>
  </si>
  <si>
    <t>PUMPHOUSE #2</t>
  </si>
  <si>
    <t>0465</t>
  </si>
  <si>
    <t>FEED PROCESSING</t>
  </si>
  <si>
    <t>0585</t>
  </si>
  <si>
    <t>WC 7</t>
  </si>
  <si>
    <t>GUARD HOUSE PEAR ST</t>
  </si>
  <si>
    <t>TABOR AGR ACAD</t>
  </si>
  <si>
    <t>0285</t>
  </si>
  <si>
    <t>FACULTY APT #2</t>
  </si>
  <si>
    <t>0302</t>
  </si>
  <si>
    <t>0361</t>
  </si>
  <si>
    <t>RES GREENHOUSE #4</t>
  </si>
  <si>
    <t>FVSU  -  Warner Robins Site</t>
  </si>
  <si>
    <t>0521</t>
  </si>
  <si>
    <t>MEAT TECHNOLOGY BUILDING</t>
  </si>
  <si>
    <t>0510</t>
  </si>
  <si>
    <t>0612</t>
  </si>
  <si>
    <t>CHILD DEVELOPMENT CENTER</t>
  </si>
  <si>
    <t>PEABODY TRADES</t>
  </si>
  <si>
    <t>0355</t>
  </si>
  <si>
    <t>RES GREENHOUSE #3</t>
  </si>
  <si>
    <t>GUARD HOUSE CARVER</t>
  </si>
  <si>
    <t>0245</t>
  </si>
  <si>
    <t>PETTIGREW CENTER (FCLC)</t>
  </si>
  <si>
    <t>0450</t>
  </si>
  <si>
    <t>PHOTO PERIOD BARN</t>
  </si>
  <si>
    <t>0610</t>
  </si>
  <si>
    <t>FINE ARTS CENTER</t>
  </si>
  <si>
    <t>HUBBARD EDUCATION</t>
  </si>
  <si>
    <t>0320</t>
  </si>
  <si>
    <t>ONEAL VET TECH BLD</t>
  </si>
  <si>
    <t>0595</t>
  </si>
  <si>
    <t>WILDCAT STADIUM</t>
  </si>
  <si>
    <t>FAC HOUSE 906</t>
  </si>
  <si>
    <t>0375</t>
  </si>
  <si>
    <t>RES GREENHOUSE #7</t>
  </si>
  <si>
    <t>0395</t>
  </si>
  <si>
    <t>PLANT OPS STORAGE</t>
  </si>
  <si>
    <t>9029</t>
  </si>
  <si>
    <t>Scene Shop</t>
  </si>
  <si>
    <t>9105</t>
  </si>
  <si>
    <t>Softball Pressbox</t>
  </si>
  <si>
    <t>9124</t>
  </si>
  <si>
    <t>Milk House</t>
  </si>
  <si>
    <t>2060</t>
  </si>
  <si>
    <t>Maxwell Student Union</t>
  </si>
  <si>
    <t>4064</t>
  </si>
  <si>
    <t>West Complex Pavillion</t>
  </si>
  <si>
    <t>4065</t>
  </si>
  <si>
    <t>West Complex Restrooms</t>
  </si>
  <si>
    <t>8015</t>
  </si>
  <si>
    <t>Underwood</t>
  </si>
  <si>
    <t>9103</t>
  </si>
  <si>
    <t>Centennial Clock Tower</t>
  </si>
  <si>
    <t>1990</t>
  </si>
  <si>
    <t>The Depot</t>
  </si>
  <si>
    <t>9042</t>
  </si>
  <si>
    <t>Village 3</t>
  </si>
  <si>
    <t>9020</t>
  </si>
  <si>
    <t>Montgomery House</t>
  </si>
  <si>
    <t>9067</t>
  </si>
  <si>
    <t>Mechanical Building</t>
  </si>
  <si>
    <t>Parks Hall</t>
  </si>
  <si>
    <t>8050</t>
  </si>
  <si>
    <t>Blackbridge House</t>
  </si>
  <si>
    <t>4056</t>
  </si>
  <si>
    <t>Sanford Hall</t>
  </si>
  <si>
    <t>9066</t>
  </si>
  <si>
    <t>Mansion Kitchen Addition</t>
  </si>
  <si>
    <t>9097</t>
  </si>
  <si>
    <t>Campus Theatre</t>
  </si>
  <si>
    <t>Lake Laurel Lodge</t>
  </si>
  <si>
    <t>9035</t>
  </si>
  <si>
    <t>Adams Hall</t>
  </si>
  <si>
    <t>1062</t>
  </si>
  <si>
    <t>Parks Memorial</t>
  </si>
  <si>
    <t>9014</t>
  </si>
  <si>
    <t>Peeler Hall</t>
  </si>
  <si>
    <t>9036</t>
  </si>
  <si>
    <t>Napier Hall</t>
  </si>
  <si>
    <t>1015</t>
  </si>
  <si>
    <t>Russell Library</t>
  </si>
  <si>
    <t>Lake Laurel Canoe Storage</t>
  </si>
  <si>
    <t>Lake Laurel Pavilion</t>
  </si>
  <si>
    <t>9065</t>
  </si>
  <si>
    <t>Education Center</t>
  </si>
  <si>
    <t>9051</t>
  </si>
  <si>
    <t>Intramural Concessions</t>
  </si>
  <si>
    <t>9100</t>
  </si>
  <si>
    <t>Carl Vinson House</t>
  </si>
  <si>
    <t>9107</t>
  </si>
  <si>
    <t>Wellness and Recreation Center</t>
  </si>
  <si>
    <t>9125</t>
  </si>
  <si>
    <t>1989</t>
  </si>
  <si>
    <t>Centennial Center</t>
  </si>
  <si>
    <t>4014</t>
  </si>
  <si>
    <t>9121</t>
  </si>
  <si>
    <t>Hill House</t>
  </si>
  <si>
    <t>9073</t>
  </si>
  <si>
    <t>9123</t>
  </si>
  <si>
    <t>Equipment Shed</t>
  </si>
  <si>
    <t>Lake Laurel Craftshack</t>
  </si>
  <si>
    <t>9059</t>
  </si>
  <si>
    <t>Student Activities Center(FMC)</t>
  </si>
  <si>
    <t>9026</t>
  </si>
  <si>
    <t>East Campus Field Station</t>
  </si>
  <si>
    <t>2056</t>
  </si>
  <si>
    <t>Terrell Hall</t>
  </si>
  <si>
    <t>9032</t>
  </si>
  <si>
    <t>Parkhurst Hall</t>
  </si>
  <si>
    <t>2063</t>
  </si>
  <si>
    <t>Miller Gym</t>
  </si>
  <si>
    <t>9028</t>
  </si>
  <si>
    <t>Hall House</t>
  </si>
  <si>
    <t>9015</t>
  </si>
  <si>
    <t>West Complex Pressbox</t>
  </si>
  <si>
    <t>9027</t>
  </si>
  <si>
    <t>Courthouse</t>
  </si>
  <si>
    <t>9023</t>
  </si>
  <si>
    <t>9106</t>
  </si>
  <si>
    <t>Switchgear Bldg</t>
  </si>
  <si>
    <t>4067</t>
  </si>
  <si>
    <t>West Complex Dugouts</t>
  </si>
  <si>
    <t>Herty Hall</t>
  </si>
  <si>
    <t>Kilpatrick Educ #2</t>
  </si>
  <si>
    <t>Beeson Hall</t>
  </si>
  <si>
    <t>9019</t>
  </si>
  <si>
    <t>McIntosh House</t>
  </si>
  <si>
    <t>8014</t>
  </si>
  <si>
    <t>Herty Science #2</t>
  </si>
  <si>
    <t>9110</t>
  </si>
  <si>
    <t>Composting Facility</t>
  </si>
  <si>
    <t>9120</t>
  </si>
  <si>
    <t>Main House</t>
  </si>
  <si>
    <t>9071</t>
  </si>
  <si>
    <t>Village 5</t>
  </si>
  <si>
    <t>9017</t>
  </si>
  <si>
    <t>Centennial Poolhouse</t>
  </si>
  <si>
    <t>9016</t>
  </si>
  <si>
    <t>Bus Barn</t>
  </si>
  <si>
    <t>6050</t>
  </si>
  <si>
    <t>Lake Laurel Cottage</t>
  </si>
  <si>
    <t>9034</t>
  </si>
  <si>
    <t>Wells Hall</t>
  </si>
  <si>
    <t>9108</t>
  </si>
  <si>
    <t>Deal Center</t>
  </si>
  <si>
    <t>9030</t>
  </si>
  <si>
    <t>Chiller Plant</t>
  </si>
  <si>
    <t>9054</t>
  </si>
  <si>
    <t>Yurt</t>
  </si>
  <si>
    <t>3063</t>
  </si>
  <si>
    <t>Mayfair Hall</t>
  </si>
  <si>
    <t>9043</t>
  </si>
  <si>
    <t>Clubhouse</t>
  </si>
  <si>
    <t>1056</t>
  </si>
  <si>
    <t>Bell Hall</t>
  </si>
  <si>
    <t>Chappell Hall</t>
  </si>
  <si>
    <t>9122</t>
  </si>
  <si>
    <t>Barn</t>
  </si>
  <si>
    <t>9101</t>
  </si>
  <si>
    <t>West Campus Center</t>
  </si>
  <si>
    <t>9040</t>
  </si>
  <si>
    <t>Village 1</t>
  </si>
  <si>
    <t>9052</t>
  </si>
  <si>
    <t>Paint Shop</t>
  </si>
  <si>
    <t>9063</t>
  </si>
  <si>
    <t>Maintenance Shop I (West)</t>
  </si>
  <si>
    <t>3014</t>
  </si>
  <si>
    <t>Porter Hall</t>
  </si>
  <si>
    <t>HazMat Bldg</t>
  </si>
  <si>
    <t>8016</t>
  </si>
  <si>
    <t>Newell-Watts House</t>
  </si>
  <si>
    <t>8056</t>
  </si>
  <si>
    <t>Wooten-Garner House</t>
  </si>
  <si>
    <t>9053</t>
  </si>
  <si>
    <t>Grounds Shed Maintenance</t>
  </si>
  <si>
    <t>1055</t>
  </si>
  <si>
    <t>Ennis Hall</t>
  </si>
  <si>
    <t>5064</t>
  </si>
  <si>
    <t>Lake Laurel Cabin</t>
  </si>
  <si>
    <t>9025</t>
  </si>
  <si>
    <t>Grassman Studio</t>
  </si>
  <si>
    <t>9045</t>
  </si>
  <si>
    <t>Pole Barn</t>
  </si>
  <si>
    <t>9098</t>
  </si>
  <si>
    <t>Sallie Ellis Davis House</t>
  </si>
  <si>
    <t>Lanier Hall</t>
  </si>
  <si>
    <t>1063</t>
  </si>
  <si>
    <t>Atkinson Hall</t>
  </si>
  <si>
    <t>1078</t>
  </si>
  <si>
    <t>Miller Court</t>
  </si>
  <si>
    <t>Kilpatrick Hall</t>
  </si>
  <si>
    <t>Smith House</t>
  </si>
  <si>
    <t>2070</t>
  </si>
  <si>
    <t>Bone House</t>
  </si>
  <si>
    <t>9024</t>
  </si>
  <si>
    <t>Harrison House</t>
  </si>
  <si>
    <t>9104</t>
  </si>
  <si>
    <t>MASONRY SHED</t>
  </si>
  <si>
    <t>9115</t>
  </si>
  <si>
    <t>Integrated Science Complex</t>
  </si>
  <si>
    <t>9037</t>
  </si>
  <si>
    <t>9064</t>
  </si>
  <si>
    <t>Maintenance Shop II (West)</t>
  </si>
  <si>
    <t>9062</t>
  </si>
  <si>
    <t>Miller Annex (ALG)</t>
  </si>
  <si>
    <t>9018</t>
  </si>
  <si>
    <t>Humber-White House</t>
  </si>
  <si>
    <t>9130</t>
  </si>
  <si>
    <t>Interpretive Center</t>
  </si>
  <si>
    <t>Old Governor's Mansion</t>
  </si>
  <si>
    <t>9111</t>
  </si>
  <si>
    <t>9033</t>
  </si>
  <si>
    <t>Foundation Hall</t>
  </si>
  <si>
    <t>9041</t>
  </si>
  <si>
    <t>Village 2</t>
  </si>
  <si>
    <t>9070</t>
  </si>
  <si>
    <t>Village 4</t>
  </si>
  <si>
    <t>9072</t>
  </si>
  <si>
    <t>Village 6</t>
  </si>
  <si>
    <t>9074</t>
  </si>
  <si>
    <t>Miller Annex Storage</t>
  </si>
  <si>
    <t>9075</t>
  </si>
  <si>
    <t>Communication Tower Bldg</t>
  </si>
  <si>
    <t>Russell Auditorium</t>
  </si>
  <si>
    <t>0537</t>
  </si>
  <si>
    <t>Shooting Sports Education Ctr</t>
  </si>
  <si>
    <t>A2</t>
  </si>
  <si>
    <t>Annex #2</t>
  </si>
  <si>
    <t>Bldg. 109</t>
  </si>
  <si>
    <t>0239</t>
  </si>
  <si>
    <t>0707</t>
  </si>
  <si>
    <t>FA</t>
  </si>
  <si>
    <t>Fine Arts Building</t>
  </si>
  <si>
    <t>0230</t>
  </si>
  <si>
    <t>Technology IV Building</t>
  </si>
  <si>
    <t>0451</t>
  </si>
  <si>
    <t>Grounds Storage Shelter</t>
  </si>
  <si>
    <t>0533</t>
  </si>
  <si>
    <t>Univ Park Rec Complex-Clubhous</t>
  </si>
  <si>
    <t>0206</t>
  </si>
  <si>
    <t>Carruth Building</t>
  </si>
  <si>
    <t>0231</t>
  </si>
  <si>
    <t>College of Business Bldg</t>
  </si>
  <si>
    <t>0256</t>
  </si>
  <si>
    <t>0364</t>
  </si>
  <si>
    <t>0538</t>
  </si>
  <si>
    <t>Univ Park Rec Complex-Chemical</t>
  </si>
  <si>
    <t>Lakeside Dining Commons</t>
  </si>
  <si>
    <t>0500</t>
  </si>
  <si>
    <t>Hanner Complex</t>
  </si>
  <si>
    <t>0607</t>
  </si>
  <si>
    <t>Bldg. 607</t>
  </si>
  <si>
    <t>0341</t>
  </si>
  <si>
    <t>Southern Courtyard - Bldg 1</t>
  </si>
  <si>
    <t>Southern Pines - Building 2</t>
  </si>
  <si>
    <t>CP3</t>
  </si>
  <si>
    <t>CP7</t>
  </si>
  <si>
    <t>CPCH</t>
  </si>
  <si>
    <t>0824</t>
  </si>
  <si>
    <t>0263</t>
  </si>
  <si>
    <t>Biological Sci Boat Shelter</t>
  </si>
  <si>
    <t>0264</t>
  </si>
  <si>
    <t>Biological Sci Outdoor Classrm</t>
  </si>
  <si>
    <t>0311</t>
  </si>
  <si>
    <t>Watson Res. Hall</t>
  </si>
  <si>
    <t>MSC1</t>
  </si>
  <si>
    <t>Maintenance Storage</t>
  </si>
  <si>
    <t>Garden Administration Bldg.</t>
  </si>
  <si>
    <t>0522</t>
  </si>
  <si>
    <t>Soccer/Track Field Support</t>
  </si>
  <si>
    <t>0446</t>
  </si>
  <si>
    <t>0454</t>
  </si>
  <si>
    <t>Large Equipment Shelter</t>
  </si>
  <si>
    <t>0399</t>
  </si>
  <si>
    <t>Freedom's Landing - Maint Shop</t>
  </si>
  <si>
    <t>Hawes Hall</t>
  </si>
  <si>
    <t>SC</t>
  </si>
  <si>
    <t>Science Center</t>
  </si>
  <si>
    <t>Eidson House</t>
  </si>
  <si>
    <t>0708</t>
  </si>
  <si>
    <t>CP6</t>
  </si>
  <si>
    <t>CPS</t>
  </si>
  <si>
    <t>UTB</t>
  </si>
  <si>
    <t>Hollis Building</t>
  </si>
  <si>
    <t>0452</t>
  </si>
  <si>
    <t>0393</t>
  </si>
  <si>
    <t>Freedom's Landing - Bldg. 13</t>
  </si>
  <si>
    <t>V</t>
  </si>
  <si>
    <t>Victor Hall</t>
  </si>
  <si>
    <t>0511</t>
  </si>
  <si>
    <t>RAC-Recreation Activity Center</t>
  </si>
  <si>
    <t>0238</t>
  </si>
  <si>
    <t>Forest Drive Classroom Bldg</t>
  </si>
  <si>
    <t>Southern Courtyard - Comm.Ctr.</t>
  </si>
  <si>
    <t>0366</t>
  </si>
  <si>
    <t>0442</t>
  </si>
  <si>
    <t>Stadium Maintenance Facility</t>
  </si>
  <si>
    <t>0534</t>
  </si>
  <si>
    <t>Univ Park Rec Cmplx-Maint/Cart</t>
  </si>
  <si>
    <t>0386</t>
  </si>
  <si>
    <t>Freedom's Landing - Bldg. 6</t>
  </si>
  <si>
    <t>Freedom's Landing - Bldg. 7</t>
  </si>
  <si>
    <t>0396</t>
  </si>
  <si>
    <t>Freedom's Landing - Bldg. 16</t>
  </si>
  <si>
    <t>Gamble Hall</t>
  </si>
  <si>
    <t>LLC</t>
  </si>
  <si>
    <t>Learning Commons</t>
  </si>
  <si>
    <t>UC9</t>
  </si>
  <si>
    <t>0502</t>
  </si>
  <si>
    <t>Iron Works</t>
  </si>
  <si>
    <t>Lewis Hall</t>
  </si>
  <si>
    <t>0398</t>
  </si>
  <si>
    <t>Freedom's Landing - Clubhouse</t>
  </si>
  <si>
    <t>0462</t>
  </si>
  <si>
    <t>SSC</t>
  </si>
  <si>
    <t>WC</t>
  </si>
  <si>
    <t>Windward Commons</t>
  </si>
  <si>
    <t>0401</t>
  </si>
  <si>
    <t>Rosenwald Building</t>
  </si>
  <si>
    <t>J. I. Clements Batting Cage</t>
  </si>
  <si>
    <t>0229</t>
  </si>
  <si>
    <t>Nessmith-Lane Conference Ctr</t>
  </si>
  <si>
    <t>0369</t>
  </si>
  <si>
    <t>0448</t>
  </si>
  <si>
    <t>Facilities Services Shops</t>
  </si>
  <si>
    <t>Jenkins Hall</t>
  </si>
  <si>
    <t>Anderson Hall</t>
  </si>
  <si>
    <t>0363</t>
  </si>
  <si>
    <t>0381</t>
  </si>
  <si>
    <t>Freedom's Landing - Bldg. 1</t>
  </si>
  <si>
    <t>AQ</t>
  </si>
  <si>
    <t>Aquaponics Research</t>
  </si>
  <si>
    <t>BH</t>
  </si>
  <si>
    <t>Burnett Hall</t>
  </si>
  <si>
    <t>MCC</t>
  </si>
  <si>
    <t>Memorial College Center</t>
  </si>
  <si>
    <t>0331</t>
  </si>
  <si>
    <t>0516</t>
  </si>
  <si>
    <t>MC Anderson Stage</t>
  </si>
  <si>
    <t>CP1</t>
  </si>
  <si>
    <t>Math/Physics Building</t>
  </si>
  <si>
    <t>Eugene M Bishop Alumni House</t>
  </si>
  <si>
    <t>0391</t>
  </si>
  <si>
    <t>Freedom's Landing - Bldg. 11</t>
  </si>
  <si>
    <t>GR</t>
  </si>
  <si>
    <t>MSC</t>
  </si>
  <si>
    <t>0248</t>
  </si>
  <si>
    <t>Bird Barn</t>
  </si>
  <si>
    <t>0372</t>
  </si>
  <si>
    <t>0625</t>
  </si>
  <si>
    <t>Oak Grove Schoolhouse</t>
  </si>
  <si>
    <t>0259</t>
  </si>
  <si>
    <t>0721</t>
  </si>
  <si>
    <t>GA Southern Research Lab Bldg2</t>
  </si>
  <si>
    <t>0241</t>
  </si>
  <si>
    <t>Raptor Care Facility</t>
  </si>
  <si>
    <t>0318</t>
  </si>
  <si>
    <t>Eagle Village 1</t>
  </si>
  <si>
    <t>0528</t>
  </si>
  <si>
    <t>Paulson Stad. Concession NE</t>
  </si>
  <si>
    <t>0404</t>
  </si>
  <si>
    <t>Bldg. 404</t>
  </si>
  <si>
    <t>0332</t>
  </si>
  <si>
    <t>J.I. Clements Maintenance Bldg</t>
  </si>
  <si>
    <t>0455</t>
  </si>
  <si>
    <t>Facilities Serv. Cart Storage</t>
  </si>
  <si>
    <t>0265</t>
  </si>
  <si>
    <t>Interdisciplinary Academic Bld</t>
  </si>
  <si>
    <t>SP</t>
  </si>
  <si>
    <t>Armstrong Recreation Center</t>
  </si>
  <si>
    <t>0219</t>
  </si>
  <si>
    <t>Child Development Center</t>
  </si>
  <si>
    <t>0443</t>
  </si>
  <si>
    <t>Cambridge - Bldg. 1</t>
  </si>
  <si>
    <t>0531</t>
  </si>
  <si>
    <t>Softball Facility Building</t>
  </si>
  <si>
    <t>0447</t>
  </si>
  <si>
    <t>S20</t>
  </si>
  <si>
    <t>AX Suite 20</t>
  </si>
  <si>
    <t>UC10</t>
  </si>
  <si>
    <t>UC3</t>
  </si>
  <si>
    <t>Dan J Parrish Sr. Building</t>
  </si>
  <si>
    <t>0208</t>
  </si>
  <si>
    <t>Henderson Library</t>
  </si>
  <si>
    <t>Freedom's Landing - Gate House</t>
  </si>
  <si>
    <t>0532</t>
  </si>
  <si>
    <t>Ted S Smith Family FOC</t>
  </si>
  <si>
    <t>0616</t>
  </si>
  <si>
    <t>Bland Cottage</t>
  </si>
  <si>
    <t>0423</t>
  </si>
  <si>
    <t>Well House 1</t>
  </si>
  <si>
    <t>S</t>
  </si>
  <si>
    <t>Solms Hall</t>
  </si>
  <si>
    <t>GA Southern Research Lab Bldg1</t>
  </si>
  <si>
    <t>0247</t>
  </si>
  <si>
    <t>Freedom's Pavilion</t>
  </si>
  <si>
    <t>0384</t>
  </si>
  <si>
    <t>Freedom's Landing - Bldg. 4</t>
  </si>
  <si>
    <t>0724</t>
  </si>
  <si>
    <t>GA Southern Research Lab Bldg5</t>
  </si>
  <si>
    <t>0400</t>
  </si>
  <si>
    <t>Williams Center</t>
  </si>
  <si>
    <t>0253</t>
  </si>
  <si>
    <t>Cone Hall</t>
  </si>
  <si>
    <t>0367</t>
  </si>
  <si>
    <t>0449</t>
  </si>
  <si>
    <t>Facilities Svcs Shops Storage</t>
  </si>
  <si>
    <t>0251</t>
  </si>
  <si>
    <t>Mechanical Bldg for 0250</t>
  </si>
  <si>
    <t>0234</t>
  </si>
  <si>
    <t>Biology Headhouse</t>
  </si>
  <si>
    <t>0244</t>
  </si>
  <si>
    <t>Wildlife Center Pavilion</t>
  </si>
  <si>
    <t>Facilities Services Admin Bldg</t>
  </si>
  <si>
    <t>0258</t>
  </si>
  <si>
    <t>Biological Sciences Bldg</t>
  </si>
  <si>
    <t>AX</t>
  </si>
  <si>
    <t>Armstrong Center</t>
  </si>
  <si>
    <t>EDS</t>
  </si>
  <si>
    <t>Electrical Distribution System</t>
  </si>
  <si>
    <t>UC2</t>
  </si>
  <si>
    <t>0433</t>
  </si>
  <si>
    <t>Gardens Multipurpose Building</t>
  </si>
  <si>
    <t>0434</t>
  </si>
  <si>
    <t>WildlifeCtrCampground Restroom</t>
  </si>
  <si>
    <t>0519</t>
  </si>
  <si>
    <t>Visiting Team Dugout</t>
  </si>
  <si>
    <t>Newton Building</t>
  </si>
  <si>
    <t>0425</t>
  </si>
  <si>
    <t>Auxiliary Distribution Center</t>
  </si>
  <si>
    <t>0353</t>
  </si>
  <si>
    <t>Southern Pines - Building 3</t>
  </si>
  <si>
    <t>0319</t>
  </si>
  <si>
    <t>Eagle Village 2</t>
  </si>
  <si>
    <t>Paulson Stad. VIP Suites</t>
  </si>
  <si>
    <t>0260</t>
  </si>
  <si>
    <t>Biological Sciences Field Hous</t>
  </si>
  <si>
    <t>0461</t>
  </si>
  <si>
    <t>UC5</t>
  </si>
  <si>
    <t>0112</t>
  </si>
  <si>
    <t>Troy A &amp; Moselle Cowart Bldg</t>
  </si>
  <si>
    <t>Marvin Pittman Admin. Bldg</t>
  </si>
  <si>
    <t>Ctr for Wildlife Education</t>
  </si>
  <si>
    <t>0304</t>
  </si>
  <si>
    <t>Brannen Hall</t>
  </si>
  <si>
    <t>0368</t>
  </si>
  <si>
    <t>0257</t>
  </si>
  <si>
    <t>Wildlife Outdoor Classroom</t>
  </si>
  <si>
    <t>0706</t>
  </si>
  <si>
    <t>CP4</t>
  </si>
  <si>
    <t>0722</t>
  </si>
  <si>
    <t>GA Southern Research Lab Bldg3</t>
  </si>
  <si>
    <t>0114</t>
  </si>
  <si>
    <t>Parking &amp; Transportation</t>
  </si>
  <si>
    <t>0357</t>
  </si>
  <si>
    <t>Centennial Place - Bldg. 200</t>
  </si>
  <si>
    <t>0389</t>
  </si>
  <si>
    <t>Freedom's Landing - Bldg. 9</t>
  </si>
  <si>
    <t>0539</t>
  </si>
  <si>
    <t>Univ Park Rec Complex-Pump Hse</t>
  </si>
  <si>
    <t>UTA</t>
  </si>
  <si>
    <t>HPAC</t>
  </si>
  <si>
    <t>Herring Pavilion</t>
  </si>
  <si>
    <t>0358</t>
  </si>
  <si>
    <t>Centennial Place - Bldg. 300</t>
  </si>
  <si>
    <t>0466</t>
  </si>
  <si>
    <t>Central Warehouse-South Campus</t>
  </si>
  <si>
    <t>CP8</t>
  </si>
  <si>
    <t>LCTR</t>
  </si>
  <si>
    <t>Liberty Center</t>
  </si>
  <si>
    <t>0514</t>
  </si>
  <si>
    <t>MC Anderson Pump House</t>
  </si>
  <si>
    <t>Southern Pines - Building 5</t>
  </si>
  <si>
    <t>0342</t>
  </si>
  <si>
    <t>Southern Courtyard - Bldg 2</t>
  </si>
  <si>
    <t>UC7</t>
  </si>
  <si>
    <t>0523</t>
  </si>
  <si>
    <t>Gene Bishop Field House</t>
  </si>
  <si>
    <t>0261</t>
  </si>
  <si>
    <t>Biological Sciences Greenhouse</t>
  </si>
  <si>
    <t>S25</t>
  </si>
  <si>
    <t>AX Suite 25</t>
  </si>
  <si>
    <t>0515</t>
  </si>
  <si>
    <t>MC Anderson Pavilion</t>
  </si>
  <si>
    <t>0518</t>
  </si>
  <si>
    <t>Home Team Dugout</t>
  </si>
  <si>
    <t>0394</t>
  </si>
  <si>
    <t>Freedom's Landing - Bldg. 14</t>
  </si>
  <si>
    <t>SRC</t>
  </si>
  <si>
    <t>0224</t>
  </si>
  <si>
    <t>Arts Building</t>
  </si>
  <si>
    <t>0517</t>
  </si>
  <si>
    <t>J.I. Clements Center</t>
  </si>
  <si>
    <t>0392</t>
  </si>
  <si>
    <t>Freedom's Landing - Bldg. 12</t>
  </si>
  <si>
    <t>UC1</t>
  </si>
  <si>
    <t>0835</t>
  </si>
  <si>
    <t>0723</t>
  </si>
  <si>
    <t>GA Southern Research Lab Bldg4</t>
  </si>
  <si>
    <t>0237</t>
  </si>
  <si>
    <t>Education Building</t>
  </si>
  <si>
    <t>AH</t>
  </si>
  <si>
    <t>Ashmore Hall</t>
  </si>
  <si>
    <t>0303</t>
  </si>
  <si>
    <t>Hendricks Hall</t>
  </si>
  <si>
    <t>0313</t>
  </si>
  <si>
    <t>Forest Dr. Ctrl.Energy</t>
  </si>
  <si>
    <t>0444</t>
  </si>
  <si>
    <t>Cambridge - Bldg. 2</t>
  </si>
  <si>
    <t>Southern Pines - Building 1</t>
  </si>
  <si>
    <t>0420</t>
  </si>
  <si>
    <t>Hazardous Waste Bldg</t>
  </si>
  <si>
    <t>0252</t>
  </si>
  <si>
    <t>Veazey Hall</t>
  </si>
  <si>
    <t>S22</t>
  </si>
  <si>
    <t>AX Technology Center</t>
  </si>
  <si>
    <t>0242</t>
  </si>
  <si>
    <t>Owl Barn</t>
  </si>
  <si>
    <t>UC6</t>
  </si>
  <si>
    <t>0463</t>
  </si>
  <si>
    <t>Well House 2</t>
  </si>
  <si>
    <t>CP2</t>
  </si>
  <si>
    <t>Carroll Building</t>
  </si>
  <si>
    <t>0439</t>
  </si>
  <si>
    <t>0524</t>
  </si>
  <si>
    <t>Will Call Booth</t>
  </si>
  <si>
    <t>0526</t>
  </si>
  <si>
    <t>Paulson Stad. Concession SW</t>
  </si>
  <si>
    <t>0542</t>
  </si>
  <si>
    <t>Paulson Stad. Restroom NW</t>
  </si>
  <si>
    <t>S10</t>
  </si>
  <si>
    <t>AX Suite 10</t>
  </si>
  <si>
    <t>Southern Pines--Community Ctr.</t>
  </si>
  <si>
    <t>Soccer/Track Training Facility</t>
  </si>
  <si>
    <t>0383</t>
  </si>
  <si>
    <t>Freedom's Landing - Bldg. 3</t>
  </si>
  <si>
    <t>Freedom's Landing - Bldg. 5</t>
  </si>
  <si>
    <t>Freedom's Landing - Bldg. 10</t>
  </si>
  <si>
    <t>WFH</t>
  </si>
  <si>
    <t>Womens Field House</t>
  </si>
  <si>
    <t>0512</t>
  </si>
  <si>
    <t>RAC Field Support Building</t>
  </si>
  <si>
    <t>Herty Building</t>
  </si>
  <si>
    <t>0436</t>
  </si>
  <si>
    <t>Eagle Village Community Center</t>
  </si>
  <si>
    <t>Freedom's Landing - Bldg. 15</t>
  </si>
  <si>
    <t>Dining Commons</t>
  </si>
  <si>
    <t>Psychology Clinic</t>
  </si>
  <si>
    <t>Nursing/Chemistry Bldg</t>
  </si>
  <si>
    <t>0365</t>
  </si>
  <si>
    <t>Wiggins Baseball Facility</t>
  </si>
  <si>
    <t>0453</t>
  </si>
  <si>
    <t>Wash Bay</t>
  </si>
  <si>
    <t>LI</t>
  </si>
  <si>
    <t>Lane Library</t>
  </si>
  <si>
    <t>0373</t>
  </si>
  <si>
    <t>0374</t>
  </si>
  <si>
    <t>University Villas Club House</t>
  </si>
  <si>
    <t>0459</t>
  </si>
  <si>
    <t>Water ReUse Pump House</t>
  </si>
  <si>
    <t>0397</t>
  </si>
  <si>
    <t>Freedom's Landing - Bldg. 17</t>
  </si>
  <si>
    <t>S89</t>
  </si>
  <si>
    <t>AX Suite 8-9</t>
  </si>
  <si>
    <t>UTC</t>
  </si>
  <si>
    <t>GY</t>
  </si>
  <si>
    <t>0527</t>
  </si>
  <si>
    <t>Paulson Stad. Concession SE</t>
  </si>
  <si>
    <t>Freedom's Landing - Bldg. 2</t>
  </si>
  <si>
    <t>0388</t>
  </si>
  <si>
    <t>Freedom's Landing - Bldg. 8</t>
  </si>
  <si>
    <t>0262</t>
  </si>
  <si>
    <t>Military Science Bldg.</t>
  </si>
  <si>
    <t>SIT</t>
  </si>
  <si>
    <t>AX IT Suite 12-19</t>
  </si>
  <si>
    <t>UC8</t>
  </si>
  <si>
    <t>UH</t>
  </si>
  <si>
    <t>0254</t>
  </si>
  <si>
    <t>0343</t>
  </si>
  <si>
    <t>Southern Courtyard - Bldg 3</t>
  </si>
  <si>
    <t>0356</t>
  </si>
  <si>
    <t>Centennial Place - Bldg. 100</t>
  </si>
  <si>
    <t>A1</t>
  </si>
  <si>
    <t>University Police Department</t>
  </si>
  <si>
    <t>0255</t>
  </si>
  <si>
    <t>Info Technology Bldg</t>
  </si>
  <si>
    <t>Foy Building</t>
  </si>
  <si>
    <t>0312</t>
  </si>
  <si>
    <t>Watson Hall Commons</t>
  </si>
  <si>
    <t>A3</t>
  </si>
  <si>
    <t>Parking and Card Services</t>
  </si>
  <si>
    <t>0202</t>
  </si>
  <si>
    <t>Natural Sciences Building</t>
  </si>
  <si>
    <t>0243</t>
  </si>
  <si>
    <t>Wildlife Display</t>
  </si>
  <si>
    <t>0624</t>
  </si>
  <si>
    <t>Heritage Pavilion</t>
  </si>
  <si>
    <t>0464</t>
  </si>
  <si>
    <t>NOC3</t>
  </si>
  <si>
    <t>UTII</t>
  </si>
  <si>
    <t>Paulson Stadium</t>
  </si>
  <si>
    <t>0513</t>
  </si>
  <si>
    <t>MC Anderson Storage Facility</t>
  </si>
  <si>
    <t>0344</t>
  </si>
  <si>
    <t>Southern Courtyard - Bldg 4</t>
  </si>
  <si>
    <t>0233</t>
  </si>
  <si>
    <t>Center for Art &amp; Theatre</t>
  </si>
  <si>
    <t>0529</t>
  </si>
  <si>
    <t>Paulson Stad. Concession NW</t>
  </si>
  <si>
    <t>0371</t>
  </si>
  <si>
    <t>0359</t>
  </si>
  <si>
    <t>Centennial Place - Bldg. 400</t>
  </si>
  <si>
    <t>UC4</t>
  </si>
  <si>
    <t>0536</t>
  </si>
  <si>
    <t>Women's Softball Pavilion</t>
  </si>
  <si>
    <t>S11</t>
  </si>
  <si>
    <t>Suite 11</t>
  </si>
  <si>
    <t>0402</t>
  </si>
  <si>
    <t>University Store</t>
  </si>
  <si>
    <t>0617</t>
  </si>
  <si>
    <t>WeatherVane Barn</t>
  </si>
  <si>
    <t>Counseling Center</t>
  </si>
  <si>
    <t>Deal Hall</t>
  </si>
  <si>
    <t>Paulson Stad. Restroom NE</t>
  </si>
  <si>
    <t>0541</t>
  </si>
  <si>
    <t>Paulson Stad. Concession N Ctr</t>
  </si>
  <si>
    <t>CP5</t>
  </si>
  <si>
    <t>0354</t>
  </si>
  <si>
    <t>Southern Pines - Building 4</t>
  </si>
  <si>
    <t>Chester Building</t>
  </si>
  <si>
    <t>0543</t>
  </si>
  <si>
    <t>Ticket Booth 2</t>
  </si>
  <si>
    <t>ADV</t>
  </si>
  <si>
    <t>Student Success Complex</t>
  </si>
  <si>
    <t>0232</t>
  </si>
  <si>
    <t>Engineering Building</t>
  </si>
  <si>
    <t>0236</t>
  </si>
  <si>
    <t>Ceramics/Sculpture Studio</t>
  </si>
  <si>
    <t>0437</t>
  </si>
  <si>
    <t>NOC2</t>
  </si>
  <si>
    <t>0831</t>
  </si>
  <si>
    <t>Building L Library</t>
  </si>
  <si>
    <t>RL10</t>
  </si>
  <si>
    <t>RL 1000</t>
  </si>
  <si>
    <t>Building E</t>
  </si>
  <si>
    <t>Building H</t>
  </si>
  <si>
    <t>RL20</t>
  </si>
  <si>
    <t>RL 2000</t>
  </si>
  <si>
    <t>Building I</t>
  </si>
  <si>
    <t>Building A</t>
  </si>
  <si>
    <t>H2</t>
  </si>
  <si>
    <t>Building H2</t>
  </si>
  <si>
    <t>Building C</t>
  </si>
  <si>
    <t>RL30</t>
  </si>
  <si>
    <t>RL 3000</t>
  </si>
  <si>
    <t>P</t>
  </si>
  <si>
    <t>Building P</t>
  </si>
  <si>
    <t>Building D</t>
  </si>
  <si>
    <t>TENN</t>
  </si>
  <si>
    <t>Tennis Center</t>
  </si>
  <si>
    <t>Building F</t>
  </si>
  <si>
    <t>W</t>
  </si>
  <si>
    <t>Building W</t>
  </si>
  <si>
    <t>Building B</t>
  </si>
  <si>
    <t>Building G</t>
  </si>
  <si>
    <t>PARK</t>
  </si>
  <si>
    <t>Field House</t>
  </si>
  <si>
    <t>Carter Library</t>
  </si>
  <si>
    <t>English</t>
  </si>
  <si>
    <t>Adm Bldg</t>
  </si>
  <si>
    <t>HPE Student Success Center</t>
  </si>
  <si>
    <t>Jackson-Cirm</t>
  </si>
  <si>
    <t>Marshall/Bus and Finace Center</t>
  </si>
  <si>
    <t>Southwestern Oaks I</t>
  </si>
  <si>
    <t>Crawford Wheatley Hall</t>
  </si>
  <si>
    <t>CASA</t>
  </si>
  <si>
    <t>Collum I</t>
  </si>
  <si>
    <t>Bus Hist Pol Sci</t>
  </si>
  <si>
    <t>0028</t>
  </si>
  <si>
    <t>Duncan Hall</t>
  </si>
  <si>
    <t>Bell Tower</t>
  </si>
  <si>
    <t>019B</t>
  </si>
  <si>
    <t>Physical Plant Annex</t>
  </si>
  <si>
    <t>019A</t>
  </si>
  <si>
    <t>Maintenance</t>
  </si>
  <si>
    <t>Science</t>
  </si>
  <si>
    <t>Morgan Hall</t>
  </si>
  <si>
    <t>Lake House</t>
  </si>
  <si>
    <t>Southwestern Magnolia I</t>
  </si>
  <si>
    <t>N Smarr &amp; J Smith Memorial BLG</t>
  </si>
  <si>
    <t>Fine Arts</t>
  </si>
  <si>
    <t>Roney</t>
  </si>
  <si>
    <t>Southwestern Oaks II</t>
  </si>
  <si>
    <t>Southwestern Magnolia II</t>
  </si>
  <si>
    <t>Softball Concession Stand</t>
  </si>
  <si>
    <t>Carter II (HHS II)</t>
  </si>
  <si>
    <t>019C</t>
  </si>
  <si>
    <t>Physical Plant Shed</t>
  </si>
  <si>
    <t>Southwestern Pines</t>
  </si>
  <si>
    <t>Golf And Conference Center</t>
  </si>
  <si>
    <t>Florrie Chap Gym</t>
  </si>
  <si>
    <t>Sanford Off Bldg</t>
  </si>
  <si>
    <t>Carter I (HHS I)</t>
  </si>
  <si>
    <t>UCY2</t>
  </si>
  <si>
    <t>Courtyard 2000</t>
  </si>
  <si>
    <t>00EF</t>
  </si>
  <si>
    <t>Housing Office</t>
  </si>
  <si>
    <t>00WB</t>
  </si>
  <si>
    <t>Concessions/Restrooms</t>
  </si>
  <si>
    <t>UCM6</t>
  </si>
  <si>
    <t>Commons 600</t>
  </si>
  <si>
    <t>Student Rec &amp; Wellness Center</t>
  </si>
  <si>
    <t>Social Sciences Bldg</t>
  </si>
  <si>
    <t>CL06</t>
  </si>
  <si>
    <t>University Columns 6</t>
  </si>
  <si>
    <t>000I</t>
  </si>
  <si>
    <t>Design 1</t>
  </si>
  <si>
    <t>Burruss Building</t>
  </si>
  <si>
    <t>00SL</t>
  </si>
  <si>
    <t>Student Competitions Team</t>
  </si>
  <si>
    <t>000G</t>
  </si>
  <si>
    <t>Engineering Lab</t>
  </si>
  <si>
    <t>P60</t>
  </si>
  <si>
    <t>UCM5</t>
  </si>
  <si>
    <t>Commons 500</t>
  </si>
  <si>
    <t>University Village Suite Apart</t>
  </si>
  <si>
    <t>Technology Services</t>
  </si>
  <si>
    <t>000M</t>
  </si>
  <si>
    <t>W.Clair Harris Textiles</t>
  </si>
  <si>
    <t>North Parking Deck</t>
  </si>
  <si>
    <t>CL09</t>
  </si>
  <si>
    <t>University Columns 9</t>
  </si>
  <si>
    <t>CL10</t>
  </si>
  <si>
    <t>University Columns 10</t>
  </si>
  <si>
    <t>X</t>
  </si>
  <si>
    <t>000A</t>
  </si>
  <si>
    <t>Joe Mack Wilson Student Center</t>
  </si>
  <si>
    <t>University Village Apartments</t>
  </si>
  <si>
    <t>Q</t>
  </si>
  <si>
    <t>Engineering Technology Center</t>
  </si>
  <si>
    <t>0034</t>
  </si>
  <si>
    <t>Kennesaw Hall</t>
  </si>
  <si>
    <t>Leo Delle &amp; Lex Jolley Lodge</t>
  </si>
  <si>
    <t>Bookstore</t>
  </si>
  <si>
    <t>3499 Campus Loop Road</t>
  </si>
  <si>
    <t>CL05</t>
  </si>
  <si>
    <t>University Columns 5</t>
  </si>
  <si>
    <t>Event &amp; Venue Management</t>
  </si>
  <si>
    <t>UCM2</t>
  </si>
  <si>
    <t>Commons 200</t>
  </si>
  <si>
    <t>UCY1</t>
  </si>
  <si>
    <t>Courtyard 1000</t>
  </si>
  <si>
    <t>J.M.Wilson Bldg.</t>
  </si>
  <si>
    <t>000C</t>
  </si>
  <si>
    <t>Lawrence V. Johnson Library</t>
  </si>
  <si>
    <t>Prillaman Health Sciences</t>
  </si>
  <si>
    <t>00EU</t>
  </si>
  <si>
    <t>Facilities-Large Vehicle Stor.</t>
  </si>
  <si>
    <t>Public Safety-UniversityPolice</t>
  </si>
  <si>
    <t>CL04</t>
  </si>
  <si>
    <t>University Columns 4</t>
  </si>
  <si>
    <t>UCY3</t>
  </si>
  <si>
    <t>Courtyard 3000</t>
  </si>
  <si>
    <t>Baseball Stadium</t>
  </si>
  <si>
    <t>Bailey Athletic Complex</t>
  </si>
  <si>
    <t>O079</t>
  </si>
  <si>
    <t>Owl's Nest</t>
  </si>
  <si>
    <t>KSU Center</t>
  </si>
  <si>
    <t>Austin Residence Complex I</t>
  </si>
  <si>
    <t>000D</t>
  </si>
  <si>
    <t>Mathematics</t>
  </si>
  <si>
    <t>I2</t>
  </si>
  <si>
    <t>Design 2</t>
  </si>
  <si>
    <t>House55-Music&amp;Ent Business</t>
  </si>
  <si>
    <t>English Building</t>
  </si>
  <si>
    <t>Pilcher Public Service Bldg</t>
  </si>
  <si>
    <t>0301</t>
  </si>
  <si>
    <t>KSU Place Apartments</t>
  </si>
  <si>
    <t>000S</t>
  </si>
  <si>
    <t>Howell Residence Hall</t>
  </si>
  <si>
    <t>Hitting And Pitching Building</t>
  </si>
  <si>
    <t>000J</t>
  </si>
  <si>
    <t>Atrium Building</t>
  </si>
  <si>
    <t>CL08</t>
  </si>
  <si>
    <t>University Columns 8</t>
  </si>
  <si>
    <t>Chastain Pointe</t>
  </si>
  <si>
    <t>00ET</t>
  </si>
  <si>
    <t>ET-HAZMAT STORAGE</t>
  </si>
  <si>
    <t>CL03</t>
  </si>
  <si>
    <t>University Columns 3</t>
  </si>
  <si>
    <t>UCM4</t>
  </si>
  <si>
    <t>Commons 400</t>
  </si>
  <si>
    <t>Crawford Lab</t>
  </si>
  <si>
    <t>GHO1</t>
  </si>
  <si>
    <t>Willingham Hall</t>
  </si>
  <si>
    <t>00EV</t>
  </si>
  <si>
    <t>Facilities-Maintenance Shop</t>
  </si>
  <si>
    <t>00NC</t>
  </si>
  <si>
    <t>Recreation and Wellness Center</t>
  </si>
  <si>
    <t>00SM</t>
  </si>
  <si>
    <t>Wilder Communications Center</t>
  </si>
  <si>
    <t>00EG</t>
  </si>
  <si>
    <t>0157</t>
  </si>
  <si>
    <t>Campus Services</t>
  </si>
  <si>
    <t>UCM3</t>
  </si>
  <si>
    <t>Commons 300</t>
  </si>
  <si>
    <t>Siegel Student Rec &amp; Activ Cnt</t>
  </si>
  <si>
    <t>Clendenin Building</t>
  </si>
  <si>
    <t>0154</t>
  </si>
  <si>
    <t>Cntr for Excel Teach Learning</t>
  </si>
  <si>
    <t>School of Conflict Management</t>
  </si>
  <si>
    <t>000N</t>
  </si>
  <si>
    <t>Architecture</t>
  </si>
  <si>
    <t>Sport &amp; Recreation Park</t>
  </si>
  <si>
    <t>HV02</t>
  </si>
  <si>
    <t>Hornet Village 2</t>
  </si>
  <si>
    <t>000H</t>
  </si>
  <si>
    <t>Academic Building</t>
  </si>
  <si>
    <t>Student Ctr Addition</t>
  </si>
  <si>
    <t>Bagwell Education Building</t>
  </si>
  <si>
    <t>00EE</t>
  </si>
  <si>
    <t>00EX</t>
  </si>
  <si>
    <t>Facilities-Central Receiving</t>
  </si>
  <si>
    <t>CL02</t>
  </si>
  <si>
    <t>University Columns 2</t>
  </si>
  <si>
    <t>000V</t>
  </si>
  <si>
    <t>Norton Hall</t>
  </si>
  <si>
    <t>Technology Annex</t>
  </si>
  <si>
    <t>Science Laboratory Building</t>
  </si>
  <si>
    <t>00SP</t>
  </si>
  <si>
    <t>Gymnasium</t>
  </si>
  <si>
    <t>Student Health Services Clinic</t>
  </si>
  <si>
    <t>Visual Arts</t>
  </si>
  <si>
    <t>Mathematics &amp; Statistics</t>
  </si>
  <si>
    <t>00ER</t>
  </si>
  <si>
    <t>Facilities-Small Vehicle Stor.</t>
  </si>
  <si>
    <t>East Parking Deck</t>
  </si>
  <si>
    <t>F9</t>
  </si>
  <si>
    <t>Facilities-Grounds Storage</t>
  </si>
  <si>
    <t>Zuckerman Museum of Art</t>
  </si>
  <si>
    <t>Music Building</t>
  </si>
  <si>
    <t>00EQ</t>
  </si>
  <si>
    <t>Facilities-Cart &amp; Archive File</t>
  </si>
  <si>
    <t>West Parking Deck</t>
  </si>
  <si>
    <t>Central Parking Deck</t>
  </si>
  <si>
    <t>HVO1</t>
  </si>
  <si>
    <t>Hornet Village 1</t>
  </si>
  <si>
    <t>CL07</t>
  </si>
  <si>
    <t>University Columns 7</t>
  </si>
  <si>
    <t>UCM1</t>
  </si>
  <si>
    <t>Commons 100</t>
  </si>
  <si>
    <t>Bailey Performance Center</t>
  </si>
  <si>
    <t>00ES</t>
  </si>
  <si>
    <t>Facilities-Ground/Vehicle Shop</t>
  </si>
  <si>
    <t>CL01</t>
  </si>
  <si>
    <t>University Columns 1</t>
  </si>
  <si>
    <t>CL11</t>
  </si>
  <si>
    <t>University Columns Actvty Cntr</t>
  </si>
  <si>
    <t>GAX</t>
  </si>
  <si>
    <t>Science Lab Annex</t>
  </si>
  <si>
    <t>000B</t>
  </si>
  <si>
    <t>L1</t>
  </si>
  <si>
    <t>Civil Engineering Soils Lab</t>
  </si>
  <si>
    <t>Solarium</t>
  </si>
  <si>
    <t>00EP</t>
  </si>
  <si>
    <t>Facilities-Administration</t>
  </si>
  <si>
    <t>Distance Learning Center</t>
  </si>
  <si>
    <t>Austin Residence Complex II</t>
  </si>
  <si>
    <t>Wilson Annex</t>
  </si>
  <si>
    <t>0078</t>
  </si>
  <si>
    <t>KSU Stadium</t>
  </si>
  <si>
    <t>The Commons</t>
  </si>
  <si>
    <t>3305</t>
  </si>
  <si>
    <t>3305 Busbee Drive</t>
  </si>
  <si>
    <t>Town Point</t>
  </si>
  <si>
    <t>Powell Hall</t>
  </si>
  <si>
    <t>CAMILLA HUBERT DRM</t>
  </si>
  <si>
    <t>King Frazier Student Center</t>
  </si>
  <si>
    <t>Morgan Annex</t>
  </si>
  <si>
    <t>UNIVERSITY VILLAGE</t>
  </si>
  <si>
    <t>University Commons</t>
  </si>
  <si>
    <t>Hodge Hall</t>
  </si>
  <si>
    <t>Hill Hall</t>
  </si>
  <si>
    <t>Harris McDew Infirmary</t>
  </si>
  <si>
    <t>Wiley Wilcox Gym</t>
  </si>
  <si>
    <t>Drew Griffith Addition</t>
  </si>
  <si>
    <t>BOWEN SMITH DORM</t>
  </si>
  <si>
    <t>New Student Center</t>
  </si>
  <si>
    <t>Kennedy Fine Arts</t>
  </si>
  <si>
    <t>Richard R Wright ResidenceHall</t>
  </si>
  <si>
    <t>Diner</t>
  </si>
  <si>
    <t>Hammond (Computer Services)</t>
  </si>
  <si>
    <t>Evers Physical Plant WHS</t>
  </si>
  <si>
    <t>0127</t>
  </si>
  <si>
    <t>Hubert Tech Bldg</t>
  </si>
  <si>
    <t>Harris (Security)</t>
  </si>
  <si>
    <t>Tiger Place</t>
  </si>
  <si>
    <t>Marine Science Center</t>
  </si>
  <si>
    <t>Guard Hut (West)</t>
  </si>
  <si>
    <t>Information House</t>
  </si>
  <si>
    <t>King Frazier Annex</t>
  </si>
  <si>
    <t>Wright Stadium</t>
  </si>
  <si>
    <t>Athletic Complex</t>
  </si>
  <si>
    <t>0128</t>
  </si>
  <si>
    <t>BOSTIC HALL DORM</t>
  </si>
  <si>
    <t>Marine Biology</t>
  </si>
  <si>
    <t>Coastal Ga Ctr Downtown Savann</t>
  </si>
  <si>
    <t>FRESHMAN LIVING LEARNING CNTR</t>
  </si>
  <si>
    <t>Gardner Hall</t>
  </si>
  <si>
    <t>Howard Jordan</t>
  </si>
  <si>
    <t>NROTC Unit</t>
  </si>
  <si>
    <t>Social Science Academic Bldg</t>
  </si>
  <si>
    <t>Lift Station</t>
  </si>
  <si>
    <t>Tiger Court</t>
  </si>
  <si>
    <t>Whiting Hall</t>
  </si>
  <si>
    <t>Colston</t>
  </si>
  <si>
    <t>Tiger Arena</t>
  </si>
  <si>
    <t>Evers Physical Plant Addition</t>
  </si>
  <si>
    <t>Drew Griffith</t>
  </si>
  <si>
    <t>2839</t>
  </si>
  <si>
    <t>Baseball Field House</t>
  </si>
  <si>
    <t>2903</t>
  </si>
  <si>
    <t>Odum Library</t>
  </si>
  <si>
    <t>Converse Hall</t>
  </si>
  <si>
    <t>0644</t>
  </si>
  <si>
    <t>Ticket Booth - Ladies Complex</t>
  </si>
  <si>
    <t>Fine Arts Bldg</t>
  </si>
  <si>
    <t>010A</t>
  </si>
  <si>
    <t>University Center Bldg #2</t>
  </si>
  <si>
    <t>University Center Bldg #4</t>
  </si>
  <si>
    <t>1209</t>
  </si>
  <si>
    <t>Student Rec Storage</t>
  </si>
  <si>
    <t>Barrow Hall / ROTC</t>
  </si>
  <si>
    <t>Bursary Drive-up Tellers</t>
  </si>
  <si>
    <t>1300</t>
  </si>
  <si>
    <t>Reade Residence Hall</t>
  </si>
  <si>
    <t>0063</t>
  </si>
  <si>
    <t>1206 N Patterson Street</t>
  </si>
  <si>
    <t>014A</t>
  </si>
  <si>
    <t>Palms Dining Center</t>
  </si>
  <si>
    <t>Admissions House</t>
  </si>
  <si>
    <t>Auxiliary Services</t>
  </si>
  <si>
    <t>031A</t>
  </si>
  <si>
    <t>Jennett Lecture Hall</t>
  </si>
  <si>
    <t>1302</t>
  </si>
  <si>
    <t>Oak Street Parking Garage</t>
  </si>
  <si>
    <t>2904</t>
  </si>
  <si>
    <t>Plant Ops Storage Bldg</t>
  </si>
  <si>
    <t>Music Annex North</t>
  </si>
  <si>
    <t>Athletics Building</t>
  </si>
  <si>
    <t>Marriage &amp; Family Therapy</t>
  </si>
  <si>
    <t>Langdale Residence Hall</t>
  </si>
  <si>
    <t>Admissions Annex</t>
  </si>
  <si>
    <t>Psychology Class Bldg.</t>
  </si>
  <si>
    <t>Centennial Res Hall West</t>
  </si>
  <si>
    <t>Parking Control Office</t>
  </si>
  <si>
    <t>Pound Hall</t>
  </si>
  <si>
    <t>University Center Bldg #1</t>
  </si>
  <si>
    <t>1016</t>
  </si>
  <si>
    <t>Intramurals Storage</t>
  </si>
  <si>
    <t>Hopper Residence Hall</t>
  </si>
  <si>
    <t>Seago House</t>
  </si>
  <si>
    <t>University Center Bldg #3</t>
  </si>
  <si>
    <t>Williams House</t>
  </si>
  <si>
    <t>West Hall</t>
  </si>
  <si>
    <t>Band House</t>
  </si>
  <si>
    <t>Boiler House</t>
  </si>
  <si>
    <t>The Farber Building</t>
  </si>
  <si>
    <t>111 West Moore Street</t>
  </si>
  <si>
    <t>1301</t>
  </si>
  <si>
    <t>Sustella Parking Garage</t>
  </si>
  <si>
    <t>Ashley Hall</t>
  </si>
  <si>
    <t>Bailey Science Center</t>
  </si>
  <si>
    <t>0223</t>
  </si>
  <si>
    <t>223 W. Moore Street</t>
  </si>
  <si>
    <t>0655</t>
  </si>
  <si>
    <t>Intramurals Shed</t>
  </si>
  <si>
    <t>Brown Residence Hall</t>
  </si>
  <si>
    <t>Womens Softball House</t>
  </si>
  <si>
    <t>Mass Media Building</t>
  </si>
  <si>
    <t>GreenHouse</t>
  </si>
  <si>
    <t>Centennial Res Hall East</t>
  </si>
  <si>
    <t>1106</t>
  </si>
  <si>
    <t>Health&amp;Business Administration</t>
  </si>
  <si>
    <t>Ladies Softball Complex</t>
  </si>
  <si>
    <t>Masonic Lodge</t>
  </si>
  <si>
    <t>NOCO Concessions</t>
  </si>
  <si>
    <t>Georgia Residence Hall</t>
  </si>
  <si>
    <t>Student Health Center</t>
  </si>
  <si>
    <t>0653</t>
  </si>
  <si>
    <t>Billy Grant Baseball Complex</t>
  </si>
  <si>
    <t>1504 N. Oak Street</t>
  </si>
  <si>
    <t>199A</t>
  </si>
  <si>
    <t>Web Design Building</t>
  </si>
  <si>
    <t>P E Complex</t>
  </si>
  <si>
    <t>Warehouse N C 2</t>
  </si>
  <si>
    <t>2813</t>
  </si>
  <si>
    <t>222 Georgia Ave</t>
  </si>
  <si>
    <t>Martin Hall</t>
  </si>
  <si>
    <t>0218</t>
  </si>
  <si>
    <t>Chemical Management</t>
  </si>
  <si>
    <t>Thaxton Hall</t>
  </si>
  <si>
    <t>Regional Education Center</t>
  </si>
  <si>
    <t>1204</t>
  </si>
  <si>
    <t>Campus Mail</t>
  </si>
  <si>
    <t>2100</t>
  </si>
  <si>
    <t>Patterson Residence Hall</t>
  </si>
  <si>
    <t>Pine Hall</t>
  </si>
  <si>
    <t>002A</t>
  </si>
  <si>
    <t>Nevins Hall</t>
  </si>
  <si>
    <t>Brown House</t>
  </si>
  <si>
    <t>Lowndes Residence Hall</t>
  </si>
  <si>
    <t>FA/AS Mechanical Building</t>
  </si>
  <si>
    <t>204 Georgia Ave</t>
  </si>
  <si>
    <t>Greenhouse #2</t>
  </si>
  <si>
    <t>1308</t>
  </si>
  <si>
    <t>Comm Arts / Curric, Lead &amp;Tech</t>
  </si>
  <si>
    <t>Carswell House</t>
  </si>
  <si>
    <t>Odum Library Addition</t>
  </si>
  <si>
    <t>201 W Brookwood</t>
  </si>
  <si>
    <t>109 West Moore Street</t>
  </si>
  <si>
    <t>D025</t>
  </si>
  <si>
    <t>DA-Observatory</t>
  </si>
  <si>
    <t>G001</t>
  </si>
  <si>
    <t>GV-Administration Building</t>
  </si>
  <si>
    <t>G022</t>
  </si>
  <si>
    <t>GV-Central Plant Building</t>
  </si>
  <si>
    <t>D100</t>
  </si>
  <si>
    <t>DA-Softball Press Box</t>
  </si>
  <si>
    <t>D001</t>
  </si>
  <si>
    <t>DA-Price Memorial</t>
  </si>
  <si>
    <t>D114</t>
  </si>
  <si>
    <t>DA-Recreation Center</t>
  </si>
  <si>
    <t>G021</t>
  </si>
  <si>
    <t>GV-Arts and Technology</t>
  </si>
  <si>
    <t>O4</t>
  </si>
  <si>
    <t>OC-Facilities &amp; Public Safety</t>
  </si>
  <si>
    <t>G026</t>
  </si>
  <si>
    <t>D108</t>
  </si>
  <si>
    <t>DA-Vickery House</t>
  </si>
  <si>
    <t>D133</t>
  </si>
  <si>
    <t>G008</t>
  </si>
  <si>
    <t>GV-Maintenance &amp; Shops</t>
  </si>
  <si>
    <t>141</t>
  </si>
  <si>
    <t>D132</t>
  </si>
  <si>
    <t>D043</t>
  </si>
  <si>
    <t>DA-Ecology Protection Lab</t>
  </si>
  <si>
    <t>G014</t>
  </si>
  <si>
    <t>GV-Public Safety</t>
  </si>
  <si>
    <t>D011</t>
  </si>
  <si>
    <t>DA-Memorial Hall</t>
  </si>
  <si>
    <t>D032</t>
  </si>
  <si>
    <t>DA-Hansford Hall</t>
  </si>
  <si>
    <t>D028</t>
  </si>
  <si>
    <t>DA-Lewis Hall</t>
  </si>
  <si>
    <t>D017</t>
  </si>
  <si>
    <t>DA-Military Leadership Center</t>
  </si>
  <si>
    <t>D090</t>
  </si>
  <si>
    <t>DA-Pine Valley House</t>
  </si>
  <si>
    <t>D144</t>
  </si>
  <si>
    <t>DA-Public Safety Headquarters</t>
  </si>
  <si>
    <t>G013</t>
  </si>
  <si>
    <t>GV-Science, Engineering, Tech</t>
  </si>
  <si>
    <t>D127</t>
  </si>
  <si>
    <t>DA-Choice St Arts Complex A</t>
  </si>
  <si>
    <t>G016</t>
  </si>
  <si>
    <t>GV-Oakwood Building</t>
  </si>
  <si>
    <t>G003</t>
  </si>
  <si>
    <t>GV-Student Center</t>
  </si>
  <si>
    <t>D029</t>
  </si>
  <si>
    <t>DA-Lewis Hall Annex</t>
  </si>
  <si>
    <t>D092</t>
  </si>
  <si>
    <t>DA-Pine Valley Restrooms</t>
  </si>
  <si>
    <t>D104</t>
  </si>
  <si>
    <t>DA-Facilities &amp; Materials Mgmt</t>
  </si>
  <si>
    <t>G007</t>
  </si>
  <si>
    <t>GV-John Harrison Hosch Library</t>
  </si>
  <si>
    <t>G012</t>
  </si>
  <si>
    <t>GV-Watkins Academic Building</t>
  </si>
  <si>
    <t>G08C</t>
  </si>
  <si>
    <t>GV-Greenhouse</t>
  </si>
  <si>
    <t>D002</t>
  </si>
  <si>
    <t>DA-Young Hall</t>
  </si>
  <si>
    <t>D019</t>
  </si>
  <si>
    <t>DA-Continuing Education</t>
  </si>
  <si>
    <t>G024</t>
  </si>
  <si>
    <t>GV-Film and Media Building</t>
  </si>
  <si>
    <t>D005</t>
  </si>
  <si>
    <t>DA-Nix</t>
  </si>
  <si>
    <t>D091</t>
  </si>
  <si>
    <t>DA-Pine Valley Pavilion</t>
  </si>
  <si>
    <t>D020</t>
  </si>
  <si>
    <t>DA-Athletic Field Building</t>
  </si>
  <si>
    <t>G020</t>
  </si>
  <si>
    <t>GV-Health Sciences</t>
  </si>
  <si>
    <t>D136</t>
  </si>
  <si>
    <t>D093</t>
  </si>
  <si>
    <t>D003</t>
  </si>
  <si>
    <t>DA-Hoag Student Center</t>
  </si>
  <si>
    <t>D128</t>
  </si>
  <si>
    <t>DA-Choice St Arts Complex B</t>
  </si>
  <si>
    <t>O2</t>
  </si>
  <si>
    <t>OC-Classroom Building</t>
  </si>
  <si>
    <t>D142</t>
  </si>
  <si>
    <t>D105</t>
  </si>
  <si>
    <t>B101</t>
  </si>
  <si>
    <t>BR-Blue Ridge Campus</t>
  </si>
  <si>
    <t>D141</t>
  </si>
  <si>
    <t>G002</t>
  </si>
  <si>
    <t>GV-Dunlap-Mathis</t>
  </si>
  <si>
    <t>D145</t>
  </si>
  <si>
    <t>DA-Facilities Equipment Shed</t>
  </si>
  <si>
    <t>C124</t>
  </si>
  <si>
    <t>D095</t>
  </si>
  <si>
    <t>DA-Baseball Dugout - 1</t>
  </si>
  <si>
    <t>G015</t>
  </si>
  <si>
    <t>GV-Parking Deck</t>
  </si>
  <si>
    <t>G099</t>
  </si>
  <si>
    <t>TBD</t>
  </si>
  <si>
    <t>G011</t>
  </si>
  <si>
    <t>GV-Drama Storage</t>
  </si>
  <si>
    <t>D137</t>
  </si>
  <si>
    <t>DA-Walker Drive Building</t>
  </si>
  <si>
    <t>G017</t>
  </si>
  <si>
    <t>GV-Nesbitt Academic Building</t>
  </si>
  <si>
    <t>D139</t>
  </si>
  <si>
    <t>D031</t>
  </si>
  <si>
    <t>DA-Rogers Hall</t>
  </si>
  <si>
    <t>B100</t>
  </si>
  <si>
    <t>D097</t>
  </si>
  <si>
    <t>DA-Softball Dugout - 1</t>
  </si>
  <si>
    <t>D102</t>
  </si>
  <si>
    <t>DA-Health and Natural Sciences</t>
  </si>
  <si>
    <t>G005</t>
  </si>
  <si>
    <t>GV-Physical Education Building</t>
  </si>
  <si>
    <t>D096</t>
  </si>
  <si>
    <t>DA-Baseball Dugout - 2</t>
  </si>
  <si>
    <t>D015</t>
  </si>
  <si>
    <t>D101</t>
  </si>
  <si>
    <t>DA-Baseball Press Bx</t>
  </si>
  <si>
    <t>D119</t>
  </si>
  <si>
    <t>DA-North Georgia Suites</t>
  </si>
  <si>
    <t>G018</t>
  </si>
  <si>
    <t>D122</t>
  </si>
  <si>
    <t>DA-Chestatee Building</t>
  </si>
  <si>
    <t>D026</t>
  </si>
  <si>
    <t>DA-Gaillard Hall</t>
  </si>
  <si>
    <t>D027</t>
  </si>
  <si>
    <t>DA-Donovan Hall</t>
  </si>
  <si>
    <t>D08A</t>
  </si>
  <si>
    <t>DA-Dunlap Hall</t>
  </si>
  <si>
    <t>D106</t>
  </si>
  <si>
    <t>DA-Downtown Office Building</t>
  </si>
  <si>
    <t>D143</t>
  </si>
  <si>
    <t>G006</t>
  </si>
  <si>
    <t>GV-Strickland Academic</t>
  </si>
  <si>
    <t>D09A</t>
  </si>
  <si>
    <t>DA-Pine Valley Pump House</t>
  </si>
  <si>
    <t>D022</t>
  </si>
  <si>
    <t>DA-Coleman Field House</t>
  </si>
  <si>
    <t>D08B</t>
  </si>
  <si>
    <t>DA-Newton Oakes Center</t>
  </si>
  <si>
    <t>D118</t>
  </si>
  <si>
    <t>DA-Patriot Hall</t>
  </si>
  <si>
    <t>G025</t>
  </si>
  <si>
    <t>GV-Sculpture Building</t>
  </si>
  <si>
    <t>D120</t>
  </si>
  <si>
    <t>DA-Walker Deck</t>
  </si>
  <si>
    <t>G004</t>
  </si>
  <si>
    <t>GV-Music</t>
  </si>
  <si>
    <t>CG-Maintenance Shop</t>
  </si>
  <si>
    <t>G08B</t>
  </si>
  <si>
    <t>GV-Plant Operations/Facilities</t>
  </si>
  <si>
    <t>D024</t>
  </si>
  <si>
    <t>DA-Alumni House</t>
  </si>
  <si>
    <t>D121</t>
  </si>
  <si>
    <t>DA-Dining Hall</t>
  </si>
  <si>
    <t>O3</t>
  </si>
  <si>
    <t>OC-Student Resource Center</t>
  </si>
  <si>
    <t>D098</t>
  </si>
  <si>
    <t>DA-Softball Dugout - 2</t>
  </si>
  <si>
    <t>D113</t>
  </si>
  <si>
    <t>DA-Rec Deck</t>
  </si>
  <si>
    <t>G009</t>
  </si>
  <si>
    <t>GV-Field House</t>
  </si>
  <si>
    <t>G010</t>
  </si>
  <si>
    <t>CG-Pavilion</t>
  </si>
  <si>
    <t>O100</t>
  </si>
  <si>
    <t>OC-Administration Building</t>
  </si>
  <si>
    <t>D109</t>
  </si>
  <si>
    <t>DA-Library Technology Center</t>
  </si>
  <si>
    <t>D014</t>
  </si>
  <si>
    <t>D129</t>
  </si>
  <si>
    <t>DA-Choice St Arts Complex C</t>
  </si>
  <si>
    <t>1153</t>
  </si>
  <si>
    <t>D138</t>
  </si>
  <si>
    <t>D007</t>
  </si>
  <si>
    <t>DA-Stewart Success Center</t>
  </si>
  <si>
    <t>D123</t>
  </si>
  <si>
    <t>DA-Liberty Hall</t>
  </si>
  <si>
    <t>D130</t>
  </si>
  <si>
    <t>DA-Choice St Arts Complex D</t>
  </si>
  <si>
    <t>D146</t>
  </si>
  <si>
    <t>DA-Review Stand</t>
  </si>
  <si>
    <t>D134</t>
  </si>
  <si>
    <t>DA-Convocation Center</t>
  </si>
  <si>
    <t>G023</t>
  </si>
  <si>
    <t>GV-Student Health</t>
  </si>
  <si>
    <t>O8</t>
  </si>
  <si>
    <t>D135</t>
  </si>
  <si>
    <t>DA-South Deck</t>
  </si>
  <si>
    <t>O7</t>
  </si>
  <si>
    <t>OC-Faculty Center</t>
  </si>
  <si>
    <t>D006</t>
  </si>
  <si>
    <t>DA-Barnes Hall</t>
  </si>
  <si>
    <t>WAREHOUSE-SUPPLIES</t>
  </si>
  <si>
    <t>DUGOUT-HOME</t>
  </si>
  <si>
    <t>ARCHAEOLOGY UTILITY</t>
  </si>
  <si>
    <t>Stadium Home Restrooms South</t>
  </si>
  <si>
    <t>The Oaks</t>
  </si>
  <si>
    <t>WEST COMM HUB</t>
  </si>
  <si>
    <t>Greek Village G Delta Chi</t>
  </si>
  <si>
    <t>Greek Village K Transfer</t>
  </si>
  <si>
    <t>Greek Village M APA TKE</t>
  </si>
  <si>
    <t>Miller Hall</t>
  </si>
  <si>
    <t>Human  - HUMANITIES ACADEMIC</t>
  </si>
  <si>
    <t>PAC WAREHOUSE/STOR</t>
  </si>
  <si>
    <t>Greek Village O Chi Omega</t>
  </si>
  <si>
    <t>Cobb H - COBB HALL</t>
  </si>
  <si>
    <t>CENTER POINTE SUITES</t>
  </si>
  <si>
    <t>PHYSICAL PLANT</t>
  </si>
  <si>
    <t>Arbor View A</t>
  </si>
  <si>
    <t>WAREHOUSE ANNEX</t>
  </si>
  <si>
    <t>Newnan Center</t>
  </si>
  <si>
    <t>Softball &amp; Soccer Concessions</t>
  </si>
  <si>
    <t>WARING ARCHAEOLOGY LAB</t>
  </si>
  <si>
    <t>FACILITIES ANNEX</t>
  </si>
  <si>
    <t>Greek Village P Kappa Sigma</t>
  </si>
  <si>
    <t>Stadium Data/Mech/Elec</t>
  </si>
  <si>
    <t>Football Soccer Storage Bld</t>
  </si>
  <si>
    <t>TLC    -TECHNOLOGY  LEARN CTR</t>
  </si>
  <si>
    <t>Honor  - Honors House</t>
  </si>
  <si>
    <t>East Commons</t>
  </si>
  <si>
    <t>Greek Village F Alpha Gam</t>
  </si>
  <si>
    <t>Greek Village L Transfer</t>
  </si>
  <si>
    <t>Stadium Visitor RR and Tickets</t>
  </si>
  <si>
    <t>M Munr - MARTHA MUNRO ACADEMIC</t>
  </si>
  <si>
    <t>CHEMICALS STORAGE</t>
  </si>
  <si>
    <t>Greek Village J Phi Mu</t>
  </si>
  <si>
    <t>MANDEVILLE HALL /ADMIN</t>
  </si>
  <si>
    <t>Public Safety Storage</t>
  </si>
  <si>
    <t>Greek Village D Alpha Xi Delta</t>
  </si>
  <si>
    <t>Athletic Annex</t>
  </si>
  <si>
    <t>LANDSCAPE GREENHOUSE</t>
  </si>
  <si>
    <t>Greek Village E Alpha Tao Omeg</t>
  </si>
  <si>
    <t>Stadium Security</t>
  </si>
  <si>
    <t>0089</t>
  </si>
  <si>
    <t>Facilities Storage &amp; Shed</t>
  </si>
  <si>
    <t>Landscaping Storage Shed</t>
  </si>
  <si>
    <t>Greek Village Q Community Bld</t>
  </si>
  <si>
    <t>STORAGE WHSE-P OPS</t>
  </si>
  <si>
    <t>PARKER HALL</t>
  </si>
  <si>
    <t>COLSM - Coliseum</t>
  </si>
  <si>
    <t>Greek Village Pavilion</t>
  </si>
  <si>
    <t>BASEBALL PRESS BOX</t>
  </si>
  <si>
    <t>0088</t>
  </si>
  <si>
    <t>Planning &amp; Construct Services</t>
  </si>
  <si>
    <t>Softball Visitor Dugout</t>
  </si>
  <si>
    <t>Adamson HALL - ADM/ACAD</t>
  </si>
  <si>
    <t>Landscaping Storage Area</t>
  </si>
  <si>
    <t>Honor  - Honors Annex</t>
  </si>
  <si>
    <t>Women's Fieldhouse</t>
  </si>
  <si>
    <t>Arbor View C</t>
  </si>
  <si>
    <t>Photography Studio</t>
  </si>
  <si>
    <t>Bowdon Hall</t>
  </si>
  <si>
    <t>CMP CT - CAMPUS CENTER</t>
  </si>
  <si>
    <t>TCPA   - PERFORMING ARTS CTR</t>
  </si>
  <si>
    <t>Tyus Hall</t>
  </si>
  <si>
    <t>TRACK STORAGE</t>
  </si>
  <si>
    <t>AOB-Athletic Operations Bld</t>
  </si>
  <si>
    <t>Suite 3</t>
  </si>
  <si>
    <t>Gunn Hall</t>
  </si>
  <si>
    <t>Old-Au - OLD AUDITORIUM</t>
  </si>
  <si>
    <t>CALLAWAY BUILDING ANNEX</t>
  </si>
  <si>
    <t>Row   - Row Hall</t>
  </si>
  <si>
    <t>Greek Village A Kappa Delta</t>
  </si>
  <si>
    <t>Strozier Annex</t>
  </si>
  <si>
    <t>Greek Village C Pi Kappa Phi</t>
  </si>
  <si>
    <t>BONNER HOUSE</t>
  </si>
  <si>
    <t>Greek Village N</t>
  </si>
  <si>
    <t>Stadium Home Concessions North</t>
  </si>
  <si>
    <t>0143</t>
  </si>
  <si>
    <t>Stadium Press and Suites</t>
  </si>
  <si>
    <t>Murphy Building</t>
  </si>
  <si>
    <t>Greek Village H Tri Delta</t>
  </si>
  <si>
    <t>BAND STORAGE</t>
  </si>
  <si>
    <t>Stadium Home Tickets</t>
  </si>
  <si>
    <t>NURSING BUILDING</t>
  </si>
  <si>
    <t>Biolog - BIOLOGY BUILDING</t>
  </si>
  <si>
    <t>Melson - MELSON HALL</t>
  </si>
  <si>
    <t>VEHICULAR REPAIR</t>
  </si>
  <si>
    <t>Stadium Vis Concess &amp; Lockers</t>
  </si>
  <si>
    <t>West Campus Equipment Storage</t>
  </si>
  <si>
    <t>Suite 2</t>
  </si>
  <si>
    <t>Greek Village B Kappa Alpha</t>
  </si>
  <si>
    <t>Greek Village R Residence Bld</t>
  </si>
  <si>
    <t>CALLAWAY BUILDING SCIENCE</t>
  </si>
  <si>
    <t>Aycock - AYCOCK HALL/ADMIN</t>
  </si>
  <si>
    <t>DUGOUT-VISTOR</t>
  </si>
  <si>
    <t>Greek Village I Pi Kappa Alpha</t>
  </si>
  <si>
    <t>Stadium Home Restrooms North</t>
  </si>
  <si>
    <t>Paffrd - SOCIAL SCIENCE BLDG</t>
  </si>
  <si>
    <t>SANFORD HALL ADMIN</t>
  </si>
  <si>
    <t>Anth - Anthropology Building</t>
  </si>
  <si>
    <t>Boyd   - JAMES E BOYD BLDG -MP</t>
  </si>
  <si>
    <t>Central Duplication</t>
  </si>
  <si>
    <t>Ed Ctr - EDUCATION CENTER</t>
  </si>
  <si>
    <t>Soccer Field Resroom</t>
  </si>
  <si>
    <t>Stadium Home Concessions South</t>
  </si>
  <si>
    <t>UCC    - UNIV COMMUNITY CENTER</t>
  </si>
  <si>
    <t>Educ-A - EDUCATION ANNEX</t>
  </si>
  <si>
    <t>0069</t>
  </si>
  <si>
    <t>Un Communication and Marketing</t>
  </si>
  <si>
    <t>Facilities Storage Building</t>
  </si>
  <si>
    <t>Suite 1</t>
  </si>
  <si>
    <t>UWG Design Center</t>
  </si>
  <si>
    <t>Arbor View B</t>
  </si>
  <si>
    <t>UWG BOOKSTORE</t>
  </si>
  <si>
    <t>VISUAL ARTS BUILDING</t>
  </si>
  <si>
    <t>OBSERVATORY</t>
  </si>
  <si>
    <t>Softball Home Dugout</t>
  </si>
  <si>
    <t>Rec Ct - STUDENT ACTIVITIES CT</t>
  </si>
  <si>
    <t>KENNEDY CHAPEL</t>
  </si>
  <si>
    <t>Strozier Hall</t>
  </si>
  <si>
    <t>BUILDING 9</t>
  </si>
  <si>
    <t>Lib    - LIBRARY</t>
  </si>
  <si>
    <t>ALUMNI HOUSE</t>
  </si>
  <si>
    <t>Commons Building</t>
  </si>
  <si>
    <t>Science Lab Storage</t>
  </si>
  <si>
    <t>0315</t>
  </si>
  <si>
    <t>Environmental Horticulture Bld</t>
  </si>
  <si>
    <t>G122</t>
  </si>
  <si>
    <t>Doctors Office</t>
  </si>
  <si>
    <t>G123</t>
  </si>
  <si>
    <t>0410</t>
  </si>
  <si>
    <t>0643</t>
  </si>
  <si>
    <t>Horse Barn #2</t>
  </si>
  <si>
    <t>G116</t>
  </si>
  <si>
    <t>Clark Smokehouse</t>
  </si>
  <si>
    <t>200B</t>
  </si>
  <si>
    <t>Evans Hall</t>
  </si>
  <si>
    <t>G129</t>
  </si>
  <si>
    <t>Cravey House</t>
  </si>
  <si>
    <t>0637</t>
  </si>
  <si>
    <t>Farm Shed #2/Finishing Barn</t>
  </si>
  <si>
    <t>Carlton Center</t>
  </si>
  <si>
    <t>G109</t>
  </si>
  <si>
    <t>Opry Area Restroom</t>
  </si>
  <si>
    <t>014B</t>
  </si>
  <si>
    <t>Maintenance Shops</t>
  </si>
  <si>
    <t>G134</t>
  </si>
  <si>
    <t>Progressive Barn</t>
  </si>
  <si>
    <t>0634</t>
  </si>
  <si>
    <t>Equipment Shed #3</t>
  </si>
  <si>
    <t>0641</t>
  </si>
  <si>
    <t>Horse Tacking Shed #1</t>
  </si>
  <si>
    <t>0642</t>
  </si>
  <si>
    <t>Horse Barn</t>
  </si>
  <si>
    <t>800B</t>
  </si>
  <si>
    <t>G108</t>
  </si>
  <si>
    <t>Opry Area Picnic/Serv Shelters</t>
  </si>
  <si>
    <t>Tennis Center Concession/Strg</t>
  </si>
  <si>
    <t>0635</t>
  </si>
  <si>
    <t>Equipment Shed #4</t>
  </si>
  <si>
    <t>G115</t>
  </si>
  <si>
    <t>Clark Farmhouse</t>
  </si>
  <si>
    <t>G133</t>
  </si>
  <si>
    <t>Print Shop</t>
  </si>
  <si>
    <t>G130</t>
  </si>
  <si>
    <t>Simon's/James' Cabin</t>
  </si>
  <si>
    <t>G104</t>
  </si>
  <si>
    <t>Cotton Warehouse</t>
  </si>
  <si>
    <t>Equipment Shed #1</t>
  </si>
  <si>
    <t>0639</t>
  </si>
  <si>
    <t>Beef Unit Hay Barn</t>
  </si>
  <si>
    <t>G105</t>
  </si>
  <si>
    <t>Ground Landscape</t>
  </si>
  <si>
    <t>G106</t>
  </si>
  <si>
    <t>Maintenance Building/Rr Shop</t>
  </si>
  <si>
    <t>G200</t>
  </si>
  <si>
    <t>Welcome Center</t>
  </si>
  <si>
    <t>G300</t>
  </si>
  <si>
    <t>BCEC</t>
  </si>
  <si>
    <t>Donaldson Dining Hall</t>
  </si>
  <si>
    <t>G143</t>
  </si>
  <si>
    <t>Shepherd Peanut Museum</t>
  </si>
  <si>
    <t>100B</t>
  </si>
  <si>
    <t>G118</t>
  </si>
  <si>
    <t>Coopers Shed</t>
  </si>
  <si>
    <t>0646</t>
  </si>
  <si>
    <t>Beef Unit Office</t>
  </si>
  <si>
    <t>Edwards Hall</t>
  </si>
  <si>
    <t>G124</t>
  </si>
  <si>
    <t>Gibbs Buggy Shed</t>
  </si>
  <si>
    <t>G121</t>
  </si>
  <si>
    <t>Knight Cabin</t>
  </si>
  <si>
    <t>G147</t>
  </si>
  <si>
    <t>Wood Storage</t>
  </si>
  <si>
    <t>0636</t>
  </si>
  <si>
    <t>Farm Shed #1/Sow Barn</t>
  </si>
  <si>
    <t>080B</t>
  </si>
  <si>
    <t>G113</t>
  </si>
  <si>
    <t>Church</t>
  </si>
  <si>
    <t>G111</t>
  </si>
  <si>
    <t>Security/Old Concessions</t>
  </si>
  <si>
    <t>Thrash Wellness Center</t>
  </si>
  <si>
    <t>Tennis Center Restrooms</t>
  </si>
  <si>
    <t>G114</t>
  </si>
  <si>
    <t>Clark Barn</t>
  </si>
  <si>
    <t>G128</t>
  </si>
  <si>
    <t>Farm Green House #2</t>
  </si>
  <si>
    <t>Farm Green House #1</t>
  </si>
  <si>
    <t>Farm Shop</t>
  </si>
  <si>
    <t>G125</t>
  </si>
  <si>
    <t>Gibbs Syrup Shed</t>
  </si>
  <si>
    <t>Pump House - Athletic Fields</t>
  </si>
  <si>
    <t>G117</t>
  </si>
  <si>
    <t>Clyatt Cabin</t>
  </si>
  <si>
    <t>0648</t>
  </si>
  <si>
    <t>Water Tower Pump House</t>
  </si>
  <si>
    <t>Red Hill Athletic Center</t>
  </si>
  <si>
    <t>G126</t>
  </si>
  <si>
    <t>Grist Mill</t>
  </si>
  <si>
    <t>G127</t>
  </si>
  <si>
    <t>Langdale Nature Center</t>
  </si>
  <si>
    <t>G112</t>
  </si>
  <si>
    <t>Blacksmith Shop</t>
  </si>
  <si>
    <t>G137</t>
  </si>
  <si>
    <t>Progressive Smokehouse</t>
  </si>
  <si>
    <t>G142</t>
  </si>
  <si>
    <t>School House</t>
  </si>
  <si>
    <t>G138</t>
  </si>
  <si>
    <t>Progressive Storehouse</t>
  </si>
  <si>
    <t>G100</t>
  </si>
  <si>
    <t>Artifact Storage</t>
  </si>
  <si>
    <t>King Hall</t>
  </si>
  <si>
    <t>DVIL</t>
  </si>
  <si>
    <t>Herring Hall</t>
  </si>
  <si>
    <t>G110</t>
  </si>
  <si>
    <t>Opry Shelter</t>
  </si>
  <si>
    <t>G131</t>
  </si>
  <si>
    <t>Powell Commissary</t>
  </si>
  <si>
    <t>0275</t>
  </si>
  <si>
    <t>0633</t>
  </si>
  <si>
    <t>Equipment Shed #2</t>
  </si>
  <si>
    <t>G141</t>
  </si>
  <si>
    <t>Sawmill</t>
  </si>
  <si>
    <t>G146</t>
  </si>
  <si>
    <t>Variety Woodworking Shop</t>
  </si>
  <si>
    <t>G103</t>
  </si>
  <si>
    <t>Artifact Storage West</t>
  </si>
  <si>
    <t>G119</t>
  </si>
  <si>
    <t>Corn Crib</t>
  </si>
  <si>
    <t>Conger Hall</t>
  </si>
  <si>
    <t>G140</t>
  </si>
  <si>
    <t>Railroad Docks</t>
  </si>
  <si>
    <t>Central Plant</t>
  </si>
  <si>
    <t>Howard Auditorium</t>
  </si>
  <si>
    <t>New Warehouse</t>
  </si>
  <si>
    <t>G135</t>
  </si>
  <si>
    <t>Progressive Cottonseed House</t>
  </si>
  <si>
    <t>G148</t>
  </si>
  <si>
    <t>Progressive Feed Room</t>
  </si>
  <si>
    <t>Hort Storage House #2</t>
  </si>
  <si>
    <t>0316</t>
  </si>
  <si>
    <t>Environmental Hort Greenhouse</t>
  </si>
  <si>
    <t>Artifact Storage Shepard</t>
  </si>
  <si>
    <t>Horse Tacking Shed #2</t>
  </si>
  <si>
    <t>G120</t>
  </si>
  <si>
    <t>Cotton Gin</t>
  </si>
  <si>
    <t>G136</t>
  </si>
  <si>
    <t>Progressive Farmhouse/Gibbs</t>
  </si>
  <si>
    <t>0647</t>
  </si>
  <si>
    <t>Water Tower</t>
  </si>
  <si>
    <t>G139</t>
  </si>
  <si>
    <t>Railroad Depot</t>
  </si>
  <si>
    <t>G145</t>
  </si>
  <si>
    <t>Turpentine Still</t>
  </si>
  <si>
    <t>Tennis Storage</t>
  </si>
  <si>
    <t>Hort Storage House #1</t>
  </si>
  <si>
    <t>G132</t>
  </si>
  <si>
    <t>Preachers Cabin</t>
  </si>
  <si>
    <t>G144</t>
  </si>
  <si>
    <t>Tift House</t>
  </si>
  <si>
    <t>G102</t>
  </si>
  <si>
    <t>Artifact Storage Tift</t>
  </si>
  <si>
    <t>G107</t>
  </si>
  <si>
    <t>Maintenance Storage/Franklin</t>
  </si>
  <si>
    <t>SECURITY</t>
  </si>
  <si>
    <t>STORAGE WH II</t>
  </si>
  <si>
    <t>0700</t>
  </si>
  <si>
    <t>PHYSICAL EDUCATION</t>
  </si>
  <si>
    <t>650</t>
  </si>
  <si>
    <t>0800</t>
  </si>
  <si>
    <t>STUDENT CENTER</t>
  </si>
  <si>
    <t>STORAGE WH</t>
  </si>
  <si>
    <t>800A</t>
  </si>
  <si>
    <t>CENTRAL ENERGY PLT</t>
  </si>
  <si>
    <t>HARMON HOUSE</t>
  </si>
  <si>
    <t>6402</t>
  </si>
  <si>
    <t>Machanical Building</t>
  </si>
  <si>
    <t>7409</t>
  </si>
  <si>
    <t>Jones Building</t>
  </si>
  <si>
    <t>1117</t>
  </si>
  <si>
    <t>Campus Center</t>
  </si>
  <si>
    <t>8411</t>
  </si>
  <si>
    <t>Academic Commons North</t>
  </si>
  <si>
    <t>1116</t>
  </si>
  <si>
    <t>6401</t>
  </si>
  <si>
    <t>Administration Building</t>
  </si>
  <si>
    <t>1115</t>
  </si>
  <si>
    <t>Health Sciences Building</t>
  </si>
  <si>
    <t>1218</t>
  </si>
  <si>
    <t>Correll Center</t>
  </si>
  <si>
    <t>6404</t>
  </si>
  <si>
    <t>Academic Commons South</t>
  </si>
  <si>
    <t>Camden Center at the Lakes</t>
  </si>
  <si>
    <t>7308</t>
  </si>
  <si>
    <t>Student Activity Center</t>
  </si>
  <si>
    <t>7206</t>
  </si>
  <si>
    <t>0714</t>
  </si>
  <si>
    <t>Warehouse (0714)</t>
  </si>
  <si>
    <t>6403</t>
  </si>
  <si>
    <t>Andrews Building</t>
  </si>
  <si>
    <t>7207</t>
  </si>
  <si>
    <t>Gould Library</t>
  </si>
  <si>
    <t>6805</t>
  </si>
  <si>
    <t>Coffin Building</t>
  </si>
  <si>
    <t>9112</t>
  </si>
  <si>
    <t>SE GA Conference Center</t>
  </si>
  <si>
    <t>PEEPLES HALL</t>
  </si>
  <si>
    <t>8808</t>
  </si>
  <si>
    <t>MAINTENANCE WAREHOUSE</t>
  </si>
  <si>
    <t>POPE STUDENT CENTER</t>
  </si>
  <si>
    <t>9021</t>
  </si>
  <si>
    <t>BANDY GYMNASIUM</t>
  </si>
  <si>
    <t>ROBERTS LIBRARY</t>
  </si>
  <si>
    <t>WESTCOTT HALL</t>
  </si>
  <si>
    <t>MAINTENANCE BUILDING</t>
  </si>
  <si>
    <t>SEQUOYA HALL</t>
  </si>
  <si>
    <t>PARKING DECK</t>
  </si>
  <si>
    <t>8248</t>
  </si>
  <si>
    <t>LUCK FLANDERS GAMBRELL CENTER</t>
  </si>
  <si>
    <t>ACADEMIC BUILDING ADDITION</t>
  </si>
  <si>
    <t>STUDENT SERVICES BLDG</t>
  </si>
  <si>
    <t>GEORGE L. SMITH ADMIN BLDG</t>
  </si>
  <si>
    <t>MAINTENANCE PLANT</t>
  </si>
  <si>
    <t>FULFORD COM LRNG CTR</t>
  </si>
  <si>
    <t>POLICE DEPARTMENT</t>
  </si>
  <si>
    <t>ACADEMIC BUILDING</t>
  </si>
  <si>
    <t>JAM STUDENT ACTIVITIES CTR EXP</t>
  </si>
  <si>
    <t>CLASSROOM ADD.&amp; ACTIVTY CTR</t>
  </si>
  <si>
    <t>JAM STUDENT ACTIVITIES CTR</t>
  </si>
  <si>
    <t>Winn (Paulding/Dallas)</t>
  </si>
  <si>
    <t>Old P.E.</t>
  </si>
  <si>
    <t>Telescope Lab</t>
  </si>
  <si>
    <t>RESA Building</t>
  </si>
  <si>
    <t>Administrative</t>
  </si>
  <si>
    <t>Observatory</t>
  </si>
  <si>
    <t>Auto Shop</t>
  </si>
  <si>
    <t>Cartersville Campus</t>
  </si>
  <si>
    <t>Cartersville Student Center</t>
  </si>
  <si>
    <t>Lakeview Building</t>
  </si>
  <si>
    <t>Heritage Hall</t>
  </si>
  <si>
    <t>F-Wing Annex</t>
  </si>
  <si>
    <t>Physical Education Building</t>
  </si>
  <si>
    <t>Cartersville Academic Building</t>
  </si>
  <si>
    <t>ANNE</t>
  </si>
  <si>
    <t>McCorkle Building</t>
  </si>
  <si>
    <t>Physical Plant-Mentenance</t>
  </si>
  <si>
    <t>Bagby (Paulding/Dallas)</t>
  </si>
  <si>
    <t>Walraven Building</t>
  </si>
  <si>
    <t>Heritage Hall Annex</t>
  </si>
  <si>
    <t>Storage Facilities D</t>
  </si>
  <si>
    <t>Gordon Hall</t>
  </si>
  <si>
    <t>Guillebeau Hall</t>
  </si>
  <si>
    <t>Storage Softball Field B</t>
  </si>
  <si>
    <t>Nurs &amp; Hlth Sciences</t>
  </si>
  <si>
    <t>Storage Pole Barn Facilities B</t>
  </si>
  <si>
    <t>Russell Hall</t>
  </si>
  <si>
    <t>Alumni Mem Hall</t>
  </si>
  <si>
    <t>Gordon Commons Bldg A</t>
  </si>
  <si>
    <t>225 Georgia Avenue House</t>
  </si>
  <si>
    <t>301 Spencer House</t>
  </si>
  <si>
    <t>Storage Facilities B</t>
  </si>
  <si>
    <t>Holmes Street House</t>
  </si>
  <si>
    <t>Storage Pole Barn Facilities A</t>
  </si>
  <si>
    <t>Storage Facilities C</t>
  </si>
  <si>
    <t>Student Activity &amp; Recreation</t>
  </si>
  <si>
    <t>Student Services Center</t>
  </si>
  <si>
    <t>Melton Hall</t>
  </si>
  <si>
    <t>Storage Softball Field A</t>
  </si>
  <si>
    <t>Storage Ropes Course</t>
  </si>
  <si>
    <t>Instructional Complex</t>
  </si>
  <si>
    <t>Gordon Village</t>
  </si>
  <si>
    <t>402 Spencer House</t>
  </si>
  <si>
    <t>Gordon Commons Bldg C</t>
  </si>
  <si>
    <t>Smith Hall</t>
  </si>
  <si>
    <t>Storage Baseball Field</t>
  </si>
  <si>
    <t>Hightower Library</t>
  </si>
  <si>
    <t>Pool Complex</t>
  </si>
  <si>
    <t>Storage Student Center</t>
  </si>
  <si>
    <t>Lambdin Hall</t>
  </si>
  <si>
    <t>Georgia House</t>
  </si>
  <si>
    <t>Storage Facilities A</t>
  </si>
  <si>
    <t>Gordon Commons Bldg B</t>
  </si>
  <si>
    <t>Athletic Equipment Storage</t>
  </si>
  <si>
    <t>000K</t>
  </si>
  <si>
    <t>MATHEMATICS</t>
  </si>
  <si>
    <t>0274</t>
  </si>
  <si>
    <t>POPE HOUSE</t>
  </si>
  <si>
    <t>CAMPUS SUPPORT SERVICES</t>
  </si>
  <si>
    <t>SOFTBALL FIELD</t>
  </si>
  <si>
    <t>RUSSELL FINE ARTS</t>
  </si>
  <si>
    <t>CHILLER PLANT</t>
  </si>
  <si>
    <t>000F</t>
  </si>
  <si>
    <t>BOILER HOUSE</t>
  </si>
  <si>
    <t>PLANT OPERATIONS</t>
  </si>
  <si>
    <t>WATER TREATMENT LAB</t>
  </si>
  <si>
    <t>DUBLIN CENTER LIBRARY</t>
  </si>
  <si>
    <t>STUDENT LIFE CENTER</t>
  </si>
  <si>
    <t>TRANSFORMER/STORAGE</t>
  </si>
  <si>
    <t>GA AVIATION (FLIGHT)</t>
  </si>
  <si>
    <t>EBENEZER HALL</t>
  </si>
  <si>
    <t>0314</t>
  </si>
  <si>
    <t>DUBLIN CENTER ANNEX</t>
  </si>
  <si>
    <t>DUBLIN CENTER - MGSC</t>
  </si>
  <si>
    <t>WALKER CLASS RM</t>
  </si>
  <si>
    <t>0214</t>
  </si>
  <si>
    <t>SWIMMING POOL</t>
  </si>
  <si>
    <t>STEM</t>
  </si>
  <si>
    <t>SCIENCE,TECHNOLOGY,EDUC&amp;MATH</t>
  </si>
  <si>
    <t>CS</t>
  </si>
  <si>
    <t>University Pointe</t>
  </si>
  <si>
    <t>SCHOOL OF ARTS AND LETTERS</t>
  </si>
  <si>
    <t>WHIPPLE HALL</t>
  </si>
  <si>
    <t>REC</t>
  </si>
  <si>
    <t>RECREATION &amp; WELLNESS</t>
  </si>
  <si>
    <t>WIGGS OFFICE BLDG</t>
  </si>
  <si>
    <t>000L</t>
  </si>
  <si>
    <t>ADMISSIONS &amp; WELCOME CENTER</t>
  </si>
  <si>
    <t>GA AVIATION (HANGAR FACILITY)</t>
  </si>
  <si>
    <t>GRACE HALL</t>
  </si>
  <si>
    <t>GA AVIATION (MAIN)</t>
  </si>
  <si>
    <t>PHY PLANT BLDG</t>
  </si>
  <si>
    <t>HAYNES HALL</t>
  </si>
  <si>
    <t>SANFORD ADM BLDG</t>
  </si>
  <si>
    <t>GAHALL</t>
  </si>
  <si>
    <t>GEORGIA HALL</t>
  </si>
  <si>
    <t>GATEWAY HALL</t>
  </si>
  <si>
    <t>0403</t>
  </si>
  <si>
    <t>GA AVIATION (TERMINAL)</t>
  </si>
  <si>
    <t>HARRIS HALL</t>
  </si>
  <si>
    <t>LVPD</t>
  </si>
  <si>
    <t>LAKEVIEW POINTE</t>
  </si>
  <si>
    <t>JACKSON HALL</t>
  </si>
  <si>
    <t>KNIGHTS HALL</t>
  </si>
  <si>
    <t>ATHLETIC TRAINING FACILITY</t>
  </si>
  <si>
    <t>JONE</t>
  </si>
  <si>
    <t>CHARLES H. JONES BUILDING</t>
  </si>
  <si>
    <t>PSC</t>
  </si>
  <si>
    <t>ALDERMAN HALL</t>
  </si>
  <si>
    <t>ANDERSON HALL</t>
  </si>
  <si>
    <t>PEACOCK OFFICE BLD</t>
  </si>
  <si>
    <t>WAREHOUSE NO 2</t>
  </si>
  <si>
    <t>REGENTS HALL</t>
  </si>
  <si>
    <t>WRC1</t>
  </si>
  <si>
    <t>WARNER ROBINS THOMAS</t>
  </si>
  <si>
    <t>WRC3</t>
  </si>
  <si>
    <t>OAK HALL</t>
  </si>
  <si>
    <t>DILLARD HALL</t>
  </si>
  <si>
    <t>WELLNESS CENTER</t>
  </si>
  <si>
    <t>AVIATION HALL</t>
  </si>
  <si>
    <t>WELCH HALL</t>
  </si>
  <si>
    <t>BASEBALL FIELD</t>
  </si>
  <si>
    <t>ARTS COMPLEX</t>
  </si>
  <si>
    <t>TEB</t>
  </si>
  <si>
    <t>TEACHER EDUCATION BUILDING</t>
  </si>
  <si>
    <t>COMMUNITY HALL STORAGE</t>
  </si>
  <si>
    <t>DILLARD HALL ADDITION</t>
  </si>
  <si>
    <t>STADIUM FACILITIES</t>
  </si>
  <si>
    <t>WRC2</t>
  </si>
  <si>
    <t>WARNER ROBINS ADMIN</t>
  </si>
  <si>
    <t>GA AVIATION-HANGAR FACILITY 2</t>
  </si>
  <si>
    <t>0295</t>
  </si>
  <si>
    <t>NEW PUMP HOUSE</t>
  </si>
  <si>
    <t>TALMADGE HALL</t>
  </si>
  <si>
    <t>MORRIS GYM</t>
  </si>
  <si>
    <t>0291</t>
  </si>
  <si>
    <t>BROWNING HALL</t>
  </si>
  <si>
    <t>DG17</t>
  </si>
  <si>
    <t>DG12</t>
  </si>
  <si>
    <t>ALUMNI/DEVELOPMENT</t>
  </si>
  <si>
    <t>DG29</t>
  </si>
  <si>
    <t>STADIUM/CONCESSION</t>
  </si>
  <si>
    <t>DG14</t>
  </si>
  <si>
    <t>TANNER HALL</t>
  </si>
  <si>
    <t>DG31</t>
  </si>
  <si>
    <t>Tiger Village II</t>
  </si>
  <si>
    <t>DG08</t>
  </si>
  <si>
    <t>Clower SC</t>
  </si>
  <si>
    <t>DG04</t>
  </si>
  <si>
    <t>DG28</t>
  </si>
  <si>
    <t>NURSING</t>
  </si>
  <si>
    <t>DG15</t>
  </si>
  <si>
    <t>PHY P SHOP</t>
  </si>
  <si>
    <t>DG20</t>
  </si>
  <si>
    <t>ART BARN</t>
  </si>
  <si>
    <t>DG27</t>
  </si>
  <si>
    <t>FLOYD HALL</t>
  </si>
  <si>
    <t>WC03</t>
  </si>
  <si>
    <t>Phys Ed Bldg</t>
  </si>
  <si>
    <t>WC06</t>
  </si>
  <si>
    <t>PE Storage-WC</t>
  </si>
  <si>
    <t>DG03</t>
  </si>
  <si>
    <t>DAVIS HALL</t>
  </si>
  <si>
    <t>DG16</t>
  </si>
  <si>
    <t>DG18</t>
  </si>
  <si>
    <t>RICHEY HALL</t>
  </si>
  <si>
    <t>WC02</t>
  </si>
  <si>
    <t>Physical Plant-WC</t>
  </si>
  <si>
    <t>WC05</t>
  </si>
  <si>
    <t>DG25</t>
  </si>
  <si>
    <t>ENGRAM HALL</t>
  </si>
  <si>
    <t>DG02</t>
  </si>
  <si>
    <t>Peterson Hall</t>
  </si>
  <si>
    <t>DG11</t>
  </si>
  <si>
    <t>Stubbs Hall</t>
  </si>
  <si>
    <t>DG01</t>
  </si>
  <si>
    <t>THRASH HALL</t>
  </si>
  <si>
    <t>DG26</t>
  </si>
  <si>
    <t>GOLF SHACK</t>
  </si>
  <si>
    <t>DG30</t>
  </si>
  <si>
    <t>Tiger Village I</t>
  </si>
  <si>
    <t>WC07</t>
  </si>
  <si>
    <t>Educ Bldg</t>
  </si>
  <si>
    <t>DG22</t>
  </si>
  <si>
    <t>WELLNESS</t>
  </si>
  <si>
    <t>WC08</t>
  </si>
  <si>
    <t>Maintenance Storage-WC</t>
  </si>
  <si>
    <t>WC01</t>
  </si>
  <si>
    <t>Admin Bldg</t>
  </si>
  <si>
    <t>WC09</t>
  </si>
  <si>
    <t>Student Services Building-WC</t>
  </si>
  <si>
    <t>DG23</t>
  </si>
  <si>
    <t>Collins Hall</t>
  </si>
  <si>
    <t>DG21</t>
  </si>
  <si>
    <t>HPER FLD HOUSE</t>
  </si>
  <si>
    <t>DG24</t>
  </si>
  <si>
    <t>SHANNON HALL</t>
  </si>
  <si>
    <t>WC04</t>
  </si>
  <si>
    <t>Maintenance Shed-WC</t>
  </si>
  <si>
    <t>CONDITION_CODE</t>
  </si>
  <si>
    <t>BLDG</t>
  </si>
  <si>
    <t>ABACBLDG</t>
  </si>
  <si>
    <t>ALSUBLDG</t>
  </si>
  <si>
    <t>AMSCBLDG</t>
  </si>
  <si>
    <t>AUBLDG</t>
  </si>
  <si>
    <t>CLSUBLDG</t>
  </si>
  <si>
    <t>CCGABLDG</t>
  </si>
  <si>
    <t>CSUBLDG</t>
  </si>
  <si>
    <t>DSCBLDG</t>
  </si>
  <si>
    <t>EGABLDG</t>
  </si>
  <si>
    <t>FVSUBLDG</t>
  </si>
  <si>
    <t>GCSUBLDG</t>
  </si>
  <si>
    <t>GGCBLDG</t>
  </si>
  <si>
    <t>GHCBLDG</t>
  </si>
  <si>
    <t>GITBLDG</t>
  </si>
  <si>
    <t>GSOUBLDG</t>
  </si>
  <si>
    <t>GSWBLDG</t>
  </si>
  <si>
    <t>GSUBLDG</t>
  </si>
  <si>
    <t>GSCBLDG</t>
  </si>
  <si>
    <t>KSUBLDG</t>
  </si>
  <si>
    <t>MGABLDG</t>
  </si>
  <si>
    <t>SSUBLDG</t>
  </si>
  <si>
    <t>SGABLDG</t>
  </si>
  <si>
    <t>UGABLDG</t>
  </si>
  <si>
    <t>UNGBLDG</t>
  </si>
  <si>
    <t>UWGBLDG</t>
  </si>
  <si>
    <t>VSUBLDG</t>
  </si>
  <si>
    <t>UID 1</t>
  </si>
  <si>
    <t>UID 2</t>
  </si>
  <si>
    <t>Year Built:</t>
  </si>
  <si>
    <t>RES_INST_PCT</t>
  </si>
  <si>
    <r>
      <t xml:space="preserve">BRIEF NARRATIVE - </t>
    </r>
    <r>
      <rPr>
        <b/>
        <sz val="8"/>
        <rFont val="Arial"/>
        <family val="2"/>
      </rPr>
      <t>specific to Renovation #1 (existing conditions, nature/extent of renovation, systems to be renewed/replaced, target programs/uses, etc.)</t>
    </r>
  </si>
  <si>
    <r>
      <t xml:space="preserve">BRIEF NARRATIVE - </t>
    </r>
    <r>
      <rPr>
        <b/>
        <sz val="8"/>
        <rFont val="Arial"/>
        <family val="2"/>
      </rPr>
      <t>specific to Renovation #2 (existing conditions, nature/extent of renovation, systems to be renewed/replaced, target programs/uses, etc.)</t>
    </r>
  </si>
  <si>
    <t>Last Renovation:</t>
  </si>
  <si>
    <t>Burden Factor:</t>
  </si>
  <si>
    <t>Complete only if 3nd bldg in renov. scope</t>
  </si>
  <si>
    <t>Complete only if 2nd bldg in renov. scope</t>
  </si>
  <si>
    <r>
      <rPr>
        <b/>
        <sz val="11"/>
        <rFont val="Arial"/>
        <family val="2"/>
      </rPr>
      <t>Regents Building Code</t>
    </r>
    <r>
      <rPr>
        <b/>
        <sz val="8"/>
        <rFont val="Arial"/>
        <family val="2"/>
      </rPr>
      <t xml:space="preserve"> (Select </t>
    </r>
    <r>
      <rPr>
        <b/>
        <u/>
        <sz val="8"/>
        <rFont val="Arial"/>
        <family val="2"/>
      </rPr>
      <t>FIRST</t>
    </r>
    <r>
      <rPr>
        <b/>
        <sz val="8"/>
        <rFont val="Arial"/>
        <family val="2"/>
      </rPr>
      <t xml:space="preserve"> to load table)</t>
    </r>
  </si>
  <si>
    <r>
      <rPr>
        <b/>
        <sz val="11"/>
        <rFont val="Arial"/>
        <family val="2"/>
      </rPr>
      <t>Regents Building Code</t>
    </r>
    <r>
      <rPr>
        <b/>
        <sz val="10"/>
        <rFont val="Arial"/>
        <family val="2"/>
      </rPr>
      <t xml:space="preserve"> </t>
    </r>
    <r>
      <rPr>
        <b/>
        <sz val="8"/>
        <rFont val="Arial"/>
        <family val="2"/>
      </rPr>
      <t xml:space="preserve">(Select </t>
    </r>
    <r>
      <rPr>
        <b/>
        <u/>
        <sz val="8"/>
        <rFont val="Arial"/>
        <family val="2"/>
      </rPr>
      <t>FIRST</t>
    </r>
    <r>
      <rPr>
        <b/>
        <sz val="8"/>
        <rFont val="Arial"/>
        <family val="2"/>
      </rPr>
      <t xml:space="preserve"> to load table)</t>
    </r>
  </si>
  <si>
    <r>
      <t xml:space="preserve">BRIEF NARRATIVE - </t>
    </r>
    <r>
      <rPr>
        <b/>
        <sz val="8"/>
        <rFont val="Arial"/>
        <family val="2"/>
      </rPr>
      <t>specific to Renovation #3 (existing conditions, nature/extent of renovation, systems to be renewed/replaced, target programs/uses, etc.)</t>
    </r>
  </si>
  <si>
    <t>Bldg. Name (FIDC):</t>
  </si>
  <si>
    <t>Institution</t>
  </si>
  <si>
    <t>Project Type</t>
  </si>
  <si>
    <t>Total GO Bonds</t>
  </si>
  <si>
    <t>Non-GO Funding</t>
  </si>
  <si>
    <t>Renov GSF</t>
  </si>
  <si>
    <t>Inst Proposed FY of GO Const</t>
  </si>
  <si>
    <t>Inst Priority</t>
  </si>
  <si>
    <t>Non GO Bond</t>
  </si>
  <si>
    <t>Ext/Gift Funds</t>
  </si>
  <si>
    <t>Research (Gr/ICR/F&amp;A)</t>
  </si>
  <si>
    <t>REV Finance</t>
  </si>
  <si>
    <t>SCL/GSF</t>
  </si>
  <si>
    <t>PROJ OVERSIGHT %</t>
  </si>
  <si>
    <t>AE Spec %</t>
  </si>
  <si>
    <t>FFE %</t>
  </si>
  <si>
    <t>FFE AV %</t>
  </si>
  <si>
    <t>Test/Surv %</t>
  </si>
  <si>
    <t>Renov %</t>
  </si>
  <si>
    <t>SCL</t>
  </si>
  <si>
    <t>TCC$ Deck</t>
  </si>
  <si>
    <t>5B - Project Description and Scope Narrative</t>
  </si>
  <si>
    <t xml:space="preserve">    -  Describe the proposed physical characteristics and components at an overall project level</t>
  </si>
  <si>
    <t>5C - Importance of Project</t>
  </si>
  <si>
    <t xml:space="preserve">    -  What specific institution needs will the project meet?</t>
  </si>
  <si>
    <t xml:space="preserve">    -  Extended, detailed narrative about individual elements of complex projects can be entered on Tab 2 - Project Specifications</t>
  </si>
  <si>
    <t>Narrative</t>
  </si>
  <si>
    <t>5E - Impact and Benefits</t>
  </si>
  <si>
    <t xml:space="preserve">    -  How will the realistic outcomes of the project achieve institution/system objectives?</t>
  </si>
  <si>
    <t>5D - Urgency of Project</t>
  </si>
  <si>
    <t xml:space="preserve">    - "Why is it essential that this project needs to be implemented in the short-term, on the proposed schedule?</t>
  </si>
  <si>
    <t xml:space="preserve">    - "What makes this project more critical than other needs at your institution and across the system?"</t>
  </si>
  <si>
    <t xml:space="preserve">    -  What other tangible impacts and benefits will the project create for campus life and operations?</t>
  </si>
  <si>
    <t>Cost Narr</t>
  </si>
  <si>
    <t>ID</t>
  </si>
  <si>
    <t>Ext-Affil</t>
  </si>
  <si>
    <t>Inst Appr</t>
  </si>
  <si>
    <t>Inst Tuition</t>
  </si>
  <si>
    <t>Inst Aux</t>
  </si>
  <si>
    <r>
      <t xml:space="preserve">NARRATIVE </t>
    </r>
    <r>
      <rPr>
        <b/>
        <i/>
        <sz val="8"/>
        <rFont val="Arial"/>
        <family val="2"/>
      </rPr>
      <t>specific to land and building acquisition project element</t>
    </r>
  </si>
  <si>
    <t>Stated Cost Limitation (SCL)</t>
  </si>
  <si>
    <t>6% - 8%</t>
  </si>
  <si>
    <t>General Conditions (DBB/DB)</t>
  </si>
  <si>
    <t>CM Fees - General Conditions</t>
  </si>
  <si>
    <t>Explain high GC cost ratio (&gt;8%)</t>
  </si>
  <si>
    <t>% Const. Cost</t>
  </si>
  <si>
    <t>Construction Base Unit Cost</t>
  </si>
  <si>
    <t>Construction Base Unit Cost, by Building</t>
  </si>
  <si>
    <t>8% - 10%</t>
  </si>
  <si>
    <t>0.5% -3%</t>
  </si>
  <si>
    <t>Explain high Spec Cons fees (&gt;3%)</t>
  </si>
  <si>
    <t>8% - 15%</t>
  </si>
  <si>
    <t>2.5% - 3.5%</t>
  </si>
  <si>
    <t>Explain high AV/Tech equip cost (&gt;3.5%)</t>
  </si>
  <si>
    <t>0.75% - 1.25%</t>
  </si>
  <si>
    <t>0% - 1%</t>
  </si>
  <si>
    <t>Explain high Other Special costs (&gt;1%)</t>
  </si>
  <si>
    <t>0% -1%</t>
  </si>
  <si>
    <t>0% - 2%</t>
  </si>
  <si>
    <t>Explain high Oversight cost ratio (&gt;2%)</t>
  </si>
  <si>
    <t>Explain high FF&amp;E cost ratio (&gt;15%)</t>
  </si>
  <si>
    <t>0.5% - 2%</t>
  </si>
  <si>
    <t>22% - 30%</t>
  </si>
  <si>
    <t>Explain high overall soft cost ratio (&gt;30%)</t>
  </si>
  <si>
    <t>20% - 27%</t>
  </si>
  <si>
    <t>Explain high overall soft cost ratio (&gt;27%)</t>
  </si>
  <si>
    <t>G16</t>
  </si>
  <si>
    <t>NEW</t>
  </si>
  <si>
    <t>G22</t>
  </si>
  <si>
    <t>G26</t>
  </si>
  <si>
    <t>REN</t>
  </si>
  <si>
    <t>G55</t>
  </si>
  <si>
    <t>G25</t>
  </si>
  <si>
    <t>G53</t>
  </si>
  <si>
    <t>G54</t>
  </si>
  <si>
    <t>IF(F27&lt;&gt;"","Total Non-GO Project Funds","")</t>
  </si>
  <si>
    <t>Institution Priority</t>
  </si>
  <si>
    <t>Project Cost</t>
  </si>
  <si>
    <t>CM Fees</t>
  </si>
  <si>
    <t>J22</t>
  </si>
  <si>
    <t>D26</t>
  </si>
  <si>
    <t xml:space="preserve">Anticipated Delivery Method </t>
  </si>
  <si>
    <t>Tab</t>
  </si>
  <si>
    <t>Feature</t>
  </si>
  <si>
    <t>Description</t>
  </si>
  <si>
    <t>Dependencies</t>
  </si>
  <si>
    <t>Entry cell and appropriate text appear following selection of Project Type (D22).</t>
  </si>
  <si>
    <t>T-1</t>
  </si>
  <si>
    <t>Cell Ref.</t>
  </si>
  <si>
    <t>Number</t>
  </si>
  <si>
    <t>Drop-down</t>
  </si>
  <si>
    <t>Entry Type</t>
  </si>
  <si>
    <t>New element.  Choices are Design-Bid-Build (most common for Small Cap building projects), CM at Risk (most common for Large Cap building projects), and Design-Build (less common).</t>
  </si>
  <si>
    <t>T-2</t>
  </si>
  <si>
    <t>I19,I36,I53</t>
  </si>
  <si>
    <t>Regents Building Code</t>
  </si>
  <si>
    <t>New element.  Select Regents Building Code for existing building(s) to be renovated or demolished (referenced from Fall 20 FIDC tab).</t>
  </si>
  <si>
    <t>Institution-specific dropdown list is populated by selection of inst. on Tab 1 (D5). Selection automatically populates relevant building information in Tabs 1, 2, and 3.  Text for entry of renovation specs appears when RBC is selected.  Gross GSF can be adjusted for partial-area renovations by entering Renovation Percentage (Tab 2 - D24, D41, D58), and for partial building demolitions (J76).</t>
  </si>
  <si>
    <t>T-3</t>
  </si>
  <si>
    <t>F14</t>
  </si>
  <si>
    <t>Percentage</t>
  </si>
  <si>
    <t>ID text (D14), % range (E14), and percentage entered (F14) for General Conditions entry for DBB/DB projects is the default view in a blank template, and remains when either D-B-B or D-B construction method is selected in Tab 1 (D26).  Text, formatting, and calculated fields disappear when CM at Risk method is selected.</t>
  </si>
  <si>
    <t>G17</t>
  </si>
  <si>
    <t>ID text (D16), % range (E16), calculated percentage of SCL (F16), and entry for amount of fee (G16) do not appear and are not included in cost totals unless CM at Risk method is selected in Tab 1 (D26).</t>
  </si>
  <si>
    <t>ID text (D17), % range (E17), calculated percentage of SCL (F17), and entered amount of fee (G17) do not appear and are not included in cost totals unless CM at Risk method is selected in Tab 1 (D26).</t>
  </si>
  <si>
    <t>F43</t>
  </si>
  <si>
    <t>Revised entry - Now entered on Tab 1 instead of Tab 4. Entry cell and appropriate text appear following selection of Project Type (D22).</t>
  </si>
  <si>
    <t>Selected method determines entry options and cost calculation method in Tab 3 Project Cost (see description for cells F14, G16. G17, F43, G45, and G46 below).</t>
  </si>
  <si>
    <t>ID text (D43), % range (E43), and percentage entered (F43) for General Conditions entry for DBB/DB projects is the default view in a blank template, and remains when either D-B-B or D-B construction method is selected in Tab 1 (D26).  Text, formatting, and calculated fields disappear when CM at Risk method is selected.</t>
  </si>
  <si>
    <t>General Conditions (Renovation - DBB, DB)</t>
  </si>
  <si>
    <t>CM Fees - General Conditions (Renovation - CM at Risk projects)</t>
  </si>
  <si>
    <t>CM Fees - Precon &amp; Base CM (Renovation - CM at Risk projects)</t>
  </si>
  <si>
    <t>ID text (D45), % range (E45), calculated percentage of SCL (F45), and entry for amount of fees (G45) do not appear and are not included in cost totals unless CM at Risk method is selected in Tab 1 (D26).</t>
  </si>
  <si>
    <t>ID text (D46), % range (E46), calculated percentage of SCL (F46), and entered amount of fee (G46) do not appear and are not included in cost totals unless CM at Risk method is selected in Tab 1 (D26).</t>
  </si>
  <si>
    <t>CM Fees - Precon &amp; Base CM (New Construction - CM at Risk projects</t>
  </si>
  <si>
    <t>CM Fees - General Conditions (New Construction - CM at Risk projects)</t>
  </si>
  <si>
    <t>General Conditions (New Construction - DBB, DB projects)</t>
  </si>
  <si>
    <t>T-4</t>
  </si>
  <si>
    <t>G11-G17</t>
  </si>
  <si>
    <t>Non-GO Bond Funds Amounts by Source</t>
  </si>
  <si>
    <t>Revised element - Non-FO funding sources updated to better articulate and distinguish common funding sources.</t>
  </si>
  <si>
    <t xml:space="preserve">Proposed FY of GO Bond Construction Funding </t>
  </si>
  <si>
    <t>T-5</t>
  </si>
  <si>
    <t>B12; B17; B22; B26</t>
  </si>
  <si>
    <t>Narrative Fields</t>
  </si>
  <si>
    <t>Revised element - Project Narrative titles and descriptions (other than Executive Summary) revised for better consistency with new OPB narrative categories.</t>
  </si>
  <si>
    <t xml:space="preserve">Large Cap/Small Cap Priority # </t>
  </si>
  <si>
    <t>Revised entry - Now entered on Tab 1 instead of Tab 4. Entry cell and appropriate text identifying project type appear following selection of Project Type (D22).</t>
  </si>
  <si>
    <t>Entry cell and appropriate text appear following selection of Project Type (D22).  Priority number by project type (Large Cap, Small Cap) populates throughout workbook (L-1, L-2, S-1, S-2, etc.)</t>
  </si>
  <si>
    <t>Entering amount in G11-G17 populates text for total Non-GO funding availability by project phase (C28-D31).  Total available Non-GO by phase (F31) must equal total Non-GO bonds by source (F18; F27). Non-GO amounts entered for a project phase (F28-30) cannot exceed the calculated cost of that phase.  For Large Cap projects, entry of amounts in F28-F30 reduces the GO bond amount in the corresponding phase of the normative GO bond funding plan (F33-35).</t>
  </si>
  <si>
    <t>Number          ($ Value)</t>
  </si>
  <si>
    <t>General Conditions/CM Fees Entry &amp; Calculation</t>
  </si>
  <si>
    <t>New element.  General Conditions costs are now itemized separately outside the Construction Base Unit Cost.  General Conditions costs for CM at Risk renovation projects are entered as a dollar value (G46) which is then calculated as a percentage (F46) of the SCL in G47.</t>
  </si>
  <si>
    <t>New element.  The total amount of the base CM fee and preconstruction fees for CM at risk Renovation projects entered as a $ value in G16, which is then calculated as a percentage (G45) of the project SCL (G47). The typical percentage range is in E45.</t>
  </si>
  <si>
    <t>New element.  General Conditions costs are now itemized separately outside the Construction Base Unit Cost.  General Conditions costs for DBB/DB renovation projects are calculated by multiplying the entered percentage by the sum of Construction Base Unit cost (G39), Abatement Reserve (G40), and Bldg Data/Tech Infrastructure (G42)</t>
  </si>
  <si>
    <t>New element.  General Conditions costs are now itemized separately outside the Construction Base Unit Cost.  General Conditions costs for CM at Risk new construction projects are entered as a dollar value (G17) which is then calculated as a percentage (F17) of the SCL in G18.</t>
  </si>
  <si>
    <t>New element.  The total amount of the base CM fee and preconstruction fees for new construction projects is entered as a $ value in G16, which is then calculated as a percentage (F16) of the project SCL (G18). The typical percentage range is in E16.</t>
  </si>
  <si>
    <t>New element.  General Conditions costs are now itemized separately outside the Construction Base Unit Cost.  General Conditions costs for DBB/DB new construction projects are calculated by multiplying the entered percentage by the sum of Construction Base Unit cost (H11), Subsurface Reserve (H12), and Bldg Data/Tech Infrastructure (H13)</t>
  </si>
  <si>
    <t>Prioritization</t>
  </si>
  <si>
    <t>D24, D41, D58</t>
  </si>
  <si>
    <t>Percentage of Building GSF in Renovation Scope</t>
  </si>
  <si>
    <t>New element.  If only a portion of the building's GSF is included in the renovation scope, enter the approximate percentage here.  This allows more accurate unit cost estimating for projects that exclude significant portions of the building's space. The default value is prepopulated at 100%</t>
  </si>
  <si>
    <t>Entry of less than 100% reduces the project scope, "Renovation GSF", for the corresponding building (D26, D43, D60), and for the purpose of renovation cost calculations in Tab 3 (G36, G37, G38).</t>
  </si>
  <si>
    <t>E20-E28; E49-E57</t>
  </si>
  <si>
    <t>Suggested Soft Cost Percentage Ranges</t>
  </si>
  <si>
    <t>Revised element.  Suggested ranges for soft cost percentages for new construction and renovation have been updated based on analysis of recent BOR projects.</t>
  </si>
  <si>
    <t>H40</t>
  </si>
  <si>
    <t>Abatement Reserve (Renovation Projects)</t>
  </si>
  <si>
    <t>No change in function.</t>
  </si>
  <si>
    <t>F21, F50</t>
  </si>
  <si>
    <t>Revised element.  Calculations have been revised to more accurately reflect the structure of a BOR project budget.  Project Oversight cost is now calculated by multiplying the entered percentage by total project budget (net of contingency and project oversight costs)</t>
  </si>
  <si>
    <t>Project Oversight (PM/RCI/Cost Estimating) Cost % entry</t>
  </si>
  <si>
    <t>Entering percentage above listed range will produce a note in I21 and/or I50 asking for narrative description.</t>
  </si>
  <si>
    <t>New element.  Allows itemization of anticipated abatement costs on a unit basis across the entire GSF scope of the project.</t>
  </si>
  <si>
    <t>Unit cost amount entered in H40 is multiplied by the total GSF in the renovation scope (G33) to produce the total abatement reserve amount in G40.  This cost lis a component of "Total for Construction" (G44).</t>
  </si>
  <si>
    <t>Calculated</t>
  </si>
  <si>
    <t>G15</t>
  </si>
  <si>
    <t>"Total For Construction" Subtotal (New Construction)</t>
  </si>
  <si>
    <t>"Total For Construction" Subtotal (Renovation)</t>
  </si>
  <si>
    <t>New element.  Improves comparability with BOR project budgets.  Facilitates accurate calculation of General Conditions costs for Design Bid Build and Design Build projects.</t>
  </si>
  <si>
    <t>New element.  Improves comparability with BOR project budgets.  Facilitates accurate calculation of CM Fees (preconstruction/base fees and general conditions) in CM at risk projects.</t>
  </si>
  <si>
    <t>NEW CONSTRUCTION - for projects using CM at Risk, this subtotal (G15) is the sum of Construction Base Cost (G11), Subsurface Reserve (G12), and Bldg Data/Tech Infrastructure (G13).  For DBB/DB new construction, the subtotal also includes "General Conditions (DBB/DB) (G14).</t>
  </si>
  <si>
    <t>RENOVATION - for projects using CM at Risk, this subtotal (G44) is the sum of Construction Base Cost (G39), Abatement Reserve (G40), and Bldg Data/Tech Infrastructure (G42).  For DBB/DB new construction, this subtotal also includes "General Conditions (DBB/DB)" (G43).</t>
  </si>
  <si>
    <t>TFC Subtotal</t>
  </si>
  <si>
    <t>Calculated Number            ($ Value)</t>
  </si>
  <si>
    <t>REF</t>
  </si>
  <si>
    <t>C69 - N69</t>
  </si>
  <si>
    <t>Summary Project Info Array</t>
  </si>
  <si>
    <t>An array of formulas that organize and format the required information for easy copy and paste into the capital plan summary document.</t>
  </si>
  <si>
    <t>New/Updated Features in Template for FY 23-26</t>
  </si>
  <si>
    <t>Coastal GA Center</t>
  </si>
  <si>
    <t>Submission Status</t>
  </si>
  <si>
    <t>GO Project Type</t>
  </si>
  <si>
    <t>small &lt;=5M</t>
  </si>
  <si>
    <t>large &gt;5M</t>
  </si>
  <si>
    <t>=0?</t>
  </si>
  <si>
    <t>ERROR - Reconcile project type and GO request amount</t>
  </si>
  <si>
    <t>no type w $</t>
  </si>
  <si>
    <t>No State Design Funding</t>
  </si>
  <si>
    <t>No State Equipment Funding</t>
  </si>
  <si>
    <t>Single Appropriation</t>
  </si>
  <si>
    <t>Standard 3 Year Appropriation</t>
  </si>
  <si>
    <t>Large Cap Priority #</t>
  </si>
  <si>
    <t>FY 2027</t>
  </si>
  <si>
    <t>FY of GO Bond                 Const. Funding</t>
  </si>
  <si>
    <t>&gt; $5M GO Funding</t>
  </si>
  <si>
    <t>&lt;= $5M GO Funding</t>
  </si>
  <si>
    <t>Select Building Name/Code:</t>
  </si>
  <si>
    <t>Abatement (total cost including design and fees)</t>
  </si>
  <si>
    <t>Demolition/Disposal (total cost including design and fees)</t>
  </si>
  <si>
    <t>Construction Costs</t>
  </si>
  <si>
    <t>Construction Cost - Parking Element</t>
  </si>
  <si>
    <t>Construction Cost - Mechanical Element</t>
  </si>
  <si>
    <t>Construction Cost - Utilities Element</t>
  </si>
  <si>
    <t>Construction Cost - "Other" Element</t>
  </si>
  <si>
    <t>3% - 4%</t>
  </si>
  <si>
    <t>5.5% - 7%</t>
  </si>
  <si>
    <t>A&amp;E - Total</t>
  </si>
  <si>
    <t>Base Const. Cost  / GSF</t>
  </si>
  <si>
    <t>Note:  CM at Risk is default method for Large Cap building projects</t>
  </si>
  <si>
    <t xml:space="preserve">     </t>
  </si>
  <si>
    <t xml:space="preserve">      </t>
  </si>
  <si>
    <t>Small Cap - GO must not exceed $5M</t>
  </si>
  <si>
    <t>External - Gifts</t>
  </si>
  <si>
    <t>Multi-Year (default)</t>
  </si>
  <si>
    <t>Large Cap GO Approp. Method:</t>
  </si>
  <si>
    <t>IF(I4=D2,"",IF(I4="","",IF(D2&lt;&gt;I4,S27,"")))</t>
  </si>
  <si>
    <t>Total Non-GO</t>
  </si>
  <si>
    <t>NON_GO PHASE SUM MUST EQUAL PROJECT TOTAL!</t>
  </si>
  <si>
    <t>GO bond schedule calculates automatically based on template entry.</t>
  </si>
  <si>
    <t>GO schedule adjusts based on availability of non-GO bonds by phase.</t>
  </si>
  <si>
    <t>- Enter amounts of proposed Non_GO Bond funding by project phase</t>
  </si>
  <si>
    <t>- Non-GO funds by phase must not exceed the phase's calculated cost</t>
  </si>
  <si>
    <t>Single-Year (see note below)</t>
  </si>
  <si>
    <t xml:space="preserve">  -  Describe how will the project advance institutional mission and strategic goals; explain the importance, urgency, impact, and benefit of the project</t>
  </si>
  <si>
    <t>Building #1</t>
  </si>
  <si>
    <t>Building #2</t>
  </si>
  <si>
    <t>Building #3</t>
  </si>
  <si>
    <t>Total Cost/GSF</t>
  </si>
  <si>
    <t>Demo GSF</t>
  </si>
  <si>
    <t>Abatement         Cost / GSF</t>
  </si>
  <si>
    <t>Demo/Disposal     Cost / GSF</t>
  </si>
  <si>
    <t># 3</t>
  </si>
  <si>
    <t># 1</t>
  </si>
  <si>
    <t># 2</t>
  </si>
  <si>
    <t>Buildings proposed for demolition:</t>
  </si>
  <si>
    <t>If demo in equip phase</t>
  </si>
  <si>
    <t>Research Funds (ICR / F&amp;A)</t>
  </si>
  <si>
    <t>CM - Preconstruction Services</t>
  </si>
  <si>
    <t>CM - CM Fee</t>
  </si>
  <si>
    <t>CM - General Conditions</t>
  </si>
  <si>
    <t>0.5% - 0.85%</t>
  </si>
  <si>
    <t>Explain high Precon fee ratio (&gt;0.85%)</t>
  </si>
  <si>
    <t>3.5% - 4.5%</t>
  </si>
  <si>
    <t>0.2% -0.5%</t>
  </si>
  <si>
    <r>
      <t xml:space="preserve">Project Oversight </t>
    </r>
    <r>
      <rPr>
        <sz val="8"/>
        <rFont val="Arial"/>
        <family val="2"/>
      </rPr>
      <t>(PM/RCI/Cost Est)</t>
    </r>
  </si>
  <si>
    <t>A&amp;E - Programming</t>
  </si>
  <si>
    <t>A &amp; E</t>
  </si>
  <si>
    <t>FF&amp;E</t>
  </si>
  <si>
    <t>Sp. Cost</t>
  </si>
  <si>
    <t>CM Fees - Preconstruction Services</t>
  </si>
  <si>
    <t>Sp.Cost</t>
  </si>
  <si>
    <t>Owner Contingency</t>
  </si>
  <si>
    <t>Explain high CM fee ratio (&gt;4.5%)</t>
  </si>
  <si>
    <t>Explain high CM GC fee ratio (&gt;9%)</t>
  </si>
  <si>
    <t>5% - 15%</t>
  </si>
  <si>
    <t>Parking - Structure</t>
  </si>
  <si>
    <t>Parking - Surface</t>
  </si>
  <si>
    <t>Pro Rata Costs</t>
  </si>
  <si>
    <t>Bldg 1</t>
  </si>
  <si>
    <t>Bldg 2</t>
  </si>
  <si>
    <t>Bldg 3</t>
  </si>
  <si>
    <t>abate</t>
  </si>
  <si>
    <t>data inf</t>
  </si>
  <si>
    <t>GC</t>
  </si>
  <si>
    <t>CM PC</t>
  </si>
  <si>
    <t>CM GC</t>
  </si>
  <si>
    <t>TSC</t>
  </si>
  <si>
    <t>Pover</t>
  </si>
  <si>
    <t>AE prog</t>
  </si>
  <si>
    <t>AE Spec</t>
  </si>
  <si>
    <t>FFE</t>
  </si>
  <si>
    <t>FFE AV</t>
  </si>
  <si>
    <t>Test Surv</t>
  </si>
  <si>
    <t>Subtotal</t>
  </si>
  <si>
    <t>Own Cont</t>
  </si>
  <si>
    <t>Commiss</t>
  </si>
  <si>
    <t>Oth Spec</t>
  </si>
  <si>
    <t>Tot Proj Cost</t>
  </si>
  <si>
    <t>Mech</t>
  </si>
  <si>
    <t>Util</t>
  </si>
  <si>
    <t>Proj over</t>
  </si>
  <si>
    <t>AE total</t>
  </si>
  <si>
    <t>Subt</t>
  </si>
  <si>
    <t>Cont</t>
  </si>
  <si>
    <t>Commis</t>
  </si>
  <si>
    <t>Explain high Programming cost ratio (&gt;0.5%)</t>
  </si>
  <si>
    <t>7% - 9%</t>
  </si>
  <si>
    <t>Contact</t>
  </si>
  <si>
    <t>1A - PROJECT IDENTIFICATION</t>
  </si>
  <si>
    <t>TAB 1 - PROJECT ID &amp; PRIMARY NARRATIVE</t>
  </si>
  <si>
    <t>Project      Name</t>
  </si>
  <si>
    <t>Project Scope Summary</t>
  </si>
  <si>
    <t>SCL / GSF</t>
  </si>
  <si>
    <t>1C - PROJECT SCOPE AND COST SUMMARY</t>
  </si>
  <si>
    <t>1D - PRIMARY NARRATIVE - PROJECT SCOPE AND DESCRIPTION</t>
  </si>
  <si>
    <t>1E - PRIMARY NARRATIVE - PROJECT JUSTIFICATION</t>
  </si>
  <si>
    <t>1F - SUPPORTING DOCUMENTS</t>
  </si>
  <si>
    <t xml:space="preserve"> - Identification of supporting documents submitted with Project Template:</t>
  </si>
  <si>
    <t>CM Precon</t>
  </si>
  <si>
    <t>INF</t>
  </si>
  <si>
    <t>G89</t>
  </si>
  <si>
    <t>AE</t>
  </si>
  <si>
    <t>AE Program</t>
  </si>
  <si>
    <r>
      <t>A&amp;E - Design Services</t>
    </r>
    <r>
      <rPr>
        <sz val="8"/>
        <rFont val="Arial"/>
        <family val="2"/>
      </rPr>
      <t xml:space="preserve"> (incl reimb)</t>
    </r>
  </si>
  <si>
    <r>
      <t xml:space="preserve">A&amp;E - CA Services </t>
    </r>
    <r>
      <rPr>
        <sz val="8"/>
        <rFont val="Arial"/>
        <family val="2"/>
      </rPr>
      <t>(incl reimb)</t>
    </r>
  </si>
  <si>
    <t>4% - 5.5%</t>
  </si>
  <si>
    <t>2% - 2.5%</t>
  </si>
  <si>
    <t>Explain high A&amp;E CA fees (&gt;2.5%)</t>
  </si>
  <si>
    <t>Explain high A&amp;E Design fees (&gt;5.5%)</t>
  </si>
  <si>
    <t>AE Design</t>
  </si>
  <si>
    <t>G57</t>
  </si>
  <si>
    <t>5% - 6.5%</t>
  </si>
  <si>
    <t>Total Project SCL</t>
  </si>
  <si>
    <t>Regents Contingency</t>
  </si>
  <si>
    <t>Project SCL (excluding demolition and acquisition)</t>
  </si>
  <si>
    <t>Construction Base Unit Cost, Total</t>
  </si>
  <si>
    <t>Typical Range 1.7-1.8</t>
  </si>
  <si>
    <t>IM values for Base const unit cost</t>
  </si>
  <si>
    <t>Primary Narr</t>
  </si>
  <si>
    <t>Project Justification Narr</t>
  </si>
  <si>
    <t>G149</t>
  </si>
  <si>
    <t>F216</t>
  </si>
  <si>
    <t>H325</t>
  </si>
  <si>
    <t>RV2</t>
  </si>
  <si>
    <t>0408</t>
  </si>
  <si>
    <t>056</t>
  </si>
  <si>
    <t>0630</t>
  </si>
  <si>
    <t>611A</t>
  </si>
  <si>
    <t>AVS1</t>
  </si>
  <si>
    <t>4068</t>
  </si>
  <si>
    <t>5071</t>
  </si>
  <si>
    <t>5108</t>
  </si>
  <si>
    <t>9131</t>
  </si>
  <si>
    <t>9133</t>
  </si>
  <si>
    <t>9134</t>
  </si>
  <si>
    <t>0266</t>
  </si>
  <si>
    <t>0725</t>
  </si>
  <si>
    <t>0064a</t>
  </si>
  <si>
    <t>K004</t>
  </si>
  <si>
    <t>K008</t>
  </si>
  <si>
    <t>N003a</t>
  </si>
  <si>
    <t>N010</t>
  </si>
  <si>
    <t>480</t>
  </si>
  <si>
    <t>PAEC</t>
  </si>
  <si>
    <t>1132</t>
  </si>
  <si>
    <t>1134</t>
  </si>
  <si>
    <t>234A</t>
  </si>
  <si>
    <t>234B</t>
  </si>
  <si>
    <t>2400</t>
  </si>
  <si>
    <t>2436</t>
  </si>
  <si>
    <t>2457</t>
  </si>
  <si>
    <t>3816</t>
  </si>
  <si>
    <t>4315</t>
  </si>
  <si>
    <t>4317</t>
  </si>
  <si>
    <t>B102</t>
  </si>
  <si>
    <t>D147</t>
  </si>
  <si>
    <t>D148</t>
  </si>
  <si>
    <t>G027</t>
  </si>
  <si>
    <t>O3A</t>
  </si>
  <si>
    <t>1500</t>
  </si>
  <si>
    <t>1506</t>
  </si>
  <si>
    <t>2905</t>
  </si>
  <si>
    <t>Gressette Gymnasium</t>
  </si>
  <si>
    <t>Foundation Legacy Pool</t>
  </si>
  <si>
    <t>Tift Hall</t>
  </si>
  <si>
    <t>Bowen Hall</t>
  </si>
  <si>
    <t>Branch Hall</t>
  </si>
  <si>
    <t>Britt Hall</t>
  </si>
  <si>
    <t>Driggers Hall - Chapel</t>
  </si>
  <si>
    <t>Gaines Hall</t>
  </si>
  <si>
    <t>Health Sciences + Health Ctr</t>
  </si>
  <si>
    <t>Chambliss Building</t>
  </si>
  <si>
    <t>Yow Forestry-Wildlife Bldg</t>
  </si>
  <si>
    <t>Agricultural Sciences Bldg</t>
  </si>
  <si>
    <t>Lab Sciences Building</t>
  </si>
  <si>
    <t>Corral Shelter</t>
  </si>
  <si>
    <t>Feed&amp;Seed/Mercantile/Drug Stor</t>
  </si>
  <si>
    <t>Destination Ag Barn &amp; Learning</t>
  </si>
  <si>
    <t>Ga Museum of Ag (Admin)</t>
  </si>
  <si>
    <t>Building 600 Library/Admin</t>
  </si>
  <si>
    <t>Building 700 PE Complex</t>
  </si>
  <si>
    <t>Building 900 McMillan Science</t>
  </si>
  <si>
    <t>Student Serv. &amp; Success Center</t>
  </si>
  <si>
    <t>CFH Concession</t>
  </si>
  <si>
    <t>College of Math &amp; Science</t>
  </si>
  <si>
    <t>MacCartney Schaffer Cyber Ctr</t>
  </si>
  <si>
    <t>Carnes Hall for Music</t>
  </si>
  <si>
    <t>West Side Chiller Plant</t>
  </si>
  <si>
    <t>TROPICAL FRUIT GREENHOUSE</t>
  </si>
  <si>
    <t>GREENHOUSE AQUACULTURE PONDS</t>
  </si>
  <si>
    <t>AMPHITHEATRE</t>
  </si>
  <si>
    <t>STALLWORTH</t>
  </si>
  <si>
    <t>ARS CATTLE SHED</t>
  </si>
  <si>
    <t>ARS GOAT SHED</t>
  </si>
  <si>
    <t>ARS STORAGE SHED #1</t>
  </si>
  <si>
    <t>ARS STORAGE SHED #2</t>
  </si>
  <si>
    <t>GA CENTER AQUACULTURE INCUBATO</t>
  </si>
  <si>
    <t>KELL BUILDING</t>
  </si>
  <si>
    <t>AGRICULTURAL VEGETABLE SHED</t>
  </si>
  <si>
    <t>Soccer Stadium</t>
  </si>
  <si>
    <t>Lake Laurel Restrooms</t>
  </si>
  <si>
    <t>Golf Cart Storage</t>
  </si>
  <si>
    <t>West Campus Storage</t>
  </si>
  <si>
    <t>330 West Thomas Street</t>
  </si>
  <si>
    <t>330 W Thomas Storage</t>
  </si>
  <si>
    <t>District Chiller Plant #1</t>
  </si>
  <si>
    <t>District Chiller Plant #2</t>
  </si>
  <si>
    <t>Engineering &amp; Research Bld</t>
  </si>
  <si>
    <t>301 Building</t>
  </si>
  <si>
    <t>GA Southern Research Lab Bldg6</t>
  </si>
  <si>
    <t>Canes Central</t>
  </si>
  <si>
    <t>GEORGIA BOOKSTORE BLDG</t>
  </si>
  <si>
    <t>CONVOCATIONAL CENTER</t>
  </si>
  <si>
    <t xml:space="preserve">CREATIVE MEDIA BLDG - (CMII)	</t>
  </si>
  <si>
    <t>ICL ROPE COURSE PAVILLION</t>
  </si>
  <si>
    <t>ICL POOL EQUIP STORAGE BLDG</t>
  </si>
  <si>
    <t>BLDG NC (Dental)</t>
  </si>
  <si>
    <t>LEARNING RESOURCES CTR (Dunw)</t>
  </si>
  <si>
    <t>The Market</t>
  </si>
  <si>
    <t>The Study</t>
  </si>
  <si>
    <t>Academic Learning Center</t>
  </si>
  <si>
    <t>Civil &amp; Environmental Engr Bld</t>
  </si>
  <si>
    <t>Peyton Anderson Enrollment Ctr</t>
  </si>
  <si>
    <t>PROFESSIONAL SCIENCES CENTER</t>
  </si>
  <si>
    <t>Science &amp; Technology</t>
  </si>
  <si>
    <t>MOORE HALL</t>
  </si>
  <si>
    <t>DELTA INNOVATION HUB</t>
  </si>
  <si>
    <t>ADMINISTRATION BUILDING</t>
  </si>
  <si>
    <t>ATHENAEUM</t>
  </si>
  <si>
    <t>BOYD RSRCH AND EDU CTR</t>
  </si>
  <si>
    <t>PET HEALTH CENTER</t>
  </si>
  <si>
    <t>DRIFTMIER ENG CNTR</t>
  </si>
  <si>
    <t>STEM RESEARCH BUILDING II</t>
  </si>
  <si>
    <t>STEM I PARKING DECK</t>
  </si>
  <si>
    <t>STEM II PARKING DECK</t>
  </si>
  <si>
    <t>MCBAY SCIENCE LIBRARY</t>
  </si>
  <si>
    <t>ECOLOGY CENTERS</t>
  </si>
  <si>
    <t>HSC-WINNIE DAVIS</t>
  </si>
  <si>
    <t>HSC-CARNEGIE LIB LRNG</t>
  </si>
  <si>
    <t>HSC-RHODES HALL</t>
  </si>
  <si>
    <t>HSC-POUND HALL</t>
  </si>
  <si>
    <t>HSC-BROWN HALL</t>
  </si>
  <si>
    <t>HSC-RUSSELL HALL</t>
  </si>
  <si>
    <t>HSC HANDBALL COURT</t>
  </si>
  <si>
    <t>ECOLOGY AVIAN BUILDING A</t>
  </si>
  <si>
    <t>ECOLOGY AVIAN BUILDING B</t>
  </si>
  <si>
    <t>RIVERBEND FARM RESEARCH BUILDI</t>
  </si>
  <si>
    <t>ADA TOWER FOR CENTER FOR ART A</t>
  </si>
  <si>
    <t>PORCELAIN AND DECORATIVE ARTS</t>
  </si>
  <si>
    <t>LEARNING &amp; DEVELOPMENT CENTER</t>
  </si>
  <si>
    <t>SEC DWELLING 2</t>
  </si>
  <si>
    <t>SEC DWELLING 1</t>
  </si>
  <si>
    <t>MAINTENANCE BLDG</t>
  </si>
  <si>
    <t>PAVILION RESTROOMS</t>
  </si>
  <si>
    <t>MACHINERY SHED</t>
  </si>
  <si>
    <t>PEACH RESEARCH GREENHOUSE 2</t>
  </si>
  <si>
    <t>PEACH GREENHOUSE 1</t>
  </si>
  <si>
    <t>ENGINEERING BLDG</t>
  </si>
  <si>
    <t>ENTOMOLOGY BLDG</t>
  </si>
  <si>
    <t>BR-Maintenance Building</t>
  </si>
  <si>
    <t>DA-Guest House</t>
  </si>
  <si>
    <t>DA-Cottrell Center</t>
  </si>
  <si>
    <t>DA-Carcass Specimen Shed</t>
  </si>
  <si>
    <t>GV-Carcass Specimen Shed</t>
  </si>
  <si>
    <t>OC-SRC Addition</t>
  </si>
  <si>
    <t>Roy Richards Sr. Hall</t>
  </si>
  <si>
    <t>304 Baytree Rd FCA House</t>
  </si>
  <si>
    <t>1506 N Oak Street</t>
  </si>
  <si>
    <t>112 Georgia Avenue</t>
  </si>
  <si>
    <t>RI%</t>
  </si>
  <si>
    <t>2264</t>
  </si>
  <si>
    <t>WRGC Radio Station</t>
  </si>
  <si>
    <t>Lewis Student Ctr.</t>
  </si>
  <si>
    <t>Stingers Restaurant</t>
  </si>
  <si>
    <t>EAST CAMPUS PARKING DECK</t>
  </si>
  <si>
    <t>BLACK-DIALLO-MILLER HALL</t>
  </si>
  <si>
    <t>Single-year Large Cap funding requests should only be for atypical projects that: a) will complete the design process in significantly less than a year; and b) have no FFE component.  Single year funding requests require narrative explanation and justification in section 4C below.</t>
  </si>
  <si>
    <t>- Brief narrative explaining any unusual and important project funding aspects not fully conveyed above.</t>
  </si>
  <si>
    <t>Enter CM Precon Fee cost</t>
  </si>
  <si>
    <t>Enter CM Fee cost</t>
  </si>
  <si>
    <t>Enter CM General Conditions cost</t>
  </si>
  <si>
    <t>Enter Const. Base Unit Cost</t>
  </si>
  <si>
    <t>FY 2028</t>
  </si>
  <si>
    <t xml:space="preserve">  -  Describe proposed physical characteristics and components at overall project level (use Tab 2 for detail about individual elements of complex projects)</t>
  </si>
  <si>
    <t>Year Constructed:</t>
  </si>
  <si>
    <t>3% - 4.5%</t>
  </si>
  <si>
    <t>G24</t>
  </si>
  <si>
    <t>AE CA</t>
  </si>
  <si>
    <t>% in Design Phase</t>
  </si>
  <si>
    <t>G29</t>
  </si>
  <si>
    <t>G48</t>
  </si>
  <si>
    <t>RENOV</t>
  </si>
  <si>
    <t>See Tab 4 O38</t>
  </si>
  <si>
    <t>DEMO</t>
  </si>
  <si>
    <t>G80</t>
  </si>
  <si>
    <t>G60</t>
  </si>
  <si>
    <t>G66</t>
  </si>
  <si>
    <t>G98</t>
  </si>
  <si>
    <t>G99</t>
  </si>
  <si>
    <t>Explain high CM GC fee ratio (&gt;8%)</t>
  </si>
  <si>
    <t>Explain high CM fee ratio (&gt;4%)</t>
  </si>
  <si>
    <t>Deliv Meth</t>
  </si>
  <si>
    <t>Grants/Oth</t>
  </si>
  <si>
    <t>CM Precon Fees %</t>
  </si>
  <si>
    <t>AE Design%</t>
  </si>
  <si>
    <t>AE Program%</t>
  </si>
  <si>
    <t>AE CA%</t>
  </si>
  <si>
    <t>Bldg Name/Code</t>
  </si>
  <si>
    <t>Base Cost$/GSF</t>
  </si>
  <si>
    <t>Gen Cond</t>
  </si>
  <si>
    <t>TFC$ New</t>
  </si>
  <si>
    <t>TFC $ Renov</t>
  </si>
  <si>
    <t>CM Precon Fees % Ren</t>
  </si>
  <si>
    <t>CM Fees % Ren</t>
  </si>
  <si>
    <t>CM GC Fees % Ren</t>
  </si>
  <si>
    <t>Demo 1</t>
  </si>
  <si>
    <t>Demo 2</t>
  </si>
  <si>
    <t>Demo 3</t>
  </si>
  <si>
    <t>Total Demo</t>
  </si>
  <si>
    <t>Project Demo$/GSF</t>
  </si>
  <si>
    <t xml:space="preserve">#3 Demo Cost/GSF </t>
  </si>
  <si>
    <t>Tot #2 Demo Cost/GSF</t>
  </si>
  <si>
    <t>Project Demo Cost $ total</t>
  </si>
  <si>
    <t>Total Inf</t>
  </si>
  <si>
    <t>Park $TCC</t>
  </si>
  <si>
    <t>$TCC Surf</t>
  </si>
  <si>
    <t>Total INF TFC $</t>
  </si>
  <si>
    <t>INF CM Precon %</t>
  </si>
  <si>
    <t>Inf CM Fee %</t>
  </si>
  <si>
    <t>Inf CM GC %</t>
  </si>
  <si>
    <t>Proj Overst% INF</t>
  </si>
  <si>
    <t>Tot Soft Cost % INF</t>
  </si>
  <si>
    <t>INF A&amp;E</t>
  </si>
  <si>
    <t>INF Test/Surv</t>
  </si>
  <si>
    <t>Inf Contingency</t>
  </si>
  <si>
    <t>Inf Commiss</t>
  </si>
  <si>
    <t>TPC$ Inf</t>
  </si>
  <si>
    <t>TAC$ L+B</t>
  </si>
  <si>
    <t>LC Fund Plan</t>
  </si>
  <si>
    <t>LC Approp Method</t>
  </si>
  <si>
    <t>Acquisition narrative entry</t>
  </si>
  <si>
    <t>Other infrastructure narrative entry.</t>
  </si>
  <si>
    <t>Utility infrastructure narrative entry</t>
  </si>
  <si>
    <t>Mechanical infrastructure narrative entry.</t>
  </si>
  <si>
    <t>Parking infrastructure narrative entry</t>
  </si>
  <si>
    <t>Project funding supplemental narrative entry</t>
  </si>
  <si>
    <t>3E - PROJECT COST SUPPLEMENTAL NARRATIVE</t>
  </si>
  <si>
    <t>Project cost supplemental narrative entry</t>
  </si>
  <si>
    <t>Renovation #2 narrative entry</t>
  </si>
  <si>
    <t>Renovation #3 narrative entry</t>
  </si>
  <si>
    <t>Rec Status</t>
  </si>
  <si>
    <t>BOR Recommendation FY24?</t>
  </si>
  <si>
    <t>Note Building List Validation Spill Array: Tab 2 Col CA CA2</t>
  </si>
  <si>
    <t>Long Inst Name</t>
  </si>
  <si>
    <t>Select Bldg Name/Code</t>
  </si>
  <si>
    <t>T-1A</t>
  </si>
  <si>
    <t>Prev.Cell Ref.</t>
  </si>
  <si>
    <t>New Cell Ref.</t>
  </si>
  <si>
    <t>D23</t>
  </si>
  <si>
    <t>Various</t>
  </si>
  <si>
    <t>Project ID Entry Fields</t>
  </si>
  <si>
    <t>T-1B</t>
  </si>
  <si>
    <t>N/A</t>
  </si>
  <si>
    <t>F17</t>
  </si>
  <si>
    <t xml:space="preserve">New Entry Field replaces New Project/Previously Submitted (D18) and GO Bonds Previously Authorized? (Y/N) (I18).  </t>
  </si>
  <si>
    <t>Dropdown menu allows projects recommended by BOR for LC Design, LC Construction, and SC funding in the FY24 budget to be selected in order to ensure the correct range of choices in Proposed FY of GO Bond Construction Funding (J22).</t>
  </si>
  <si>
    <t>T-1D</t>
  </si>
  <si>
    <t>B42</t>
  </si>
  <si>
    <t>Tab-Section</t>
  </si>
  <si>
    <t>Unchanged</t>
  </si>
  <si>
    <t>Project priority # field changed locations.</t>
  </si>
  <si>
    <t>Proposed FY of GO Bond Construction Funding changed locations.</t>
  </si>
  <si>
    <t>Available selections are now also dependent on the identification of BOR FY24 Recommendation status in F17.</t>
  </si>
  <si>
    <t>F27</t>
  </si>
  <si>
    <t>T-1C</t>
  </si>
  <si>
    <t>Tab 5B (B12)</t>
  </si>
  <si>
    <t>B46</t>
  </si>
  <si>
    <t>PRIMARY NARRATIVE - Project Justification</t>
  </si>
  <si>
    <t>PRIMARY NARRATIVE - Project Scope and Description</t>
  </si>
  <si>
    <t>B17, B22, B26</t>
  </si>
  <si>
    <t>Narrative streamlined for consistency with OPB methodology.</t>
  </si>
  <si>
    <t>B45</t>
  </si>
  <si>
    <t>Executive Summary Narrative</t>
  </si>
  <si>
    <t>T-2A</t>
  </si>
  <si>
    <t>I19, I36, I53</t>
  </si>
  <si>
    <t>Building Name (Code) - Renovation</t>
  </si>
  <si>
    <t>O74</t>
  </si>
  <si>
    <t>Building Name (Code) - Demolition</t>
  </si>
  <si>
    <t>Rows 76-88</t>
  </si>
  <si>
    <t>Rows 74-76</t>
  </si>
  <si>
    <t>New Elements - demolition project specs can now include up to 3 buildings to be demolished (increased from one)</t>
  </si>
  <si>
    <t>Element replaces former Regents Building Code selection - now building ID for demolition is done by a combination of Building Name and Regents Building Code.</t>
  </si>
  <si>
    <t>F16-F17</t>
  </si>
  <si>
    <t>F17-F19</t>
  </si>
  <si>
    <t>T-3A</t>
  </si>
  <si>
    <t>CM Fees - New Construction</t>
  </si>
  <si>
    <t>CM fees are now split into 3 categories (Precon, CM Fee, CM General Conditions) for better consistency with BOR budgeting methods for implemented projects.  Entry and calculation methods are unchanged.</t>
  </si>
  <si>
    <t>F45-F46</t>
  </si>
  <si>
    <t>F48-F50</t>
  </si>
  <si>
    <t>CM Fees - Renovation</t>
  </si>
  <si>
    <t>Addition of CM Fee component separate from previous field which was combined with CM Preconstruction fees.</t>
  </si>
  <si>
    <t>AE Fees - New Construction</t>
  </si>
  <si>
    <t>F22</t>
  </si>
  <si>
    <t>F23-F25</t>
  </si>
  <si>
    <t>F51</t>
  </si>
  <si>
    <t>F54-F56</t>
  </si>
  <si>
    <t>AE Fees - Renovation</t>
  </si>
  <si>
    <t>AE fees for new construction are now split into 3 categories (Precon, CM Fee, CM General Conditions) for better consistency with BOR budgeting methods for implemented projects.  Entry and calculation methods are unchanged.</t>
  </si>
  <si>
    <t>AE fees for renovation are now split into 3 categories (Precon, CM Fee, CM General Conditions) for better consistency with BOR budgeting methods for implemented projects.  Entry and calculation methods are unchanged.</t>
  </si>
  <si>
    <t>T-3B</t>
  </si>
  <si>
    <t>H69-H70</t>
  </si>
  <si>
    <t>H77-J79</t>
  </si>
  <si>
    <t>Demolition unit costs</t>
  </si>
  <si>
    <t>Phase of Demolition</t>
  </si>
  <si>
    <t>T-3C</t>
  </si>
  <si>
    <t>Rows 91-103</t>
  </si>
  <si>
    <t>Infrastructure GC/CM Fees/Soft Costs</t>
  </si>
  <si>
    <t>Previously consolidated AE basic services field is now expanded into 3 categories (Programming, Design Services, Construction Administration).</t>
  </si>
  <si>
    <t>Project Narrative</t>
  </si>
  <si>
    <t>Text</t>
  </si>
  <si>
    <t>Narrative structure streamlined for consistency with OPB methodology.</t>
  </si>
  <si>
    <t>Non-GO Bond Funds Amounts by Source - Grants/Other</t>
  </si>
  <si>
    <t>Revised element - additional category of NON GO funding added to allow entry of funds from grant sources other than Research ICR/F&amp;A sources.</t>
  </si>
  <si>
    <t>T-4A</t>
  </si>
  <si>
    <t>T-4B</t>
  </si>
  <si>
    <t>I26</t>
  </si>
  <si>
    <t>Large Cap GO Appropriation Method</t>
  </si>
  <si>
    <t>New Element - allows the specification of a single year appropriation method for large cap projects in addition to the default multi-year approach.  NOTE: the single year method will be rare and only acceptable in specific circumstances identified at G28 (when option is selected).</t>
  </si>
  <si>
    <t>Selection of single year option overrides the normative Large Cap 3 year GO funding plan calculations E28-F30).</t>
  </si>
  <si>
    <t>Rows 72-92</t>
  </si>
  <si>
    <t>New Tab</t>
  </si>
  <si>
    <t>FY 23-26 Template Change Summary</t>
  </si>
  <si>
    <t>FY 25-28 Template Change Summary</t>
  </si>
  <si>
    <t>The summary of updates and changes to the FY25-28 Template has been inserted in a new tab to the right of Tab 4.</t>
  </si>
  <si>
    <t>The summary of updates and changes to the FY23-26 Template was moved from the REF tab to a new tab located to the right of the FY25-28 Template Change Summary Tab</t>
  </si>
  <si>
    <t>PROJECT BUDGET</t>
  </si>
  <si>
    <t>Construction Management Delivery Method (CM)</t>
  </si>
  <si>
    <t>Project :</t>
  </si>
  <si>
    <t>Institution:</t>
  </si>
  <si>
    <t>Project No.:</t>
  </si>
  <si>
    <t>Location:</t>
  </si>
  <si>
    <t xml:space="preserve"> </t>
  </si>
  <si>
    <t>Date:</t>
  </si>
  <si>
    <t>Design Professional:</t>
  </si>
  <si>
    <t>Revised:</t>
  </si>
  <si>
    <t>Prog. Mgr.:</t>
  </si>
  <si>
    <t>Constr. Mgr.:</t>
  </si>
  <si>
    <t>Total Construction SF (GSF)</t>
  </si>
  <si>
    <t>Total Construction Cost/GSF</t>
  </si>
  <si>
    <t>A. CONSTRUCTION</t>
  </si>
  <si>
    <t>Construction Cost exclusive of "A" 3 Below</t>
  </si>
  <si>
    <t>Reserve for subsurface conditions - Site Development</t>
  </si>
  <si>
    <t>Total Construction</t>
  </si>
  <si>
    <t>CM Proposed Costs</t>
  </si>
  <si>
    <r>
      <t xml:space="preserve">Preconstruction Services </t>
    </r>
    <r>
      <rPr>
        <i/>
        <sz val="9"/>
        <rFont val="Arial"/>
        <family val="2"/>
      </rPr>
      <t>(Fee, Costs &amp; Expenses) 0.5 - 0.85%</t>
    </r>
  </si>
  <si>
    <r>
      <t xml:space="preserve">CM Fee </t>
    </r>
    <r>
      <rPr>
        <i/>
        <sz val="9"/>
        <rFont val="Arial"/>
        <family val="2"/>
      </rPr>
      <t>(3.5% - 4.5%</t>
    </r>
    <r>
      <rPr>
        <sz val="10"/>
        <rFont val="Arial"/>
        <family val="2"/>
      </rPr>
      <t>)</t>
    </r>
  </si>
  <si>
    <r>
      <t xml:space="preserve">General Conditions </t>
    </r>
    <r>
      <rPr>
        <i/>
        <sz val="9"/>
        <rFont val="Arial"/>
        <family val="2"/>
      </rPr>
      <t>(8% - 9.5%)</t>
    </r>
  </si>
  <si>
    <r>
      <t xml:space="preserve">Total for Construction (referred to as </t>
    </r>
    <r>
      <rPr>
        <b/>
        <sz val="10"/>
        <rFont val="Arial"/>
        <family val="2"/>
      </rPr>
      <t>Stated Cost Limitation</t>
    </r>
    <r>
      <rPr>
        <sz val="10"/>
        <rFont val="Arial"/>
        <family val="2"/>
      </rPr>
      <t>)</t>
    </r>
  </si>
  <si>
    <t>B. PROJECT OVERSIGHT (RCI, PM, ETC.)</t>
  </si>
  <si>
    <t>Program Management Consultant</t>
  </si>
  <si>
    <t>PM Services - Phase I (0.4% - 0.65%)</t>
  </si>
  <si>
    <t>PM Services - Phase II (0.75% - 1%)</t>
  </si>
  <si>
    <t>PM Services - Phase III (0.45 - 0.65%)</t>
  </si>
  <si>
    <r>
      <t xml:space="preserve">Total for Oversight Services </t>
    </r>
    <r>
      <rPr>
        <i/>
        <sz val="9"/>
        <rFont val="Arial"/>
        <family val="2"/>
      </rPr>
      <t>(1.5% - 3%)</t>
    </r>
  </si>
  <si>
    <t>C. ARCHITECTURAL &amp; ENGINEERING SERVICES</t>
  </si>
  <si>
    <t>Basic Design Services</t>
  </si>
  <si>
    <r>
      <t xml:space="preserve">Programming </t>
    </r>
    <r>
      <rPr>
        <i/>
        <sz val="9"/>
        <rFont val="Arial"/>
        <family val="2"/>
      </rPr>
      <t>(Fixed Fee)</t>
    </r>
  </si>
  <si>
    <r>
      <t xml:space="preserve">Design Documents </t>
    </r>
    <r>
      <rPr>
        <i/>
        <sz val="9"/>
        <rFont val="Arial"/>
        <family val="2"/>
      </rPr>
      <t>(Fixed Fee)</t>
    </r>
  </si>
  <si>
    <t>Design Reimbursable Expenses (Fixed Fee)</t>
  </si>
  <si>
    <r>
      <t xml:space="preserve">Basic Construction Administration </t>
    </r>
    <r>
      <rPr>
        <i/>
        <sz val="9"/>
        <rFont val="Arial"/>
        <family val="2"/>
      </rPr>
      <t>(Fixed Fee)</t>
    </r>
    <r>
      <rPr>
        <sz val="10"/>
        <rFont val="Arial"/>
        <family val="2"/>
      </rPr>
      <t xml:space="preserve"> </t>
    </r>
  </si>
  <si>
    <t>CA Reimbursable Expenses (Fixed Fee)</t>
  </si>
  <si>
    <t xml:space="preserve">Special Consultants - Additional Services </t>
  </si>
  <si>
    <t>Lab Consultant</t>
  </si>
  <si>
    <t>Technology/Data/AV/Security</t>
  </si>
  <si>
    <t>Interior Design/FF&amp;E (0.2% -0.25%)</t>
  </si>
  <si>
    <t>Landscape Design (0.1% - 0.2%)</t>
  </si>
  <si>
    <t>Acoustical Design (0.1% - 0.2%)</t>
  </si>
  <si>
    <t>Signage/Wayfinding (0.1% - 0.2%)</t>
  </si>
  <si>
    <t>GA Peaches Documentation (0.05% - 0.1%)</t>
  </si>
  <si>
    <t>Total for A &amp; E Services</t>
  </si>
  <si>
    <t>D. LOOSE EQUIPMENT  (Institution's estimate)</t>
  </si>
  <si>
    <t>Fixtures, Furnishings &amp; Equipment</t>
  </si>
  <si>
    <t>A/V Equip./Network Electronics</t>
  </si>
  <si>
    <t>Total for Loose Equipment</t>
  </si>
  <si>
    <t>E. TESTING, SURVEYS, ETC - Subject to Contingency Allowance</t>
  </si>
  <si>
    <t xml:space="preserve">Engineering Data, Surveys, Matl. Testing, Special Insp.,etc. </t>
  </si>
  <si>
    <t>(1% of "A4" w/ a min. of $6,500 and a max. of $400,000)</t>
  </si>
  <si>
    <t xml:space="preserve">Extra Drawings &amp; Specifications  </t>
  </si>
  <si>
    <r>
      <rPr>
        <sz val="9"/>
        <rFont val="Arial"/>
        <family val="2"/>
      </rPr>
      <t>(0.05% of A4 w/ a</t>
    </r>
    <r>
      <rPr>
        <i/>
        <sz val="9"/>
        <rFont val="Arial"/>
        <family val="2"/>
      </rPr>
      <t xml:space="preserve"> min of $1,000 and a max of $40,000)</t>
    </r>
  </si>
  <si>
    <t>Total for Testing</t>
  </si>
  <si>
    <t>F. OWNER CONTINGENCY ( on Items "A" through "E" )</t>
  </si>
  <si>
    <r>
      <t xml:space="preserve">New Construction - </t>
    </r>
    <r>
      <rPr>
        <i/>
        <sz val="10"/>
        <rFont val="Arial"/>
        <family val="2"/>
      </rPr>
      <t>5%</t>
    </r>
  </si>
  <si>
    <r>
      <t xml:space="preserve">Renovation - </t>
    </r>
    <r>
      <rPr>
        <i/>
        <sz val="10"/>
        <rFont val="Arial"/>
        <family val="2"/>
      </rPr>
      <t>10%</t>
    </r>
  </si>
  <si>
    <r>
      <t xml:space="preserve">Regent's Contingency </t>
    </r>
    <r>
      <rPr>
        <i/>
        <sz val="9"/>
        <rFont val="Arial"/>
        <family val="2"/>
      </rPr>
      <t>(Rounding)</t>
    </r>
  </si>
  <si>
    <t>Total Contingency</t>
  </si>
  <si>
    <t>G. SPECIAL COSTS - Not Subject to Contingency</t>
  </si>
  <si>
    <t>Utility Connection Fees</t>
  </si>
  <si>
    <t>Misc. Expenses (Signage, Locksmith, etc.)</t>
  </si>
  <si>
    <r>
      <t xml:space="preserve">Commissioning </t>
    </r>
    <r>
      <rPr>
        <i/>
        <sz val="10"/>
        <rFont val="Arial"/>
        <family val="2"/>
      </rPr>
      <t>(0.5% - 1.5%)</t>
    </r>
  </si>
  <si>
    <t>Total Other Special Cost</t>
  </si>
  <si>
    <t>H. TOTAL PROJECT COST</t>
  </si>
  <si>
    <t>Funds Available</t>
  </si>
  <si>
    <t>Difference</t>
  </si>
  <si>
    <t xml:space="preserve">Funding Sources: </t>
  </si>
  <si>
    <t>FY 2021 G.O. Bonds (Design)</t>
  </si>
  <si>
    <t>Anticipated FY 2022 G.O. Bonds (Construction)</t>
  </si>
  <si>
    <t>Anticipated FY 2023 G.O.Bonds (Equipment)</t>
  </si>
  <si>
    <t>Institution Funds (Design)</t>
  </si>
  <si>
    <t>Institution Funds (Construction/Equipment)</t>
  </si>
  <si>
    <t>Total Anticipated Funding</t>
  </si>
  <si>
    <t>PM:</t>
  </si>
  <si>
    <t>Note: Revisions to the Project Budget must be approved by the Board of Regents' Office of Facilities.</t>
  </si>
  <si>
    <t>AVC:</t>
  </si>
  <si>
    <t>Basic A&amp;E</t>
  </si>
  <si>
    <t>PROJECT BUDGET TEMPLATE</t>
  </si>
  <si>
    <t>Construction Cost exclusive of A.3 Below</t>
  </si>
  <si>
    <t>Spec Cons</t>
  </si>
  <si>
    <t>Subtotals</t>
  </si>
  <si>
    <r>
      <t xml:space="preserve">New Construction - </t>
    </r>
    <r>
      <rPr>
        <i/>
        <sz val="10"/>
        <rFont val="Arial"/>
        <family val="2"/>
      </rPr>
      <t>5%</t>
    </r>
    <r>
      <rPr>
        <sz val="10"/>
        <rFont val="Arial"/>
        <family val="2"/>
      </rPr>
      <t xml:space="preserve">  Renovation - 10%</t>
    </r>
  </si>
  <si>
    <t>Renov Total</t>
  </si>
  <si>
    <t>BOR Rec FY24?</t>
  </si>
  <si>
    <t>GO Funds SC/LC Single</t>
  </si>
  <si>
    <t>YR2 Norm LC GO Funding</t>
  </si>
  <si>
    <t>YR3 Norm LC GO Funding</t>
  </si>
  <si>
    <t>YR1 Norm LC GO Funding</t>
  </si>
  <si>
    <t>Proj Cost Total</t>
  </si>
  <si>
    <t>Total Renov GSF</t>
  </si>
  <si>
    <t>Base New CC $ GSF</t>
  </si>
  <si>
    <t>Total Base Renov CC $/GSF</t>
  </si>
  <si>
    <t>Subsurf $</t>
  </si>
  <si>
    <t>Abate Reserve $</t>
  </si>
  <si>
    <t>CM Fees % New</t>
  </si>
  <si>
    <t>CM GC Fees % New</t>
  </si>
  <si>
    <t>SCL $ Renov</t>
  </si>
  <si>
    <t>SCL $ New</t>
  </si>
  <si>
    <t>SCL/GSF New</t>
  </si>
  <si>
    <t>SCL/GSF Ren</t>
  </si>
  <si>
    <t>TSC$ New</t>
  </si>
  <si>
    <t>TSC$ Renov</t>
  </si>
  <si>
    <t>TSC% New</t>
  </si>
  <si>
    <t>TSC% Renov</t>
  </si>
  <si>
    <t>TSC$/GSF Renov</t>
  </si>
  <si>
    <t>TSC$/GSF New</t>
  </si>
  <si>
    <t>PROJ OVERSIGHT % New</t>
  </si>
  <si>
    <t>PROJ OVERSIGHT % Renov</t>
  </si>
  <si>
    <t>AE Program% New</t>
  </si>
  <si>
    <t>AE Program% Renov</t>
  </si>
  <si>
    <t>AE Design% New</t>
  </si>
  <si>
    <t>AE Design% Renov</t>
  </si>
  <si>
    <t>AE CA% New</t>
  </si>
  <si>
    <t>AE CA% renov</t>
  </si>
  <si>
    <t>AE Spec % New</t>
  </si>
  <si>
    <t>AE Spec % Renov</t>
  </si>
  <si>
    <t>FFE % New</t>
  </si>
  <si>
    <t>FFE % Renov</t>
  </si>
  <si>
    <t>FFE AV % New</t>
  </si>
  <si>
    <t>FFE AV % Renov</t>
  </si>
  <si>
    <t>Test/Surv % New</t>
  </si>
  <si>
    <t>Test/Surv % Renov</t>
  </si>
  <si>
    <t>Oth SC % New</t>
  </si>
  <si>
    <t>Oth SC % Ren</t>
  </si>
  <si>
    <t>TPC$ New</t>
  </si>
  <si>
    <t>TPC$ Ren</t>
  </si>
  <si>
    <t>TPC$/GSF New</t>
  </si>
  <si>
    <t>TPC$/GSF Renov</t>
  </si>
  <si>
    <t>Renov Proj</t>
  </si>
  <si>
    <t>#1 Demo Tot Cost</t>
  </si>
  <si>
    <t>Inf Park</t>
  </si>
  <si>
    <t xml:space="preserve">Inf Mech   </t>
  </si>
  <si>
    <t>Inf Util</t>
  </si>
  <si>
    <t>Inf Other</t>
  </si>
  <si>
    <t>T-PBT</t>
  </si>
  <si>
    <t>Revised Element - Previously consolidated AE basic services field is now expanded into 3 categories (Programming, Design Services, Construction Administration).</t>
  </si>
  <si>
    <t>Revised Element. Previously consolidated AE basic services field is now expanded into 3 categories (Programming, Design Services, Construction Administration).</t>
  </si>
  <si>
    <t>New Element - the project phase of demolition activities is now specifically identified (design/const/equipment).</t>
  </si>
  <si>
    <t>Allows for more refined splits on the timing of demolition costs and funding by phase depending on the required timing of demolition within the project critical path.</t>
  </si>
  <si>
    <t>Revised Element. Project-level narrative tab has been eliminated and been consolidated into two sections on Tab 1 (see above)</t>
  </si>
  <si>
    <t>Revised Element. Building ID for renovation projects is now done by selecting a combined array of Building Name and Regents Building Code.  Replaces former selection by Regents Building Code only.</t>
  </si>
  <si>
    <t>Revision of drop-down selection menu provides greater user convenience.</t>
  </si>
  <si>
    <t>Revised Element. Executive Summary narrative eliminated.</t>
  </si>
  <si>
    <t>Revised element. Primary Project Justification Narrative consolidated to Tab 1E from multiple sections on former Tab 5 (Importance of Project, Urgency of Project, Impact and Benefits).</t>
  </si>
  <si>
    <t>Revised element. Primary Project Scope and Description Narrative moved from delated Tab 5 to Tab 1.</t>
  </si>
  <si>
    <t>Revised element. Total Project Stated Cost Limitation is now included in the Project Scope and Cost Summary</t>
  </si>
  <si>
    <t xml:space="preserve">New Element. New entry field replaces New Project/Previously Submitted (D18) and GO Bonds Previously Authorized? (Y/N) (I18).  </t>
  </si>
  <si>
    <t>Dropdown menu allows projects recommended by BOR fpr funding the FY24 capital budget (LC Design, LC Construction, and SC funding) and projects not recommended for funding in FY24 to be identified in order to ensure the correct selection array in Proposed FY of GO Bond Construction Funding (J22).</t>
  </si>
  <si>
    <t>Several Project ID fields relocated in redesign of section T-1A: Institution (B7), Campus (F7), Campus Location (I7), Project Name (D10), Instituiton Contact (D13/I13/L13), GO Project Type (B17), Anticipated Delivery Method (J17)</t>
  </si>
  <si>
    <t>Calculated Field</t>
  </si>
  <si>
    <t>Formula reference</t>
  </si>
  <si>
    <t xml:space="preserve">New Element. Estimates and itemization for General Conditions/CM Fees/Soft costs related to infrastructure project elements are now entered/calculated in a manner more similar to new construction and renovation. Previously, those costs were not itemized, and users were advised to include those costs within the base unit cost entry. </t>
  </si>
  <si>
    <t>Base unit costs for parking elements (H85 Structure Parking, H86 Surface Parking) and base construction costs for infrastructure elements (G88 Mechanical, G89 Utilities, and G90 Other Infrastructure) must now be entered exclusive of General Conditions, CM fees, and associated soft costs.  Althought the entry and calculation methodology is similar to New Construction and Renovation, the AE cost array is consolidated due to the less complex array of AE fees common in infrastructure design.</t>
  </si>
  <si>
    <t>New/Updated Features in FY 25-28 USG Capital Project Template</t>
  </si>
  <si>
    <t>Other Camp Location</t>
  </si>
  <si>
    <t>Proposed FY Const Funding</t>
  </si>
  <si>
    <t>Funding Source</t>
  </si>
  <si>
    <t>Non GO Available</t>
  </si>
  <si>
    <t>New Const Data</t>
  </si>
  <si>
    <t>DtaTechInf%</t>
  </si>
  <si>
    <t>Gen Cond %</t>
  </si>
  <si>
    <t>#1 Demo Tot Cost/GSF</t>
  </si>
  <si>
    <t>#2 Demo Tot Cost</t>
  </si>
  <si>
    <t>#3 Demo Tot Cost</t>
  </si>
  <si>
    <t>#3 Demo Disp Cost/GSF</t>
  </si>
  <si>
    <t>#3 Abate Cost/GSF</t>
  </si>
  <si>
    <t>#3 Demo GSF</t>
  </si>
  <si>
    <t>% To be Demo #3</t>
  </si>
  <si>
    <t>Total GSF #3</t>
  </si>
  <si>
    <t>Bldg Name #3</t>
  </si>
  <si>
    <t>Bldg Name #2</t>
  </si>
  <si>
    <t>Total GSF #2</t>
  </si>
  <si>
    <t>% To be Demo #2</t>
  </si>
  <si>
    <t>Demo GSF #2</t>
  </si>
  <si>
    <t>Abate Cost/GSF #2</t>
  </si>
  <si>
    <t>Demo Disp Cost/GSF #2</t>
  </si>
  <si>
    <t>Bldg Name #1</t>
  </si>
  <si>
    <t>% To be Demo #1</t>
  </si>
  <si>
    <t>Total GSF #1</t>
  </si>
  <si>
    <t>Demo GSF #1</t>
  </si>
  <si>
    <t>Abate Cost/GSF #1</t>
  </si>
  <si>
    <t>Demo Disp Cost/GSF #1</t>
  </si>
  <si>
    <t>Year Built #1</t>
  </si>
  <si>
    <t>Year Built #2</t>
  </si>
  <si>
    <t>Year Built #3</t>
  </si>
  <si>
    <t>Hist Status #1</t>
  </si>
  <si>
    <t>Hist Status #2</t>
  </si>
  <si>
    <t>Hist Status #3</t>
  </si>
  <si>
    <t>Total INF Gen Cond %</t>
  </si>
  <si>
    <t>SCL Total Inf</t>
  </si>
  <si>
    <t>Construction Administration</t>
  </si>
  <si>
    <t>Renovation (Total)</t>
  </si>
  <si>
    <t>Renovation (Bldg #1)</t>
  </si>
  <si>
    <t>Renovation (Bldg #2)</t>
  </si>
  <si>
    <t>Renovation (Bldg #3)</t>
  </si>
  <si>
    <t>Subsurface Site Development Reserve</t>
  </si>
  <si>
    <t>Reserve for subsurface conditions (New Const)/Abatement (Renovation)</t>
  </si>
  <si>
    <t>Bldg. Data &amp; Tech Infrastructure</t>
  </si>
  <si>
    <t>Base Construction Cost</t>
  </si>
  <si>
    <t>Subsurface/Abatememt Reserve</t>
  </si>
  <si>
    <t>Const. Cost Exclusive of CM</t>
  </si>
  <si>
    <t>A&amp;E - Design Services (incl reimb)</t>
  </si>
  <si>
    <t>Infrastructure Total</t>
  </si>
  <si>
    <t>Total Special Costs</t>
  </si>
  <si>
    <t>Inf Parking</t>
  </si>
  <si>
    <t>Inf Mechanical</t>
  </si>
  <si>
    <t>Inf Utilities</t>
  </si>
  <si>
    <t>Base Construction Cost - Infrastructure</t>
  </si>
  <si>
    <t>Total Project Component Cost</t>
  </si>
  <si>
    <t>Base CC</t>
  </si>
  <si>
    <t>Sample</t>
  </si>
  <si>
    <t>J-xxx</t>
  </si>
  <si>
    <t>1/10/2023</t>
  </si>
  <si>
    <r>
      <t xml:space="preserve">Basic Construction Administration </t>
    </r>
    <r>
      <rPr>
        <sz val="9"/>
        <rFont val="Arial"/>
        <family val="2"/>
      </rPr>
      <t>Services</t>
    </r>
  </si>
  <si>
    <t>GSF (Const/Renovation)</t>
  </si>
  <si>
    <t>Total New Construction (GSF)</t>
  </si>
  <si>
    <t>Total Renovation (GSF)</t>
  </si>
  <si>
    <t xml:space="preserve">Total Construction (GSF) </t>
  </si>
  <si>
    <t>SCL Cost/GSF</t>
  </si>
  <si>
    <t>A&amp;E - CA Services (incl reimb)</t>
  </si>
  <si>
    <t>Construction SCL/GSF</t>
  </si>
  <si>
    <t>New Const and Renovation Total</t>
  </si>
  <si>
    <t>Project Total (Gross)</t>
  </si>
  <si>
    <t>A&amp;E Total</t>
  </si>
  <si>
    <t>Base Unit Cost/GSF</t>
  </si>
  <si>
    <t>Non GO Bond Sources</t>
  </si>
  <si>
    <t>Total NON GO Bonds</t>
  </si>
  <si>
    <t>Infrastructure Total %</t>
  </si>
  <si>
    <t>New Const and Renovation Total %</t>
  </si>
  <si>
    <t>New Const %</t>
  </si>
  <si>
    <t>Renov (Total) %</t>
  </si>
  <si>
    <t>Multiple Project Component Data</t>
  </si>
  <si>
    <t>Budget Scenario Data</t>
  </si>
  <si>
    <t>Project Total (Gross) %</t>
  </si>
  <si>
    <t>BOR Project Budget Data Template - Base Data Source - Formulas Populate from Template and/or Calculate</t>
  </si>
  <si>
    <t>BOR Project Budget Data Template - Base Data Source and Reference - Formulas Populate from Template and/or Calculate</t>
  </si>
  <si>
    <t>Rows 14-16; 45-47</t>
  </si>
  <si>
    <t>Subsurface and Abatement Reserves</t>
  </si>
  <si>
    <t>Number ($ Values)</t>
  </si>
  <si>
    <t>Reorganization of Subsurface conditions reserve (New construction) and Abatement reserve (renovation) to better simulate BOR project budget format.</t>
  </si>
  <si>
    <t>SCL calculations are unchanged, but some subtotals are calculated differently to simulate BOR budget practice.</t>
  </si>
  <si>
    <t>BOR Project Budget Reference</t>
  </si>
  <si>
    <t>New Feature - BOR Project Budget Template allows a more direct comparison between key template entry fields/calculations and the standard BOR Project Budget Template used for the implementation of funded projects.</t>
  </si>
  <si>
    <t>Reference tab allows comparison of costs among various combinations of project components.</t>
  </si>
  <si>
    <t>Project Total</t>
  </si>
  <si>
    <t>TAB 5- CONSOLIDATED PROJECT COST</t>
  </si>
  <si>
    <t>5A - COST DETAIL - CONSOLIDATED PROJECT</t>
  </si>
  <si>
    <t>Base Unit Construction Cost</t>
  </si>
  <si>
    <t>New Const. - Base Unit Cost</t>
  </si>
  <si>
    <t>Renovation - Base Unit Construction Cost</t>
  </si>
  <si>
    <t>Construction Base Unit Cost - Total</t>
  </si>
  <si>
    <t>Subsurface Site Development Reserve (New Const)</t>
  </si>
  <si>
    <t>Abatement Reserve (Renovation)</t>
  </si>
  <si>
    <t>A &amp; E New / Renov</t>
  </si>
  <si>
    <t>A&amp;E - Total (Infrastructure)</t>
  </si>
  <si>
    <t>Total Project Cost - Consolidated</t>
  </si>
  <si>
    <t>Total Project Cost - Acquisition</t>
  </si>
  <si>
    <t>SCL New Construction</t>
  </si>
  <si>
    <t>SCL Infrastructure</t>
  </si>
  <si>
    <t>SCL Renovation</t>
  </si>
  <si>
    <t>Bldg. Data/Tech. Inf. (New + Renov)</t>
  </si>
  <si>
    <t>New Construction + Renovation</t>
  </si>
  <si>
    <t>Renovation Base Unit Const Cost</t>
  </si>
  <si>
    <t>6% - 8.8%</t>
  </si>
  <si>
    <t>Construction Costs, by Element</t>
  </si>
  <si>
    <t>Infrastructure Const. Costs, by Element</t>
  </si>
  <si>
    <t>Explain high A&amp;E Design fees (&gt;6.5%)</t>
  </si>
  <si>
    <t>FY 2029</t>
  </si>
  <si>
    <t>F106</t>
  </si>
  <si>
    <t>F107</t>
  </si>
  <si>
    <t>F108</t>
  </si>
  <si>
    <t>H110</t>
  </si>
  <si>
    <t>H115</t>
  </si>
  <si>
    <t>H316</t>
  </si>
  <si>
    <t>1025</t>
  </si>
  <si>
    <t>1129</t>
  </si>
  <si>
    <t>1811</t>
  </si>
  <si>
    <t>1812</t>
  </si>
  <si>
    <t>1820</t>
  </si>
  <si>
    <t>2132</t>
  </si>
  <si>
    <t>2267</t>
  </si>
  <si>
    <t>2367</t>
  </si>
  <si>
    <t>3041</t>
  </si>
  <si>
    <t>3042</t>
  </si>
  <si>
    <t>3043</t>
  </si>
  <si>
    <t>3044</t>
  </si>
  <si>
    <t>3213</t>
  </si>
  <si>
    <t>4174</t>
  </si>
  <si>
    <t>4180</t>
  </si>
  <si>
    <t>4181</t>
  </si>
  <si>
    <t>4182</t>
  </si>
  <si>
    <t>4183</t>
  </si>
  <si>
    <t>4184</t>
  </si>
  <si>
    <t>4185</t>
  </si>
  <si>
    <t>4186</t>
  </si>
  <si>
    <t>4187</t>
  </si>
  <si>
    <t>4872</t>
  </si>
  <si>
    <t>4881</t>
  </si>
  <si>
    <t>6505</t>
  </si>
  <si>
    <t>400U</t>
  </si>
  <si>
    <t>0467</t>
  </si>
  <si>
    <t>244A</t>
  </si>
  <si>
    <t>BB</t>
  </si>
  <si>
    <t>S17</t>
  </si>
  <si>
    <t>B103</t>
  </si>
  <si>
    <t>D149</t>
  </si>
  <si>
    <t>D150</t>
  </si>
  <si>
    <t>D151</t>
  </si>
  <si>
    <t>D152</t>
  </si>
  <si>
    <t>D153</t>
  </si>
  <si>
    <t>D154</t>
  </si>
  <si>
    <t>D155</t>
  </si>
  <si>
    <t>D156</t>
  </si>
  <si>
    <t>D25A</t>
  </si>
  <si>
    <t>G028</t>
  </si>
  <si>
    <t>G029</t>
  </si>
  <si>
    <t>G030</t>
  </si>
  <si>
    <t>G031</t>
  </si>
  <si>
    <t>G032</t>
  </si>
  <si>
    <t>G033</t>
  </si>
  <si>
    <t>G034</t>
  </si>
  <si>
    <t>G035</t>
  </si>
  <si>
    <t>G036</t>
  </si>
  <si>
    <t>O10</t>
  </si>
  <si>
    <t>0638</t>
  </si>
  <si>
    <t>0649</t>
  </si>
  <si>
    <t>781 Marietta St.</t>
  </si>
  <si>
    <t>Low-Speed Vehicle Garage</t>
  </si>
  <si>
    <t>Reck Garage</t>
  </si>
  <si>
    <t>Stamps Commons</t>
  </si>
  <si>
    <t>CAFE</t>
  </si>
  <si>
    <t>EXHIBIT HALL</t>
  </si>
  <si>
    <t>600 Means St</t>
  </si>
  <si>
    <t>FULTON STREET PARKING DECK</t>
  </si>
  <si>
    <t>100 EDGEWOOD</t>
  </si>
  <si>
    <t>Athletic Field #1 Shed</t>
  </si>
  <si>
    <t>Athletic Field #2 Shed</t>
  </si>
  <si>
    <t>Christenberry Batting Cage</t>
  </si>
  <si>
    <t>Neurology Center</t>
  </si>
  <si>
    <t>Moore Avenue Clinic</t>
  </si>
  <si>
    <t>907 15th Street</t>
  </si>
  <si>
    <t>939 15th Street</t>
  </si>
  <si>
    <t>1512 Pope Avenue</t>
  </si>
  <si>
    <t>Cardiovascular Health</t>
  </si>
  <si>
    <t>Reprod Med &amp; Infert Assoc.</t>
  </si>
  <si>
    <t>Cntr for Outdoor Rec &amp; Educ.</t>
  </si>
  <si>
    <t>UGA College of Pharmacy</t>
  </si>
  <si>
    <t>Modular Data Center</t>
  </si>
  <si>
    <t>ATHENS PLUMBING BUILDING</t>
  </si>
  <si>
    <t>CEDAR STREET BUILDING B</t>
  </si>
  <si>
    <t>CEDAR STREET BUILDING C</t>
  </si>
  <si>
    <t>CEDAR STREET BUILDING D</t>
  </si>
  <si>
    <t>CEDAR STREET BUILDING A</t>
  </si>
  <si>
    <t>POULTRY SCIENCE BUILDING</t>
  </si>
  <si>
    <t>CENTRAL ZONE SHOP</t>
  </si>
  <si>
    <t>SOFTBALL CLUBHOUSE</t>
  </si>
  <si>
    <t>JACK TURNER TICKET BOOTH</t>
  </si>
  <si>
    <t>TRACK &amp; FIELD RELOCATION &amp; EXP</t>
  </si>
  <si>
    <t>HSC QUARTERS A</t>
  </si>
  <si>
    <t>HSC QUARTERS B</t>
  </si>
  <si>
    <t>HSC MILLER HALL</t>
  </si>
  <si>
    <t>HSC SCOTT HALL</t>
  </si>
  <si>
    <t>HSC GEORGE HALL</t>
  </si>
  <si>
    <t>HSC HUDSON HALL</t>
  </si>
  <si>
    <t>HSC WRIGHT HALL</t>
  </si>
  <si>
    <t>HSC CENTRAL HEATING PLANT</t>
  </si>
  <si>
    <t>HSC FMD</t>
  </si>
  <si>
    <t>HSC WHEELER HALL</t>
  </si>
  <si>
    <t>HSC QUARTERS "A" GARAGE</t>
  </si>
  <si>
    <t>HSC QUARTERS "B" GARAGE</t>
  </si>
  <si>
    <t>HSC CLINICAL  &amp; TRANSLATIONAL</t>
  </si>
  <si>
    <t>HSC UNIV CHILDCARE CTR</t>
  </si>
  <si>
    <t>HSC 105 BOWSTROM RD</t>
  </si>
  <si>
    <t>HSC WAREHOUSE</t>
  </si>
  <si>
    <t>HSC FMD ANNEX</t>
  </si>
  <si>
    <t>HSC DECA OFFICE BLDG</t>
  </si>
  <si>
    <t>HSC 150 GILMORE CIRCLE</t>
  </si>
  <si>
    <t>HSC 151 GILMORE CIRCLE</t>
  </si>
  <si>
    <t>HSC 152 GILMORE CIRCLE</t>
  </si>
  <si>
    <t>HSC 153 GILMORE CIRCLE</t>
  </si>
  <si>
    <t>HSC 154 GILMORE CIRCLE</t>
  </si>
  <si>
    <t>HSC 155 GILMORE CIRCLE</t>
  </si>
  <si>
    <t>HSC 211 KENNY RD</t>
  </si>
  <si>
    <t>HSC 212 KENNY RD</t>
  </si>
  <si>
    <t>HSC 213 KENNY RD</t>
  </si>
  <si>
    <t>HSC 215 KENNY RD</t>
  </si>
  <si>
    <t>HSC 219 KENNY RD</t>
  </si>
  <si>
    <t>HSC 221 KENNY RD</t>
  </si>
  <si>
    <t>HSC HOUSING OCCUPANT STORAGE</t>
  </si>
  <si>
    <t>HSC HOUSING OCCUPANT STRG - NS</t>
  </si>
  <si>
    <t>HSC FIELD HOUSE</t>
  </si>
  <si>
    <t>HSC 109A BOWSTROM RD</t>
  </si>
  <si>
    <t>HSC 217 KENNY ROAD</t>
  </si>
  <si>
    <t>HSC CHEMICAL STORAGE</t>
  </si>
  <si>
    <t>HSC COVERED STORAGE - NSCS # 2</t>
  </si>
  <si>
    <t>WEST CAMPUS PARKING DECK II</t>
  </si>
  <si>
    <t>NEW DINING COMMONS</t>
  </si>
  <si>
    <t>FOOD ANIMAL SUPPORT BUILDING</t>
  </si>
  <si>
    <t>MULTIDISCIPLINARY GREEN HOUSE</t>
  </si>
  <si>
    <t>INTRAMURAL PK DECK</t>
  </si>
  <si>
    <t>SHED &amp; BB SHADE</t>
  </si>
  <si>
    <t>HORT FARM GH #7</t>
  </si>
  <si>
    <t>HORT FARM GH #8</t>
  </si>
  <si>
    <t>HORT FARM GH #9</t>
  </si>
  <si>
    <t>JPC CROP PROCS &amp; DRYING</t>
  </si>
  <si>
    <t>JPC ANIMAL FEED STORAGE 8</t>
  </si>
  <si>
    <t>JPC STRG &amp; CATL SHL 10</t>
  </si>
  <si>
    <t>JPC STG &amp; CATL SHL 12</t>
  </si>
  <si>
    <t>JPC SHOP 13</t>
  </si>
  <si>
    <t>JPC CONSERVATION TILLAGE LAB</t>
  </si>
  <si>
    <t>JPC FIELD POLLINATION STRUCTUR</t>
  </si>
  <si>
    <t>JPC DAWSON POLE BARN</t>
  </si>
  <si>
    <t>JPC WEST UNIT HAY BARN</t>
  </si>
  <si>
    <t>PDRC COLONY HOUSE 1</t>
  </si>
  <si>
    <t>PDRC COLONY HOUSE 4</t>
  </si>
  <si>
    <t>PDRC COLONY HOUSE 5</t>
  </si>
  <si>
    <t>PDRC COLONY HOUSE 6</t>
  </si>
  <si>
    <t>PDRC RESEARCH HATCHERY</t>
  </si>
  <si>
    <t>PDRC COLONY HOUSE 10</t>
  </si>
  <si>
    <t>PDRC COLONY HOUSE 11</t>
  </si>
  <si>
    <t>PDRC COLONY HOUSE 12</t>
  </si>
  <si>
    <t>PDRC COLONY HOUSE 13</t>
  </si>
  <si>
    <t>EAST EQUIPMENT SHELTER</t>
  </si>
  <si>
    <t>STRIPLING EQUIPMENT SHELTER</t>
  </si>
  <si>
    <t>UGA - CREW: CENTER FOR RESEARC</t>
  </si>
  <si>
    <t>Laker Village Bldg 400 Lower</t>
  </si>
  <si>
    <t>Laker Village Bldg 400 Upper</t>
  </si>
  <si>
    <t>Kennedy Hall - Bldgs. A/B</t>
  </si>
  <si>
    <t>Kennedy Hall-Student Activitie</t>
  </si>
  <si>
    <t>Kennedy Hall - Bldgs. C/D</t>
  </si>
  <si>
    <t>Russell Union</t>
  </si>
  <si>
    <t>Custodial Services</t>
  </si>
  <si>
    <t>Carpentry Shop</t>
  </si>
  <si>
    <t>Landscape Services</t>
  </si>
  <si>
    <t>DFS Truck Parking</t>
  </si>
  <si>
    <t>DFS Strorage</t>
  </si>
  <si>
    <t>Health Services</t>
  </si>
  <si>
    <t>Central Warehouse Storage</t>
  </si>
  <si>
    <t>APT Family Training Center</t>
  </si>
  <si>
    <t>Jack &amp; Ruth Ann Hill Convo Ctr</t>
  </si>
  <si>
    <t>Wildlife Center Picnic Shelter</t>
  </si>
  <si>
    <t>Bank Building</t>
  </si>
  <si>
    <t>Health Professions Acad Bldg.</t>
  </si>
  <si>
    <t>ENT Suite</t>
  </si>
  <si>
    <t>Social Science Lab Complex</t>
  </si>
  <si>
    <t>3495 Campus Loop Road</t>
  </si>
  <si>
    <t>3217 Campus Loop Road</t>
  </si>
  <si>
    <t>3207 Campus Loop Road</t>
  </si>
  <si>
    <t>The Summit</t>
  </si>
  <si>
    <t>1111 Chastain Road</t>
  </si>
  <si>
    <t>ELI</t>
  </si>
  <si>
    <t>DA-Hospital</t>
  </si>
  <si>
    <t>BR-Expansion</t>
  </si>
  <si>
    <t>CG - Cumming Academic</t>
  </si>
  <si>
    <t>DA-Baseball Maintenance Garage</t>
  </si>
  <si>
    <t>DA-Green House</t>
  </si>
  <si>
    <t>DA-National Guard Storage</t>
  </si>
  <si>
    <t>DA-Rec Fields Restrooms</t>
  </si>
  <si>
    <t>DA-Rec Fields Storage</t>
  </si>
  <si>
    <t>DA-Soccer Locker Room</t>
  </si>
  <si>
    <t>DA-Hamp Mill Art Annex Shed 1</t>
  </si>
  <si>
    <t>DA-Hamp Mill Art Annex Shed 2</t>
  </si>
  <si>
    <t>DA-MLC Addition</t>
  </si>
  <si>
    <t>DA - Pump House</t>
  </si>
  <si>
    <t>GV-Performing Arts</t>
  </si>
  <si>
    <t>GV-Amphitheater</t>
  </si>
  <si>
    <t>GV-Amphitheater Restrooms</t>
  </si>
  <si>
    <t>GV-Theater Storage</t>
  </si>
  <si>
    <t>GV-Tumbling Creek Classroom</t>
  </si>
  <si>
    <t>GV-Cart Garage</t>
  </si>
  <si>
    <t>GV-Grounds Maint BLDG 1</t>
  </si>
  <si>
    <t>GV-Grounds Maint BLDG 2</t>
  </si>
  <si>
    <t>GV-Equipment Shed 1</t>
  </si>
  <si>
    <t>GV-Equipment Shed 2</t>
  </si>
  <si>
    <t>OC-Warehouse</t>
  </si>
  <si>
    <t>CENTRAL ENERGY PLANT NORTHEAST</t>
  </si>
  <si>
    <t>Agricultural Technology Bldg</t>
  </si>
  <si>
    <t>Beef Unit #2 (Zion Hope Rd.)</t>
  </si>
  <si>
    <t>DATA Farm</t>
  </si>
  <si>
    <t>Willis Still Lab Building</t>
  </si>
  <si>
    <t>Building 100 Science Lecture</t>
  </si>
  <si>
    <t>Building 500 Academic Bldg</t>
  </si>
  <si>
    <t>GIGNILLIAT HALL</t>
  </si>
  <si>
    <t>HEALTH PROFESSIONS BUILDING</t>
  </si>
  <si>
    <t>LORBERBAUM HALL</t>
  </si>
  <si>
    <t>BROWN HALL</t>
  </si>
  <si>
    <t>CAMPUS</t>
  </si>
  <si>
    <t>Savannah</t>
  </si>
  <si>
    <t>Newton</t>
  </si>
  <si>
    <t>Cyber</t>
  </si>
  <si>
    <t>Athens</t>
  </si>
  <si>
    <t>West</t>
  </si>
  <si>
    <t>East</t>
  </si>
  <si>
    <t>Morrow</t>
  </si>
  <si>
    <t>River Park</t>
  </si>
  <si>
    <t>Milledgeville</t>
  </si>
  <si>
    <t>Hinesville</t>
  </si>
  <si>
    <t>Lawrenceville</t>
  </si>
  <si>
    <t>Americus</t>
  </si>
  <si>
    <t>Carrollton</t>
  </si>
  <si>
    <t>Camden Center</t>
  </si>
  <si>
    <t>Brunswick</t>
  </si>
  <si>
    <t>Swainsboro</t>
  </si>
  <si>
    <t>Rome</t>
  </si>
  <si>
    <t>Dallas</t>
  </si>
  <si>
    <t>Barnesville</t>
  </si>
  <si>
    <t>Previous State Funding?</t>
  </si>
  <si>
    <t>FY 2030</t>
  </si>
  <si>
    <t>Large 3YR$</t>
  </si>
  <si>
    <t>Not In FY26 BOR Budget</t>
  </si>
  <si>
    <t>Not in FY26 BOR Budget</t>
  </si>
  <si>
    <t>Large (3 YR $)</t>
  </si>
  <si>
    <t>Large (1 YR $)</t>
  </si>
  <si>
    <t>USG FY 27-30 Capital Plan Project Template - Reference Sheet (DEC 2024)</t>
  </si>
  <si>
    <t>USG CAPITAL PLAN -  FY 27-30 PROJECT TEMPLATE</t>
  </si>
  <si>
    <t>&lt;= $5M</t>
  </si>
  <si>
    <t>&gt; $5M</t>
  </si>
  <si>
    <t>Change GO Project Type or amounts in Project Budget/GO Funding Source!</t>
  </si>
  <si>
    <t>Non-GO funds for design phase must not exceed design costs</t>
  </si>
  <si>
    <t>Non-GO funds for equipment phase must not exceed equip. costs</t>
  </si>
  <si>
    <t>Non-GO funds for construction phase must not exceed const. costs</t>
  </si>
  <si>
    <t>Large (Single-year funding)</t>
  </si>
  <si>
    <t>adjust proposed Project Budget and/or proposed Non-GO funding</t>
  </si>
  <si>
    <t>adjust proposed Project Budget</t>
  </si>
  <si>
    <t>Central Utility Plant</t>
  </si>
  <si>
    <t>Large Cap - GO funds must exceed $5M</t>
  </si>
  <si>
    <t>CM Fee Calcs</t>
  </si>
  <si>
    <t>&lt;5</t>
  </si>
  <si>
    <t>5-10</t>
  </si>
  <si>
    <t>10-15</t>
  </si>
  <si>
    <t>15-20</t>
  </si>
  <si>
    <t>20-30</t>
  </si>
  <si>
    <t>30-40</t>
  </si>
  <si>
    <t>40-50</t>
  </si>
  <si>
    <t>&gt;50</t>
  </si>
  <si>
    <t>New</t>
  </si>
  <si>
    <t>Complex</t>
  </si>
  <si>
    <t>Splits</t>
  </si>
  <si>
    <t>Precon</t>
  </si>
  <si>
    <t>CM Fee %</t>
  </si>
  <si>
    <t>Precon %</t>
  </si>
  <si>
    <t>GC %</t>
  </si>
  <si>
    <t>Precon $</t>
  </si>
  <si>
    <t>GC $</t>
  </si>
  <si>
    <t>CM Fee $</t>
  </si>
  <si>
    <t>CM $ rd</t>
  </si>
  <si>
    <t>New + Renov Totals</t>
  </si>
  <si>
    <t>CM $ calc</t>
  </si>
  <si>
    <t>CM Fee</t>
  </si>
  <si>
    <t>New array</t>
  </si>
  <si>
    <t>INF array</t>
  </si>
  <si>
    <t>Sim SCL</t>
  </si>
  <si>
    <t>New Sum</t>
  </si>
  <si>
    <t>0.2% - 0.8%</t>
  </si>
  <si>
    <t>(range lim net NC%)</t>
  </si>
  <si>
    <t>CM Issue Formulas Col I (removed due to change in method)</t>
  </si>
  <si>
    <t>G93</t>
  </si>
  <si>
    <t>Base Const Cost Sum New+Ren+Inf</t>
  </si>
  <si>
    <t>2% - 4%</t>
  </si>
  <si>
    <t>Ren</t>
  </si>
  <si>
    <t>% ranges</t>
  </si>
  <si>
    <t>4% - 7%</t>
  </si>
  <si>
    <t>2.5% - 4%</t>
  </si>
  <si>
    <t>0.25% - 0.85%</t>
  </si>
  <si>
    <t>0.15% - 0.6%</t>
  </si>
  <si>
    <t>Transposed (not currently in use)</t>
  </si>
  <si>
    <t>Non-GO Funding Sources</t>
  </si>
  <si>
    <t>(Enter approximate % of bldg. GSF to be renovated)</t>
  </si>
  <si>
    <t>Enter % of SF to be demolished:</t>
  </si>
  <si>
    <t>NARRATIVE describing parking infrastructure project element:</t>
  </si>
  <si>
    <t>NARRATIVE describing mechanical infrastructure and systems project element:</t>
  </si>
  <si>
    <r>
      <t>NARRATIVE</t>
    </r>
    <r>
      <rPr>
        <b/>
        <i/>
        <sz val="9"/>
        <rFont val="Arial"/>
        <family val="2"/>
      </rPr>
      <t xml:space="preserve"> describing utility infrastructure project element</t>
    </r>
    <r>
      <rPr>
        <b/>
        <sz val="9"/>
        <rFont val="Arial"/>
        <family val="2"/>
      </rPr>
      <t>:</t>
    </r>
  </si>
  <si>
    <r>
      <t xml:space="preserve">NARRATIVE </t>
    </r>
    <r>
      <rPr>
        <b/>
        <i/>
        <sz val="10"/>
        <rFont val="Arial"/>
        <family val="2"/>
      </rPr>
      <t>describing "other" infrastructure project element</t>
    </r>
  </si>
  <si>
    <r>
      <rPr>
        <b/>
        <sz val="11"/>
        <rFont val="Arial"/>
        <family val="2"/>
      </rPr>
      <t>Building Name (Code)</t>
    </r>
    <r>
      <rPr>
        <b/>
        <sz val="8"/>
        <rFont val="Arial"/>
        <family val="2"/>
      </rPr>
      <t xml:space="preserve"> (Select </t>
    </r>
    <r>
      <rPr>
        <b/>
        <u/>
        <sz val="8"/>
        <rFont val="Arial"/>
        <family val="2"/>
      </rPr>
      <t>FIRST</t>
    </r>
    <r>
      <rPr>
        <b/>
        <sz val="8"/>
        <rFont val="Arial"/>
        <family val="2"/>
      </rPr>
      <t xml:space="preserve"> to load data)</t>
    </r>
  </si>
  <si>
    <t>Proposed GO Bond Funding</t>
  </si>
  <si>
    <t>Enter Proposed Non-GO Funding by Source</t>
  </si>
  <si>
    <t xml:space="preserve">- Enter any proposed non-GO bond funding by funding source                                                                                                                                                                                                                                                                      </t>
  </si>
  <si>
    <t>Inf = NEW</t>
  </si>
  <si>
    <t>Proposed State Funding Range:</t>
  </si>
  <si>
    <t>External - Affiliate Organization</t>
  </si>
  <si>
    <t>Institution - Tuition/Carry Forward</t>
  </si>
  <si>
    <t>Institution - Auxiliary Reserves</t>
  </si>
  <si>
    <t xml:space="preserve">- Enter amount of any funds expended for project preplanning services.                                                                                          </t>
  </si>
  <si>
    <t>- This section is for entry of data and specific narrative about each individual building-related element of the project, including: New Construction; Renovation (of up to three different buildings); and Demolition (of existing building GSF, not interior demolition related to renovation).</t>
  </si>
  <si>
    <r>
      <t xml:space="preserve">- This tab is for the entry of specifications of each individual </t>
    </r>
    <r>
      <rPr>
        <b/>
        <i/>
        <u/>
        <sz val="10"/>
        <color rgb="FF000000"/>
        <rFont val="Arial"/>
        <family val="2"/>
      </rPr>
      <t>element</t>
    </r>
    <r>
      <rPr>
        <b/>
        <i/>
        <sz val="10"/>
        <color rgb="FF000000"/>
        <rFont val="Arial"/>
        <family val="2"/>
      </rPr>
      <t xml:space="preserve"> within a single project, along with narrative specific to that element.                                                           - Narrative pertaining to overall project scope, description and justification is entered in Tab 1 - Project ID &amp; Primary Narrative</t>
    </r>
  </si>
  <si>
    <r>
      <rPr>
        <b/>
        <sz val="8"/>
        <rFont val="Arial"/>
        <family val="2"/>
      </rPr>
      <t>BRIEF NARRATIVE</t>
    </r>
    <r>
      <rPr>
        <b/>
        <sz val="10"/>
        <rFont val="Arial"/>
        <family val="2"/>
      </rPr>
      <t xml:space="preserve"> </t>
    </r>
    <r>
      <rPr>
        <b/>
        <sz val="8"/>
        <rFont val="Arial"/>
        <family val="2"/>
      </rPr>
      <t>specific to New Construction (construction type, special building/space features, target programs and uses, burden factor, etc.)</t>
    </r>
  </si>
  <si>
    <t>- Use this section to identify and describe independent infrastructure projects and/or building-related infrastructure project elements with a scope/cost that are disproportionate to the related new construction/renovation.</t>
  </si>
  <si>
    <t>Complete only for 2nd bldg in renov. scope</t>
  </si>
  <si>
    <t>Complete only for 3nd bldg in renov. scope</t>
  </si>
  <si>
    <t>Total State Funds</t>
  </si>
  <si>
    <t>Total Non State Funds</t>
  </si>
  <si>
    <t>Renov - Total Bldg GSF</t>
  </si>
  <si>
    <t>Renov Scope GSF</t>
  </si>
  <si>
    <t>Summary</t>
  </si>
  <si>
    <t>State Funds Yr 3 (FY29)</t>
  </si>
  <si>
    <t>pull to Extract Z1</t>
  </si>
  <si>
    <t>Match?</t>
  </si>
  <si>
    <t>Label</t>
  </si>
  <si>
    <t>Label (Fixed)</t>
  </si>
  <si>
    <t>Formula</t>
  </si>
  <si>
    <t>Col Pull</t>
  </si>
  <si>
    <t>N</t>
  </si>
  <si>
    <t>H/J</t>
  </si>
  <si>
    <t>*</t>
  </si>
  <si>
    <t>PA</t>
  </si>
  <si>
    <t>Proj Type</t>
  </si>
  <si>
    <t>Plan FY Const. Funding</t>
  </si>
  <si>
    <t>CUSTOM</t>
  </si>
  <si>
    <t>Fixed</t>
  </si>
  <si>
    <t>renov yr blt NOT USED</t>
  </si>
  <si>
    <t>syst renew gsf NOT USED</t>
  </si>
  <si>
    <t>Notes for 5/23/23 discussion - Key Large Cap staff engagement needs highlighted in yellow.</t>
  </si>
  <si>
    <t>Notes 3/28</t>
  </si>
  <si>
    <t>Campus questions</t>
  </si>
  <si>
    <t>FY25 view</t>
  </si>
  <si>
    <t>YR 1st St $$$ req?</t>
  </si>
  <si>
    <t>Campus Concat</t>
  </si>
  <si>
    <t>Alloc Summary</t>
  </si>
  <si>
    <t>tf1</t>
  </si>
  <si>
    <t>tf2</t>
  </si>
  <si>
    <t>tf3</t>
  </si>
  <si>
    <t>name 2</t>
  </si>
  <si>
    <t>Source.Name</t>
  </si>
  <si>
    <t>Revised Template</t>
  </si>
  <si>
    <t>Tot Funds = Proj Cost</t>
  </si>
  <si>
    <t>Fees/Costs?</t>
  </si>
  <si>
    <t>Total GO Bonds REQ</t>
  </si>
  <si>
    <t>Sort</t>
  </si>
  <si>
    <t>ORIG</t>
  </si>
  <si>
    <t>Sort Copy</t>
  </si>
  <si>
    <t>Components</t>
  </si>
  <si>
    <t>tf5</t>
  </si>
  <si>
    <t>27 LC Format</t>
  </si>
  <si>
    <t>28 LC Format</t>
  </si>
  <si>
    <t>29 LC Format</t>
  </si>
  <si>
    <t>27 Prop Total Format</t>
  </si>
  <si>
    <t>28 Prop Total Format</t>
  </si>
  <si>
    <t>29 Prop Total Format</t>
  </si>
  <si>
    <t>tf6</t>
  </si>
  <si>
    <t>t/f7</t>
  </si>
  <si>
    <t>Cont %2</t>
  </si>
  <si>
    <t>Comm%3</t>
  </si>
  <si>
    <t>Burden4</t>
  </si>
  <si>
    <t>Bldg Name/Code5</t>
  </si>
  <si>
    <t>Hist?6</t>
  </si>
  <si>
    <t>Prim Space Fcn7</t>
  </si>
  <si>
    <t>Bldg GSF8</t>
  </si>
  <si>
    <t>Renov %9</t>
  </si>
  <si>
    <t>Renov GSF10</t>
  </si>
  <si>
    <t>Burden11</t>
  </si>
  <si>
    <t>Renov ASF12</t>
  </si>
  <si>
    <t>Base Cost$/GSF13</t>
  </si>
  <si>
    <t>Bldg Name/Code14</t>
  </si>
  <si>
    <t>Hist?15</t>
  </si>
  <si>
    <t>Prim Space Fcn16</t>
  </si>
  <si>
    <t>Bldg GSF17</t>
  </si>
  <si>
    <t>Burden18</t>
  </si>
  <si>
    <t>Renov GSF19</t>
  </si>
  <si>
    <t>Burden20</t>
  </si>
  <si>
    <t>Renov ASF21</t>
  </si>
  <si>
    <t>Base Cost$/GSF22</t>
  </si>
  <si>
    <t>Bldg GSF23</t>
  </si>
  <si>
    <t>ASF 10024</t>
  </si>
  <si>
    <t>ASF 21125</t>
  </si>
  <si>
    <t>ASF 25026</t>
  </si>
  <si>
    <t>ASF 30027</t>
  </si>
  <si>
    <t>ASF 40028</t>
  </si>
  <si>
    <t>ASF 50029</t>
  </si>
  <si>
    <t>ASF 60030</t>
  </si>
  <si>
    <t>ASF 70031</t>
  </si>
  <si>
    <t>ASF 80032</t>
  </si>
  <si>
    <t>ASF 90033</t>
  </si>
  <si>
    <t>ASF 10034</t>
  </si>
  <si>
    <t>ASF 21135</t>
  </si>
  <si>
    <t>ASF 25036</t>
  </si>
  <si>
    <t>ASF 30037</t>
  </si>
  <si>
    <t>ASF 40038</t>
  </si>
  <si>
    <t>ASF 50039</t>
  </si>
  <si>
    <t>ASF 60040</t>
  </si>
  <si>
    <t>ASF 70041</t>
  </si>
  <si>
    <t>ASF 80042</t>
  </si>
  <si>
    <t>ASF 90043</t>
  </si>
  <si>
    <t>ASF 10044</t>
  </si>
  <si>
    <t>ASF 21145</t>
  </si>
  <si>
    <t>ASF 25046</t>
  </si>
  <si>
    <t>ASF 30047</t>
  </si>
  <si>
    <t>ASF 40048</t>
  </si>
  <si>
    <t>ASF 50049</t>
  </si>
  <si>
    <t>ASF 60050</t>
  </si>
  <si>
    <t>ASF 70051</t>
  </si>
  <si>
    <t>ASF 80052</t>
  </si>
  <si>
    <t>ASF 90053</t>
  </si>
  <si>
    <t>Column232</t>
  </si>
  <si>
    <t>Blank 1</t>
  </si>
  <si>
    <t>Blank 2</t>
  </si>
  <si>
    <t>SUPP NAME</t>
  </si>
  <si>
    <t>Name Val Formula</t>
  </si>
  <si>
    <t>FY 2031</t>
  </si>
  <si>
    <t>FY28 GO LC MY</t>
  </si>
  <si>
    <t>FY29 GO LC MY</t>
  </si>
  <si>
    <t>FY30 GO LC MY</t>
  </si>
  <si>
    <t>Total LC MY GO</t>
  </si>
  <si>
    <t>FY27 GO SY</t>
  </si>
  <si>
    <t>FY28 GO SY</t>
  </si>
  <si>
    <t>FY29 GO SY</t>
  </si>
  <si>
    <t>FY30 GO SY</t>
  </si>
  <si>
    <t>Total SY GO Bonds</t>
  </si>
  <si>
    <t>FY 3032</t>
  </si>
  <si>
    <t>&lt;&gt;"Large (3 YR $)"</t>
  </si>
  <si>
    <t>Val Form</t>
  </si>
  <si>
    <t>Paste Val</t>
  </si>
  <si>
    <t>`</t>
  </si>
  <si>
    <t>FY27 GO LC MY REQ</t>
  </si>
  <si>
    <t>FY28 GO LC MY REQ</t>
  </si>
  <si>
    <t>FY29 GO LC MY REQ</t>
  </si>
  <si>
    <t>FY30 GO LC MY REQ</t>
  </si>
  <si>
    <t>FY31 GO LC MY REQ</t>
  </si>
  <si>
    <t>FY32 GO LC MY REQ</t>
  </si>
  <si>
    <t>Total LC MY GO REQ</t>
  </si>
  <si>
    <t>FY27 GO SY REQ</t>
  </si>
  <si>
    <t>FY28 GO SY REQ</t>
  </si>
  <si>
    <t>FY29 GO SY REQ</t>
  </si>
  <si>
    <t>FY30 GO SY REQ</t>
  </si>
  <si>
    <t>FY31 GO SY REQ</t>
  </si>
  <si>
    <t>Total SY GO Bonds REQ</t>
  </si>
  <si>
    <t>30 LC Format</t>
  </si>
  <si>
    <t>31 LC Format</t>
  </si>
  <si>
    <t>32 LC Format</t>
  </si>
  <si>
    <t>27 SY Format</t>
  </si>
  <si>
    <t>28 SY Format</t>
  </si>
  <si>
    <t>29 SY Format</t>
  </si>
  <si>
    <t>30 SY Format</t>
  </si>
  <si>
    <t>31 SY Format</t>
  </si>
  <si>
    <t>30 Prop Total Format</t>
  </si>
  <si>
    <t>31 Prop Total Format</t>
  </si>
  <si>
    <t>32 Prop Total Format</t>
  </si>
  <si>
    <t>BOR Rec FY26?</t>
  </si>
  <si>
    <t>Base $ New</t>
  </si>
  <si>
    <t>Base $ Renov</t>
  </si>
  <si>
    <t>Explain high GC cost ratio (&gt;6%)</t>
  </si>
  <si>
    <t>Total INF Base $</t>
  </si>
  <si>
    <t>ad117:af117</t>
  </si>
  <si>
    <t>category2</t>
  </si>
  <si>
    <t>Single-year LC funding should only be for atypical projects that: a) can be designed in significantly less than a year; and b) have no FFE component.  These requests require explanation and justification in Tab 4 (4C)</t>
  </si>
  <si>
    <t>Grants/Other (describe)</t>
  </si>
  <si>
    <t>Notes on Prioritization and GO Bond Funding Schedule                                                                             1. Assign project priority numbers sequentially within Large and Small project groups                                                   2. Do not duplicate project priority numbers within Large and Small project groups                                                                            3. Avoid GO funds for more than one large cap construction appropriation per FY                                                                                4. Avoid GO funds for more than one small cap appropriation per FY</t>
  </si>
  <si>
    <t>ERROR - select eligible funding FY</t>
  </si>
  <si>
    <t>1B - PROPOSED PRIORITY ORDER AND CONSTRUCTION FUNDING SCHEDULE</t>
  </si>
  <si>
    <t>5% - 8%</t>
  </si>
  <si>
    <t>3% - 6%</t>
  </si>
  <si>
    <t>Approp Method</t>
  </si>
  <si>
    <t>Project Type/Funding</t>
  </si>
  <si>
    <t>GO Funds SC/LC Single Yr</t>
  </si>
  <si>
    <t>ERROR LC&lt;$5 M</t>
  </si>
  <si>
    <t>ERROR SC&gt;5M</t>
  </si>
  <si>
    <t>Error FY GO Funding</t>
  </si>
  <si>
    <t>Explain high Test/Survey cost ratio (&gt;2%)</t>
  </si>
  <si>
    <t>0.75% - 1.5%</t>
  </si>
  <si>
    <t>Error Non GO design  phase</t>
  </si>
  <si>
    <t>Error Non GO const phase</t>
  </si>
  <si>
    <t>Error Non GO equip  phase</t>
  </si>
  <si>
    <t>Error Non GO Phase Totals</t>
  </si>
  <si>
    <t xml:space="preserve">- Proposed GO Bond Funding is calculated automatically based on Non-GO funding entry                                                                                                                                                                                                         </t>
  </si>
  <si>
    <t>Paste from BN1</t>
  </si>
  <si>
    <t>a.</t>
  </si>
  <si>
    <t>b.</t>
  </si>
  <si>
    <t>Large Cap funding method is now selected on Tab 1 (F17)</t>
  </si>
  <si>
    <t>GO BOND FUNDING TOTAL</t>
  </si>
  <si>
    <t>CM - Total CM Fees</t>
  </si>
  <si>
    <t>c.</t>
  </si>
  <si>
    <t>A separate template workbook must be completed and saved for each individual project.</t>
  </si>
  <si>
    <t>d.</t>
  </si>
  <si>
    <t>Project Information For FY 27-30 Capital Plan Summary Document (Copy C4:O4 and Paste "Special - Values" into Summary)</t>
  </si>
  <si>
    <t>1xx</t>
  </si>
  <si>
    <t>3xx</t>
  </si>
  <si>
    <t>4xx</t>
  </si>
  <si>
    <t>5xx</t>
  </si>
  <si>
    <t>6xx</t>
  </si>
  <si>
    <t>7xx</t>
  </si>
  <si>
    <t>8xx</t>
  </si>
  <si>
    <t>9xx</t>
  </si>
  <si>
    <t>250-255</t>
  </si>
  <si>
    <t>In FY26 BOR Budget</t>
  </si>
  <si>
    <t>New construction narrative entry</t>
  </si>
  <si>
    <t>Demolition narrative entry</t>
  </si>
  <si>
    <r>
      <t xml:space="preserve">    </t>
    </r>
    <r>
      <rPr>
        <b/>
        <i/>
        <u/>
        <sz val="10"/>
        <rFont val="Arial"/>
        <family val="2"/>
      </rPr>
      <t>Example:</t>
    </r>
    <r>
      <rPr>
        <b/>
        <sz val="10"/>
        <rFont val="Arial"/>
        <family val="2"/>
      </rPr>
      <t xml:space="preserve">       UGA_27-30_LC-1_Poultry_Science_Ph2.xlsx</t>
    </r>
  </si>
  <si>
    <t>Reference + Summary Copy</t>
  </si>
  <si>
    <t>TAB 1 - Project ID &amp; Primary Narrative</t>
  </si>
  <si>
    <t>TAB 3 - Project Cost</t>
  </si>
  <si>
    <t>CM fees (where relevant) are now calculated automatically based on project characteristics and size (Tab 3 G17:G19; G48:G50; G93:G95)</t>
  </si>
  <si>
    <t>Total proposed GO Bonds (Tab 4 F19) is now automatically calculated based on total project budget and entry of Non-GO funding sources</t>
  </si>
  <si>
    <t>Previous State Funding selection has been removed from Tab 1 - any project in BOR recommendation for FY26 funding does not require a new template</t>
  </si>
  <si>
    <t>Detailed information about FY 27-30 template and BOR capital plan/budget processes are available on the USG REF website.</t>
  </si>
  <si>
    <r>
      <t xml:space="preserve">Save each individual project template for submission in the following format:  </t>
    </r>
    <r>
      <rPr>
        <b/>
        <sz val="10"/>
        <rFont val="Arial"/>
        <family val="2"/>
      </rPr>
      <t xml:space="preserve"> </t>
    </r>
    <r>
      <rPr>
        <sz val="10"/>
        <rFont val="Arial"/>
        <family val="2"/>
      </rPr>
      <t xml:space="preserve"> </t>
    </r>
    <r>
      <rPr>
        <b/>
        <sz val="10"/>
        <rFont val="Arial"/>
        <family val="2"/>
      </rPr>
      <t>InstAcronym_27-30_Priority#_Short_Project_Name.xlsx</t>
    </r>
  </si>
  <si>
    <t>Complete data entry on Tab 1 before proceeding to later tabs (supplemental document reference can be done later)</t>
  </si>
  <si>
    <t>Institution - Appropriated Funds</t>
  </si>
  <si>
    <t>SCL$/GSF</t>
  </si>
  <si>
    <t>FY26 GO SY</t>
  </si>
  <si>
    <t>FY26 GO LC MY</t>
  </si>
  <si>
    <t>FY27 GO LC MY</t>
  </si>
  <si>
    <t>State Funds YR -1 (FY26)</t>
  </si>
  <si>
    <t>State Funds YR -2 (FY25)</t>
  </si>
  <si>
    <t>State Funds Yr 1 (FY27)</t>
  </si>
  <si>
    <t>State Funds Yr 2 (FY28)</t>
  </si>
  <si>
    <t xml:space="preserve">State Funds Yr 4 (FY30) </t>
  </si>
  <si>
    <t xml:space="preserve">State Funds Yr 5 (FY31) </t>
  </si>
  <si>
    <t>FY31 GO LC MY (equip)</t>
  </si>
  <si>
    <t>FY25 GO LC MY</t>
  </si>
  <si>
    <t>Primary Changes in FY 27-30 Capital Project Template:</t>
  </si>
  <si>
    <t>Paste from BO1</t>
  </si>
  <si>
    <t>Paste from BP1</t>
  </si>
  <si>
    <t>Primary Narrative -  Project Scope and Description</t>
  </si>
  <si>
    <t>Primary Narrative - Project Justification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</si>
</sst>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2" formatCode="_(&quot;$&quot;* #,##0_);_(&quot;$&quot;* \(#,##0\);_(&quot;$&quot;* &quot;-&quot;_);_(@_)"/>
    <numFmt numFmtId="164" formatCode="0.0%"/>
    <numFmt numFmtId="165" formatCode="&quot;$&quot;#,##0"/>
    <numFmt numFmtId="166" formatCode="&quot;$&quot;#,##0.00"/>
    <numFmt numFmtId="167" formatCode="#,##0.0"/>
    <numFmt numFmtId="168" formatCode="&quot;$&quot;\ #0.0,,&quot; M&quot;"/>
    <numFmt numFmtId="169" formatCode="0.000%"/>
  </numFmts>
  <fonts count="98">
    <font>
      <sz val="10"/>
      <name val="Arial"/>
    </font>
    <font>
      <sz val="8"/>
      <name val="Arial"/>
      <family val="2"/>
    </font>
    <font>
      <b/>
      <sz val="12"/>
      <name val="Arial"/>
      <family val="2"/>
    </font>
    <font>
      <sz val="12"/>
      <name val="Arial"/>
      <family val="2"/>
    </font>
    <font>
      <b/>
      <sz val="11"/>
      <name val="Arial"/>
      <family val="2"/>
    </font>
    <font>
      <b/>
      <sz val="9"/>
      <name val="Arial"/>
      <family val="2"/>
    </font>
    <font>
      <sz val="10"/>
      <name val="Arial"/>
      <family val="2"/>
    </font>
    <font>
      <b/>
      <sz val="10"/>
      <name val="Arial"/>
      <family val="2"/>
    </font>
    <font>
      <sz val="8"/>
      <name val="Arial"/>
      <family val="2"/>
    </font>
    <font>
      <b/>
      <i/>
      <sz val="10"/>
      <name val="Arial"/>
      <family val="2"/>
    </font>
    <font>
      <b/>
      <sz val="8"/>
      <name val="Arial"/>
      <family val="2"/>
    </font>
    <font>
      <b/>
      <sz val="14"/>
      <name val="Arial"/>
      <family val="2"/>
    </font>
    <font>
      <u/>
      <sz val="10"/>
      <color indexed="12"/>
      <name val="Arial"/>
      <family val="2"/>
    </font>
    <font>
      <b/>
      <sz val="16"/>
      <name val="Arial"/>
      <family val="2"/>
    </font>
    <font>
      <sz val="11"/>
      <name val="Arial"/>
      <family val="2"/>
    </font>
    <font>
      <i/>
      <sz val="10"/>
      <name val="Arial"/>
      <family val="2"/>
    </font>
    <font>
      <i/>
      <sz val="8"/>
      <name val="Arial"/>
      <family val="2"/>
    </font>
    <font>
      <sz val="9"/>
      <name val="Arial"/>
      <family val="2"/>
    </font>
    <font>
      <i/>
      <sz val="9"/>
      <name val="Arial"/>
      <family val="2"/>
    </font>
    <font>
      <b/>
      <i/>
      <sz val="9"/>
      <name val="Arial"/>
      <family val="2"/>
    </font>
    <font>
      <sz val="10"/>
      <name val="Arial"/>
      <family val="2"/>
    </font>
    <font>
      <sz val="10"/>
      <color theme="0" tint="-0.14999847407452621"/>
      <name val="Arial"/>
      <family val="2"/>
    </font>
    <font>
      <u/>
      <sz val="12"/>
      <name val="Arial"/>
      <family val="2"/>
    </font>
    <font>
      <b/>
      <u/>
      <sz val="12"/>
      <name val="Arial"/>
      <family val="2"/>
    </font>
    <font>
      <u/>
      <sz val="10"/>
      <name val="Arial"/>
      <family val="2"/>
    </font>
    <font>
      <b/>
      <sz val="13"/>
      <name val="Arial"/>
      <family val="2"/>
    </font>
    <font>
      <b/>
      <sz val="9"/>
      <color rgb="FFC00000"/>
      <name val="Arial"/>
      <family val="2"/>
    </font>
    <font>
      <sz val="7"/>
      <color theme="0"/>
      <name val="Arial"/>
      <family val="2"/>
    </font>
    <font>
      <sz val="10"/>
      <color theme="0"/>
      <name val="Arial"/>
      <family val="2"/>
    </font>
    <font>
      <sz val="8"/>
      <color rgb="FFC00000"/>
      <name val="Arial"/>
      <family val="2"/>
    </font>
    <font>
      <b/>
      <i/>
      <sz val="8"/>
      <name val="Arial"/>
      <family val="2"/>
    </font>
    <font>
      <b/>
      <sz val="8"/>
      <color rgb="FFC00000"/>
      <name val="Arial"/>
      <family val="2"/>
    </font>
    <font>
      <b/>
      <sz val="7"/>
      <name val="Arial"/>
      <family val="2"/>
    </font>
    <font>
      <b/>
      <i/>
      <sz val="12"/>
      <name val="Arial"/>
      <family val="2"/>
    </font>
    <font>
      <sz val="10"/>
      <color rgb="FFC00000"/>
      <name val="Arial"/>
      <family val="2"/>
    </font>
    <font>
      <sz val="10"/>
      <color theme="0" tint="-0.34998626667073579"/>
      <name val="Arial"/>
      <family val="2"/>
    </font>
    <font>
      <b/>
      <u/>
      <sz val="8"/>
      <name val="Arial"/>
      <family val="2"/>
    </font>
    <font>
      <b/>
      <i/>
      <sz val="8"/>
      <color rgb="FFC00000"/>
      <name val="Arial"/>
      <family val="2"/>
    </font>
    <font>
      <b/>
      <i/>
      <sz val="10"/>
      <color rgb="FFC00000"/>
      <name val="Arial"/>
      <family val="2"/>
    </font>
    <font>
      <b/>
      <sz val="8"/>
      <color theme="0" tint="-0.34998626667073579"/>
      <name val="Arial"/>
      <family val="2"/>
    </font>
    <font>
      <u/>
      <sz val="10"/>
      <color theme="0"/>
      <name val="Arial"/>
      <family val="2"/>
    </font>
    <font>
      <b/>
      <i/>
      <u/>
      <sz val="10"/>
      <name val="Arial"/>
      <family val="2"/>
    </font>
    <font>
      <sz val="10"/>
      <color theme="0" tint="-0.249977111117893"/>
      <name val="Arial"/>
      <family val="2"/>
    </font>
    <font>
      <u/>
      <sz val="10"/>
      <color theme="0" tint="-0.249977111117893"/>
      <name val="Arial"/>
      <family val="2"/>
    </font>
    <font>
      <b/>
      <sz val="8"/>
      <color theme="0" tint="-0.249977111117893"/>
      <name val="Arial"/>
      <family val="2"/>
    </font>
    <font>
      <b/>
      <u/>
      <sz val="8"/>
      <color theme="0" tint="-0.249977111117893"/>
      <name val="Arial"/>
      <family val="2"/>
    </font>
    <font>
      <sz val="7"/>
      <color theme="0" tint="-0.249977111117893"/>
      <name val="Arial"/>
      <family val="2"/>
    </font>
    <font>
      <i/>
      <sz val="7"/>
      <color theme="0" tint="-0.249977111117893"/>
      <name val="Arial"/>
      <family val="2"/>
    </font>
    <font>
      <sz val="12"/>
      <color theme="0" tint="-0.249977111117893"/>
      <name val="Arial"/>
      <family val="2"/>
    </font>
    <font>
      <u/>
      <sz val="12"/>
      <color theme="0" tint="-0.249977111117893"/>
      <name val="Arial"/>
      <family val="2"/>
    </font>
    <font>
      <i/>
      <sz val="9"/>
      <color theme="0" tint="-0.249977111117893"/>
      <name val="Arial"/>
      <family val="2"/>
    </font>
    <font>
      <sz val="10"/>
      <color theme="1" tint="0.499984740745262"/>
      <name val="Arial"/>
      <family val="2"/>
    </font>
    <font>
      <sz val="10"/>
      <color theme="1" tint="0.34998626667073579"/>
      <name val="Arial"/>
      <family val="2"/>
    </font>
    <font>
      <b/>
      <sz val="10"/>
      <color theme="1" tint="0.34998626667073579"/>
      <name val="Arial"/>
      <family val="2"/>
    </font>
    <font>
      <b/>
      <sz val="12"/>
      <color theme="1" tint="0.34998626667073579"/>
      <name val="Arial"/>
      <family val="2"/>
    </font>
    <font>
      <sz val="9"/>
      <color theme="1" tint="0.499984740745262"/>
      <name val="Arial"/>
      <family val="2"/>
    </font>
    <font>
      <sz val="7"/>
      <color theme="1" tint="0.34998626667073579"/>
      <name val="Arial"/>
      <family val="2"/>
    </font>
    <font>
      <sz val="9"/>
      <color theme="0" tint="-0.34998626667073579"/>
      <name val="Arial"/>
      <family val="2"/>
    </font>
    <font>
      <b/>
      <sz val="12"/>
      <color rgb="FFC00000"/>
      <name val="Arial"/>
      <family val="2"/>
    </font>
    <font>
      <b/>
      <sz val="11"/>
      <color rgb="FFC00000"/>
      <name val="Arial"/>
      <family val="2"/>
    </font>
    <font>
      <b/>
      <sz val="10"/>
      <color theme="0"/>
      <name val="Arial"/>
      <family val="2"/>
    </font>
    <font>
      <b/>
      <sz val="10"/>
      <color rgb="FFC00000"/>
      <name val="Arial"/>
      <family val="2"/>
    </font>
    <font>
      <sz val="14"/>
      <name val="Arial"/>
      <family val="2"/>
    </font>
    <font>
      <sz val="12"/>
      <color rgb="FFC00000"/>
      <name val="Arial"/>
      <family val="2"/>
    </font>
    <font>
      <b/>
      <i/>
      <sz val="9"/>
      <color theme="6" tint="-0.249977111117893"/>
      <name val="Arial"/>
      <family val="2"/>
    </font>
    <font>
      <i/>
      <sz val="9"/>
      <color theme="6" tint="-0.249977111117893"/>
      <name val="Arial"/>
      <family val="2"/>
    </font>
    <font>
      <b/>
      <sz val="10"/>
      <color theme="1"/>
      <name val="Calibri"/>
      <family val="2"/>
      <scheme val="minor"/>
    </font>
    <font>
      <sz val="10"/>
      <color theme="1"/>
      <name val="Calibri"/>
      <family val="2"/>
      <scheme val="minor"/>
    </font>
    <font>
      <b/>
      <sz val="9"/>
      <color theme="1"/>
      <name val="Calibri"/>
      <family val="2"/>
      <scheme val="minor"/>
    </font>
    <font>
      <sz val="9"/>
      <color theme="1"/>
      <name val="Calibri"/>
      <family val="2"/>
      <scheme val="minor"/>
    </font>
    <font>
      <sz val="10"/>
      <name val="Calibri"/>
      <family val="2"/>
      <scheme val="minor"/>
    </font>
    <font>
      <sz val="7"/>
      <name val="Arial"/>
      <family val="2"/>
    </font>
    <font>
      <b/>
      <sz val="8.5"/>
      <name val="Arial"/>
      <family val="2"/>
    </font>
    <font>
      <sz val="8.5"/>
      <name val="Arial"/>
      <family val="2"/>
    </font>
    <font>
      <b/>
      <sz val="24"/>
      <name val="Arial"/>
      <family val="2"/>
    </font>
    <font>
      <b/>
      <i/>
      <sz val="10"/>
      <color rgb="FF000000"/>
      <name val="Arial"/>
      <family val="2"/>
    </font>
    <font>
      <u/>
      <sz val="8"/>
      <color rgb="FFC00000"/>
      <name val="Arial"/>
      <family val="2"/>
    </font>
    <font>
      <b/>
      <sz val="8"/>
      <name val="Calibri"/>
      <family val="2"/>
      <scheme val="minor"/>
    </font>
    <font>
      <sz val="8"/>
      <color theme="1" tint="0.34998626667073579"/>
      <name val="Arial"/>
      <family val="2"/>
    </font>
    <font>
      <b/>
      <sz val="10"/>
      <color rgb="FFFF0000"/>
      <name val="Arial"/>
      <family val="2"/>
    </font>
    <font>
      <b/>
      <sz val="10"/>
      <color indexed="10"/>
      <name val="Arial"/>
      <family val="2"/>
    </font>
    <font>
      <sz val="10"/>
      <color indexed="10"/>
      <name val="Arial"/>
      <family val="2"/>
    </font>
    <font>
      <i/>
      <sz val="9"/>
      <color rgb="FFFF0000"/>
      <name val="Arial"/>
      <family val="2"/>
    </font>
    <font>
      <sz val="8"/>
      <color indexed="49"/>
      <name val="Arial"/>
      <family val="2"/>
    </font>
    <font>
      <sz val="10"/>
      <name val="Arial Unicode MS"/>
    </font>
    <font>
      <sz val="13"/>
      <name val="Arial"/>
      <family val="2"/>
    </font>
    <font>
      <sz val="10"/>
      <color theme="1"/>
      <name val="Arial"/>
      <family val="2"/>
    </font>
    <font>
      <sz val="10"/>
      <color theme="0" tint="-0.499984740745262"/>
      <name val="Arial"/>
      <family val="2"/>
    </font>
    <font>
      <b/>
      <sz val="8"/>
      <color theme="1" tint="0.34998626667073579"/>
      <name val="Arial"/>
      <family val="2"/>
    </font>
    <font>
      <b/>
      <i/>
      <u/>
      <sz val="10"/>
      <color rgb="FF000000"/>
      <name val="Arial"/>
      <family val="2"/>
    </font>
    <font>
      <sz val="8"/>
      <color theme="0"/>
      <name val="Arial"/>
      <family val="2"/>
    </font>
    <font>
      <sz val="9"/>
      <name val="Calibri"/>
      <family val="2"/>
      <scheme val="minor"/>
    </font>
    <font>
      <sz val="10"/>
      <color theme="0"/>
      <name val="Calibri"/>
      <family val="2"/>
      <scheme val="minor"/>
    </font>
    <font>
      <sz val="8"/>
      <name val="Calibri"/>
      <family val="2"/>
      <scheme val="minor"/>
    </font>
    <font>
      <sz val="6"/>
      <name val="Arial"/>
      <family val="2"/>
    </font>
    <font>
      <i/>
      <sz val="10"/>
      <color rgb="FFC00000"/>
      <name val="Arial"/>
      <family val="2"/>
    </font>
    <font>
      <sz val="6"/>
      <color theme="0"/>
      <name val="Arial"/>
      <family val="2"/>
    </font>
    <font>
      <b/>
      <sz val="10"/>
      <color indexed="9"/>
      <name val="Arial"/>
      <family val="2"/>
    </font>
  </fonts>
  <fills count="37">
    <fill>
      <patternFill patternType="none"/>
    </fill>
    <fill>
      <patternFill patternType="gray125"/>
    </fill>
    <fill>
      <patternFill patternType="solid">
        <fgColor indexed="42"/>
        <bgColor indexed="64"/>
      </patternFill>
    </fill>
    <fill>
      <patternFill patternType="solid">
        <fgColor indexed="10"/>
        <bgColor indexed="64"/>
      </patternFill>
    </fill>
    <fill>
      <patternFill patternType="solid">
        <fgColor indexed="46"/>
        <bgColor indexed="64"/>
      </patternFill>
    </fill>
    <fill>
      <patternFill patternType="solid">
        <fgColor indexed="21"/>
        <bgColor indexed="64"/>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59996337778862885"/>
        <bgColor indexed="64"/>
      </patternFill>
    </fill>
    <fill>
      <patternFill patternType="solid">
        <fgColor rgb="FFF8EBA0"/>
        <bgColor indexed="64"/>
      </patternFill>
    </fill>
    <fill>
      <patternFill patternType="lightUp">
        <fgColor theme="6" tint="-0.24994659260841701"/>
        <bgColor theme="6" tint="0.79995117038483843"/>
      </patternFill>
    </fill>
    <fill>
      <patternFill patternType="solid">
        <fgColor rgb="FFFFFFCC"/>
        <bgColor indexed="64"/>
      </patternFill>
    </fill>
    <fill>
      <patternFill patternType="solid">
        <fgColor rgb="FFF8FFA0"/>
        <bgColor indexed="64"/>
      </patternFill>
    </fill>
    <fill>
      <patternFill patternType="solid">
        <fgColor theme="0"/>
        <bgColor auto="1"/>
      </patternFill>
    </fill>
    <fill>
      <patternFill patternType="solid">
        <fgColor rgb="FFF8EBA0"/>
        <bgColor auto="1"/>
      </patternFill>
    </fill>
    <fill>
      <patternFill patternType="solid">
        <fgColor auto="1"/>
        <bgColor indexed="64"/>
      </patternFill>
    </fill>
    <fill>
      <patternFill patternType="solid">
        <fgColor auto="1"/>
        <bgColor theme="6" tint="-0.24994659260841701"/>
      </patternFill>
    </fill>
    <fill>
      <patternFill patternType="solid">
        <fgColor theme="3" tint="0.79998168889431442"/>
        <bgColor indexed="64"/>
      </patternFill>
    </fill>
    <fill>
      <patternFill patternType="solid">
        <fgColor indexed="4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8EBA0"/>
        <bgColor theme="6" tint="-0.24994659260841701"/>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2" tint="-9.9978637043366805E-2"/>
        <bgColor indexed="64"/>
      </patternFill>
    </fill>
    <fill>
      <patternFill patternType="solid">
        <fgColor rgb="FFFF99FF"/>
        <bgColor indexed="64"/>
      </patternFill>
    </fill>
    <fill>
      <patternFill patternType="solid">
        <fgColor rgb="FFFF0000"/>
        <bgColor indexed="64"/>
      </patternFill>
    </fill>
    <fill>
      <patternFill patternType="solid">
        <fgColor rgb="FF3366FF"/>
        <bgColor indexed="64"/>
      </patternFill>
    </fill>
    <fill>
      <patternFill patternType="solid">
        <fgColor rgb="FF00B0F0"/>
        <bgColor indexed="64"/>
      </patternFill>
    </fill>
    <fill>
      <patternFill patternType="darkUp">
        <fgColor theme="6" tint="-0.24994659260841701"/>
        <bgColor theme="0"/>
      </patternFill>
    </fill>
  </fills>
  <borders count="1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auto="1"/>
      </right>
      <top style="thin">
        <color indexed="64"/>
      </top>
      <bottom style="medium">
        <color auto="1"/>
      </bottom>
      <diagonal/>
    </border>
    <border>
      <left style="thin">
        <color indexed="64"/>
      </left>
      <right style="medium">
        <color auto="1"/>
      </right>
      <top style="medium">
        <color auto="1"/>
      </top>
      <bottom style="thin">
        <color indexed="64"/>
      </bottom>
      <diagonal/>
    </border>
    <border>
      <left/>
      <right style="thick">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auto="1"/>
      </right>
      <top style="thin">
        <color indexed="64"/>
      </top>
      <bottom style="thin">
        <color indexed="64"/>
      </bottom>
      <diagonal/>
    </border>
    <border>
      <left/>
      <right/>
      <top style="thin">
        <color indexed="64"/>
      </top>
      <bottom style="medium">
        <color indexed="64"/>
      </bottom>
      <diagonal/>
    </border>
    <border>
      <left style="medium">
        <color indexed="64"/>
      </left>
      <right style="thick">
        <color auto="1"/>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ck">
        <color indexed="64"/>
      </left>
      <right/>
      <top style="medium">
        <color indexed="64"/>
      </top>
      <bottom style="medium">
        <color indexed="64"/>
      </bottom>
      <diagonal/>
    </border>
    <border>
      <left/>
      <right style="medium">
        <color auto="1"/>
      </right>
      <top style="thin">
        <color indexed="64"/>
      </top>
      <bottom/>
      <diagonal/>
    </border>
    <border>
      <left style="medium">
        <color indexed="64"/>
      </left>
      <right/>
      <top style="thin">
        <color indexed="64"/>
      </top>
      <bottom/>
      <diagonal/>
    </border>
    <border>
      <left style="thick">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thick">
        <color indexed="64"/>
      </left>
      <right/>
      <top/>
      <bottom/>
      <diagonal/>
    </border>
    <border>
      <left style="medium">
        <color theme="1" tint="0.499984740745262"/>
      </left>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style="medium">
        <color theme="1" tint="0.499984740745262"/>
      </right>
      <top style="medium">
        <color theme="1" tint="0.499984740745262"/>
      </top>
      <bottom/>
      <diagonal/>
    </border>
    <border>
      <left/>
      <right style="medium">
        <color theme="1" tint="0.499984740745262"/>
      </right>
      <top style="hair">
        <color indexed="64"/>
      </top>
      <bottom style="hair">
        <color indexed="64"/>
      </bottom>
      <diagonal/>
    </border>
    <border>
      <left style="medium">
        <color theme="1" tint="0.499984740745262"/>
      </left>
      <right style="medium">
        <color indexed="64"/>
      </right>
      <top style="hair">
        <color indexed="64"/>
      </top>
      <bottom style="hair">
        <color indexed="64"/>
      </bottom>
      <diagonal/>
    </border>
    <border>
      <left style="medium">
        <color theme="1" tint="0.499984740745262"/>
      </left>
      <right style="medium">
        <color indexed="64"/>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indexed="64"/>
      </right>
      <top style="hair">
        <color indexed="64"/>
      </top>
      <bottom style="thick">
        <color theme="1" tint="0.499984740745262"/>
      </bottom>
      <diagonal/>
    </border>
    <border>
      <left/>
      <right style="medium">
        <color theme="1" tint="0.499984740745262"/>
      </right>
      <top style="hair">
        <color indexed="64"/>
      </top>
      <bottom style="thick">
        <color theme="1" tint="0.499984740745262"/>
      </bottom>
      <diagonal/>
    </border>
    <border>
      <left style="medium">
        <color theme="1" tint="0.499984740745262"/>
      </left>
      <right style="medium">
        <color indexed="64"/>
      </right>
      <top/>
      <bottom style="hair">
        <color indexed="64"/>
      </bottom>
      <diagonal/>
    </border>
    <border>
      <left/>
      <right style="medium">
        <color theme="1" tint="0.499984740745262"/>
      </right>
      <top/>
      <bottom style="hair">
        <color indexed="64"/>
      </bottom>
      <diagonal/>
    </border>
    <border>
      <left style="medium">
        <color theme="1" tint="0.499984740745262"/>
      </left>
      <right style="medium">
        <color indexed="64"/>
      </right>
      <top style="thick">
        <color theme="1" tint="0.499984740745262"/>
      </top>
      <bottom style="hair">
        <color theme="1" tint="0.499984740745262"/>
      </bottom>
      <diagonal/>
    </border>
    <border>
      <left/>
      <right style="medium">
        <color theme="1" tint="0.499984740745262"/>
      </right>
      <top style="thick">
        <color theme="1" tint="0.499984740745262"/>
      </top>
      <bottom style="hair">
        <color theme="1" tint="0.499984740745262"/>
      </bottom>
      <diagonal/>
    </border>
    <border>
      <left style="medium">
        <color theme="1" tint="0.499984740745262"/>
      </left>
      <right style="medium">
        <color indexed="64"/>
      </right>
      <top style="thick">
        <color theme="1" tint="0.499984740745262"/>
      </top>
      <bottom style="medium">
        <color theme="1" tint="0.499984740745262"/>
      </bottom>
      <diagonal/>
    </border>
    <border>
      <left/>
      <right style="medium">
        <color theme="1" tint="0.499984740745262"/>
      </right>
      <top style="thick">
        <color theme="1" tint="0.499984740745262"/>
      </top>
      <bottom style="medium">
        <color theme="1" tint="0.499984740745262"/>
      </bottom>
      <diagonal/>
    </border>
    <border>
      <left style="medium">
        <color theme="1" tint="0.499984740745262"/>
      </left>
      <right style="medium">
        <color indexed="64"/>
      </right>
      <top style="medium">
        <color theme="1" tint="0.499984740745262"/>
      </top>
      <bottom style="thick">
        <color theme="1" tint="0.499984740745262"/>
      </bottom>
      <diagonal/>
    </border>
    <border>
      <left/>
      <right style="medium">
        <color theme="1" tint="0.499984740745262"/>
      </right>
      <top style="medium">
        <color theme="1" tint="0.499984740745262"/>
      </top>
      <bottom style="thick">
        <color theme="1" tint="0.499984740745262"/>
      </bottom>
      <diagonal/>
    </border>
    <border>
      <left/>
      <right style="medium">
        <color theme="1" tint="0.499984740745262"/>
      </right>
      <top/>
      <bottom/>
      <diagonal/>
    </border>
    <border>
      <left/>
      <right style="medium">
        <color theme="1" tint="0.499984740745262"/>
      </right>
      <top/>
      <bottom style="medium">
        <color theme="1" tint="0.499984740745262"/>
      </bottom>
      <diagonal/>
    </border>
    <border>
      <left style="medium">
        <color indexed="64"/>
      </left>
      <right style="thick">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auto="1"/>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auto="1"/>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top/>
      <bottom style="thin">
        <color indexed="8"/>
      </bottom>
      <diagonal/>
    </border>
    <border>
      <left/>
      <right/>
      <top style="thin">
        <color indexed="8"/>
      </top>
      <bottom/>
      <diagonal/>
    </border>
    <border>
      <left/>
      <right/>
      <top style="thin">
        <color indexed="8"/>
      </top>
      <bottom style="thin">
        <color indexed="8"/>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medium">
        <color indexed="64"/>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medium">
        <color indexed="64"/>
      </left>
      <right/>
      <top style="thin">
        <color indexed="64"/>
      </top>
      <bottom/>
      <diagonal/>
    </border>
    <border>
      <left style="medium">
        <color indexed="64"/>
      </left>
      <right style="thin">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diagonal/>
    </border>
    <border>
      <left style="thin">
        <color indexed="64"/>
      </left>
      <right style="medium">
        <color indexed="64"/>
      </right>
      <top style="thin">
        <color auto="1"/>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right/>
      <top style="thick">
        <color auto="1"/>
      </top>
      <bottom/>
      <diagonal/>
    </border>
    <border>
      <left/>
      <right/>
      <top/>
      <bottom style="thick">
        <color auto="1"/>
      </bottom>
      <diagonal/>
    </border>
    <border>
      <left style="medium">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auto="1"/>
      </left>
      <right style="thin">
        <color auto="1"/>
      </right>
      <top/>
      <bottom style="thin">
        <color auto="1"/>
      </bottom>
      <diagonal/>
    </border>
    <border>
      <left style="medium">
        <color indexed="64"/>
      </left>
      <right/>
      <top style="medium">
        <color rgb="FFFFCC00"/>
      </top>
      <bottom/>
      <diagonal/>
    </border>
    <border>
      <left/>
      <right/>
      <top style="medium">
        <color rgb="FFFFCC00"/>
      </top>
      <bottom/>
      <diagonal/>
    </border>
    <border>
      <left style="thin">
        <color auto="1"/>
      </left>
      <right style="thin">
        <color auto="1"/>
      </right>
      <top style="medium">
        <color rgb="FFFFCC00"/>
      </top>
      <bottom style="thin">
        <color auto="1"/>
      </bottom>
      <diagonal/>
    </border>
    <border>
      <left/>
      <right style="medium">
        <color indexed="64"/>
      </right>
      <top style="medium">
        <color rgb="FFFFCC00"/>
      </top>
      <bottom/>
      <diagonal/>
    </border>
    <border>
      <left style="medium">
        <color indexed="64"/>
      </left>
      <right/>
      <top/>
      <bottom style="medium">
        <color rgb="FFFFCC00"/>
      </bottom>
      <diagonal/>
    </border>
    <border>
      <left/>
      <right/>
      <top/>
      <bottom style="medium">
        <color rgb="FFFFCC00"/>
      </bottom>
      <diagonal/>
    </border>
    <border>
      <left style="thin">
        <color auto="1"/>
      </left>
      <right style="thin">
        <color auto="1"/>
      </right>
      <top style="thin">
        <color auto="1"/>
      </top>
      <bottom style="medium">
        <color rgb="FFFFCC00"/>
      </bottom>
      <diagonal/>
    </border>
    <border>
      <left/>
      <right style="medium">
        <color indexed="64"/>
      </right>
      <top/>
      <bottom style="medium">
        <color rgb="FFFFCC00"/>
      </bottom>
      <diagonal/>
    </border>
    <border>
      <left style="thin">
        <color auto="1"/>
      </left>
      <right style="thin">
        <color auto="1"/>
      </right>
      <top style="medium">
        <color rgb="FFFFC000"/>
      </top>
      <bottom style="thin">
        <color auto="1"/>
      </bottom>
      <diagonal/>
    </border>
    <border>
      <left style="thin">
        <color auto="1"/>
      </left>
      <right style="thin">
        <color auto="1"/>
      </right>
      <top style="thin">
        <color auto="1"/>
      </top>
      <bottom style="medium">
        <color rgb="FFFFC000"/>
      </bottom>
      <diagonal/>
    </border>
    <border>
      <left style="thick">
        <color rgb="FFFF0000"/>
      </left>
      <right/>
      <top/>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s>
  <cellStyleXfs count="3">
    <xf numFmtId="0" fontId="0" fillId="0" borderId="0"/>
    <xf numFmtId="0" fontId="12" fillId="0" borderId="0" applyNumberFormat="0" applyFill="0" applyBorder="0" applyAlignment="0" applyProtection="0">
      <alignment vertical="top"/>
      <protection locked="0"/>
    </xf>
    <xf numFmtId="165" fontId="1" fillId="0" borderId="0"/>
  </cellStyleXfs>
  <cellXfs count="1787">
    <xf numFmtId="0" fontId="0" fillId="0" borderId="0" xfId="0"/>
    <xf numFmtId="0" fontId="7" fillId="0" borderId="0" xfId="0" applyFont="1"/>
    <xf numFmtId="0" fontId="0" fillId="0" borderId="0" xfId="0" applyProtection="1">
      <protection locked="0"/>
    </xf>
    <xf numFmtId="0" fontId="6" fillId="0" borderId="0" xfId="0" applyFont="1"/>
    <xf numFmtId="0" fontId="24" fillId="0" borderId="0" xfId="0" applyFont="1"/>
    <xf numFmtId="0" fontId="0" fillId="0" borderId="0" xfId="0" applyAlignment="1">
      <alignment vertical="center"/>
    </xf>
    <xf numFmtId="0" fontId="14" fillId="0" borderId="0" xfId="0" applyFont="1" applyAlignment="1">
      <alignment horizontal="left" vertical="top" wrapText="1"/>
    </xf>
    <xf numFmtId="0" fontId="0" fillId="7" borderId="0" xfId="0" applyFill="1"/>
    <xf numFmtId="0" fontId="6" fillId="7" borderId="0" xfId="0" applyFont="1" applyFill="1"/>
    <xf numFmtId="0" fontId="5" fillId="7" borderId="0" xfId="0" applyFont="1" applyFill="1"/>
    <xf numFmtId="0" fontId="17" fillId="7" borderId="0" xfId="0" applyFont="1" applyFill="1"/>
    <xf numFmtId="0" fontId="18" fillId="7" borderId="0" xfId="0" quotePrefix="1" applyFont="1" applyFill="1" applyAlignment="1">
      <alignment vertical="top"/>
    </xf>
    <xf numFmtId="0" fontId="0" fillId="7" borderId="0" xfId="0" applyFill="1" applyAlignment="1">
      <alignment vertical="center"/>
    </xf>
    <xf numFmtId="0" fontId="5" fillId="7" borderId="0" xfId="0" applyFont="1" applyFill="1" applyAlignment="1">
      <alignment vertical="center"/>
    </xf>
    <xf numFmtId="0" fontId="17" fillId="7" borderId="0" xfId="0" applyFont="1" applyFill="1" applyAlignment="1">
      <alignment vertical="center"/>
    </xf>
    <xf numFmtId="0" fontId="7" fillId="0" borderId="12" xfId="0" applyFont="1" applyBorder="1" applyAlignment="1">
      <alignment horizontal="center" vertical="center" wrapText="1"/>
    </xf>
    <xf numFmtId="0" fontId="11" fillId="7" borderId="0" xfId="0" applyFont="1" applyFill="1" applyAlignment="1">
      <alignment vertical="center"/>
    </xf>
    <xf numFmtId="0" fontId="35" fillId="0" borderId="0" xfId="0" applyFont="1"/>
    <xf numFmtId="0" fontId="10" fillId="0" borderId="0" xfId="0" applyFont="1"/>
    <xf numFmtId="0" fontId="13" fillId="7" borderId="0" xfId="0" applyFont="1" applyFill="1" applyAlignment="1">
      <alignment vertical="center"/>
    </xf>
    <xf numFmtId="0" fontId="2" fillId="7" borderId="0" xfId="0" applyFont="1" applyFill="1"/>
    <xf numFmtId="0" fontId="2" fillId="7" borderId="0" xfId="0" applyFont="1" applyFill="1" applyAlignment="1">
      <alignment horizontal="right" vertical="center" wrapText="1"/>
    </xf>
    <xf numFmtId="0" fontId="2" fillId="7" borderId="0" xfId="0" applyFont="1" applyFill="1" applyAlignment="1">
      <alignment horizontal="right" vertical="center"/>
    </xf>
    <xf numFmtId="0" fontId="39" fillId="0" borderId="0" xfId="0" applyFont="1"/>
    <xf numFmtId="0" fontId="8" fillId="0" borderId="1" xfId="0" applyFont="1" applyBorder="1"/>
    <xf numFmtId="0" fontId="10" fillId="7" borderId="0" xfId="0" quotePrefix="1" applyFont="1" applyFill="1" applyAlignment="1">
      <alignment vertical="center"/>
    </xf>
    <xf numFmtId="0" fontId="30" fillId="7" borderId="0" xfId="0" applyFont="1" applyFill="1" applyAlignment="1">
      <alignment vertical="top"/>
    </xf>
    <xf numFmtId="0" fontId="0" fillId="7" borderId="0" xfId="0" applyFill="1" applyAlignment="1">
      <alignment vertical="top"/>
    </xf>
    <xf numFmtId="0" fontId="0" fillId="0" borderId="9" xfId="0" applyBorder="1"/>
    <xf numFmtId="0" fontId="0" fillId="0" borderId="10" xfId="0" applyBorder="1"/>
    <xf numFmtId="0" fontId="5" fillId="7" borderId="0" xfId="0" applyFont="1" applyFill="1" applyAlignment="1">
      <alignment vertical="top"/>
    </xf>
    <xf numFmtId="0" fontId="11" fillId="7" borderId="0" xfId="0" applyFont="1" applyFill="1"/>
    <xf numFmtId="0" fontId="0" fillId="7" borderId="0" xfId="0" applyFill="1" applyAlignment="1">
      <alignment wrapText="1"/>
    </xf>
    <xf numFmtId="0" fontId="22" fillId="0" borderId="0" xfId="0" applyFont="1"/>
    <xf numFmtId="0" fontId="7" fillId="0" borderId="0" xfId="0" applyFont="1" applyAlignment="1">
      <alignment horizontal="right" vertical="center" indent="1"/>
    </xf>
    <xf numFmtId="0" fontId="24" fillId="0" borderId="28" xfId="0" applyFont="1" applyBorder="1"/>
    <xf numFmtId="0" fontId="3" fillId="0" borderId="0" xfId="0" applyFont="1"/>
    <xf numFmtId="0" fontId="24" fillId="0" borderId="0" xfId="0" applyFont="1" applyAlignment="1">
      <alignment vertical="center"/>
    </xf>
    <xf numFmtId="0" fontId="7" fillId="0" borderId="13" xfId="0" applyFont="1" applyBorder="1" applyAlignment="1">
      <alignment vertical="center"/>
    </xf>
    <xf numFmtId="0" fontId="7" fillId="0" borderId="0" xfId="0" applyFont="1" applyAlignment="1">
      <alignment horizontal="left" vertical="center"/>
    </xf>
    <xf numFmtId="0" fontId="0" fillId="7" borderId="39" xfId="0" applyFill="1" applyBorder="1"/>
    <xf numFmtId="0" fontId="0" fillId="7" borderId="2" xfId="0" applyFill="1" applyBorder="1"/>
    <xf numFmtId="3" fontId="27" fillId="7" borderId="0" xfId="0" applyNumberFormat="1" applyFont="1" applyFill="1"/>
    <xf numFmtId="3" fontId="20" fillId="7" borderId="0" xfId="0" applyNumberFormat="1" applyFont="1" applyFill="1"/>
    <xf numFmtId="3" fontId="20" fillId="7" borderId="38" xfId="0" applyNumberFormat="1" applyFont="1" applyFill="1" applyBorder="1" applyAlignment="1">
      <alignment horizontal="center"/>
    </xf>
    <xf numFmtId="0" fontId="11" fillId="0" borderId="9" xfId="0" applyFont="1" applyBorder="1" applyAlignment="1">
      <alignment vertical="center"/>
    </xf>
    <xf numFmtId="0" fontId="5" fillId="0" borderId="13" xfId="0" applyFont="1" applyBorder="1" applyAlignment="1">
      <alignment vertical="center"/>
    </xf>
    <xf numFmtId="0" fontId="17" fillId="0" borderId="9" xfId="0" applyFont="1" applyBorder="1"/>
    <xf numFmtId="0" fontId="17" fillId="0" borderId="7" xfId="0" applyFont="1" applyBorder="1"/>
    <xf numFmtId="0" fontId="0" fillId="0" borderId="8" xfId="0" applyBorder="1"/>
    <xf numFmtId="0" fontId="5" fillId="0" borderId="10" xfId="0" applyFont="1" applyBorder="1" applyAlignment="1">
      <alignment horizontal="right" vertical="center"/>
    </xf>
    <xf numFmtId="0" fontId="7" fillId="0" borderId="10" xfId="0" applyFont="1" applyBorder="1" applyAlignment="1">
      <alignment vertical="center"/>
    </xf>
    <xf numFmtId="0" fontId="6" fillId="0" borderId="4" xfId="0" applyFont="1" applyBorder="1" applyAlignment="1">
      <alignment vertical="center"/>
    </xf>
    <xf numFmtId="0" fontId="6" fillId="0" borderId="10" xfId="0" applyFont="1" applyBorder="1" applyAlignment="1">
      <alignment vertical="center"/>
    </xf>
    <xf numFmtId="0" fontId="7" fillId="0" borderId="0" xfId="0" applyFont="1" applyAlignment="1">
      <alignment vertical="center"/>
    </xf>
    <xf numFmtId="0" fontId="6" fillId="0" borderId="6" xfId="0" applyFont="1" applyBorder="1" applyAlignment="1">
      <alignment vertical="center"/>
    </xf>
    <xf numFmtId="165" fontId="6" fillId="0" borderId="3" xfId="0" applyNumberFormat="1" applyFont="1" applyBorder="1" applyAlignment="1">
      <alignment vertical="center"/>
    </xf>
    <xf numFmtId="165" fontId="6" fillId="0" borderId="2" xfId="0" applyNumberFormat="1" applyFont="1" applyBorder="1" applyAlignment="1">
      <alignment vertical="center"/>
    </xf>
    <xf numFmtId="0" fontId="8" fillId="0" borderId="6" xfId="0" applyFont="1" applyBorder="1" applyAlignment="1">
      <alignment horizontal="center" vertical="center"/>
    </xf>
    <xf numFmtId="9" fontId="8" fillId="0" borderId="10" xfId="0" quotePrefix="1" applyNumberFormat="1" applyFont="1" applyBorder="1" applyAlignment="1">
      <alignment horizontal="center" vertical="center"/>
    </xf>
    <xf numFmtId="0" fontId="7" fillId="0" borderId="10" xfId="0" applyFont="1" applyBorder="1"/>
    <xf numFmtId="0" fontId="6" fillId="0" borderId="0" xfId="0" applyFont="1" applyAlignment="1">
      <alignment vertical="center"/>
    </xf>
    <xf numFmtId="0" fontId="10" fillId="0" borderId="15" xfId="0" applyFont="1" applyBorder="1" applyAlignment="1">
      <alignment horizontal="center" vertical="center" wrapText="1"/>
    </xf>
    <xf numFmtId="0" fontId="10" fillId="0" borderId="28" xfId="0" applyFont="1" applyBorder="1" applyAlignment="1">
      <alignment horizontal="center" vertical="center" wrapText="1"/>
    </xf>
    <xf numFmtId="0" fontId="6" fillId="0" borderId="38" xfId="0" applyFont="1" applyBorder="1" applyAlignment="1">
      <alignment vertical="center"/>
    </xf>
    <xf numFmtId="0" fontId="6" fillId="0" borderId="32" xfId="0" applyFont="1" applyBorder="1" applyAlignment="1">
      <alignment vertical="center"/>
    </xf>
    <xf numFmtId="0" fontId="13" fillId="0" borderId="0" xfId="0" applyFont="1" applyAlignment="1">
      <alignment vertical="top"/>
    </xf>
    <xf numFmtId="0" fontId="0" fillId="0" borderId="12" xfId="0" applyBorder="1"/>
    <xf numFmtId="0" fontId="2" fillId="11" borderId="12" xfId="0" applyFont="1" applyFill="1" applyBorder="1" applyAlignment="1">
      <alignment horizontal="center" vertical="center"/>
    </xf>
    <xf numFmtId="0" fontId="7" fillId="11" borderId="12" xfId="0" applyFont="1" applyFill="1" applyBorder="1" applyAlignment="1">
      <alignment horizontal="center" vertical="center"/>
    </xf>
    <xf numFmtId="0" fontId="5" fillId="11" borderId="12" xfId="0" applyFont="1" applyFill="1" applyBorder="1" applyAlignment="1">
      <alignment horizontal="center" vertical="center"/>
    </xf>
    <xf numFmtId="3" fontId="17" fillId="11" borderId="12" xfId="0" applyNumberFormat="1" applyFont="1" applyFill="1" applyBorder="1"/>
    <xf numFmtId="3" fontId="5" fillId="11" borderId="12" xfId="0" applyNumberFormat="1" applyFont="1" applyFill="1" applyBorder="1" applyAlignment="1">
      <alignment vertical="center"/>
    </xf>
    <xf numFmtId="164" fontId="5" fillId="11" borderId="12" xfId="0" applyNumberFormat="1" applyFont="1" applyFill="1" applyBorder="1" applyAlignment="1">
      <alignment vertical="center"/>
    </xf>
    <xf numFmtId="9" fontId="17" fillId="11" borderId="12" xfId="0" applyNumberFormat="1" applyFont="1" applyFill="1" applyBorder="1"/>
    <xf numFmtId="0" fontId="7" fillId="11" borderId="9" xfId="0" applyFont="1" applyFill="1" applyBorder="1" applyAlignment="1">
      <alignment horizontal="left" vertical="center" indent="1"/>
    </xf>
    <xf numFmtId="3" fontId="7" fillId="11" borderId="12" xfId="0" applyNumberFormat="1" applyFont="1" applyFill="1" applyBorder="1" applyAlignment="1">
      <alignment vertical="center"/>
    </xf>
    <xf numFmtId="165" fontId="6" fillId="11" borderId="12" xfId="0" applyNumberFormat="1" applyFont="1" applyFill="1" applyBorder="1" applyAlignment="1">
      <alignment vertical="center"/>
    </xf>
    <xf numFmtId="165" fontId="7" fillId="11" borderId="12" xfId="0" applyNumberFormat="1" applyFont="1" applyFill="1" applyBorder="1" applyAlignment="1">
      <alignment vertical="center"/>
    </xf>
    <xf numFmtId="164" fontId="7" fillId="11" borderId="9" xfId="0" applyNumberFormat="1" applyFont="1" applyFill="1" applyBorder="1" applyAlignment="1">
      <alignment vertical="center"/>
    </xf>
    <xf numFmtId="165" fontId="6" fillId="11" borderId="14" xfId="1" applyNumberFormat="1" applyFont="1" applyFill="1" applyBorder="1" applyAlignment="1" applyProtection="1">
      <alignment vertical="center"/>
    </xf>
    <xf numFmtId="165" fontId="6" fillId="11" borderId="14" xfId="0" applyNumberFormat="1" applyFont="1" applyFill="1" applyBorder="1" applyAlignment="1">
      <alignment vertical="center"/>
    </xf>
    <xf numFmtId="3" fontId="6" fillId="11" borderId="12" xfId="0" applyNumberFormat="1" applyFont="1" applyFill="1" applyBorder="1" applyAlignment="1">
      <alignment vertical="center"/>
    </xf>
    <xf numFmtId="164" fontId="7" fillId="11" borderId="12" xfId="0" applyNumberFormat="1" applyFont="1" applyFill="1" applyBorder="1" applyAlignment="1">
      <alignment vertical="center"/>
    </xf>
    <xf numFmtId="165" fontId="7" fillId="11" borderId="9" xfId="0" applyNumberFormat="1" applyFont="1" applyFill="1" applyBorder="1" applyAlignment="1">
      <alignment vertical="center"/>
    </xf>
    <xf numFmtId="3" fontId="5" fillId="6" borderId="12" xfId="0" applyNumberFormat="1" applyFont="1" applyFill="1" applyBorder="1" applyAlignment="1" applyProtection="1">
      <alignment vertical="center"/>
      <protection locked="0"/>
    </xf>
    <xf numFmtId="2" fontId="5" fillId="6" borderId="12" xfId="0" applyNumberFormat="1" applyFont="1" applyFill="1" applyBorder="1" applyAlignment="1" applyProtection="1">
      <alignment vertical="center"/>
      <protection locked="0"/>
    </xf>
    <xf numFmtId="9" fontId="7" fillId="6" borderId="12" xfId="0" applyNumberFormat="1" applyFont="1" applyFill="1" applyBorder="1" applyProtection="1">
      <protection locked="0"/>
    </xf>
    <xf numFmtId="9" fontId="5" fillId="6" borderId="14" xfId="0" applyNumberFormat="1" applyFont="1" applyFill="1" applyBorder="1" applyProtection="1">
      <protection locked="0"/>
    </xf>
    <xf numFmtId="9" fontId="5" fillId="6" borderId="12" xfId="0" applyNumberFormat="1" applyFont="1" applyFill="1" applyBorder="1" applyProtection="1">
      <protection locked="0"/>
    </xf>
    <xf numFmtId="3" fontId="7" fillId="6" borderId="12" xfId="0" applyNumberFormat="1" applyFont="1" applyFill="1" applyBorder="1" applyAlignment="1" applyProtection="1">
      <alignment vertical="center"/>
      <protection locked="0"/>
    </xf>
    <xf numFmtId="165" fontId="7" fillId="6" borderId="12" xfId="0" applyNumberFormat="1" applyFont="1" applyFill="1" applyBorder="1" applyAlignment="1" applyProtection="1">
      <alignment vertical="center"/>
      <protection locked="0"/>
    </xf>
    <xf numFmtId="10" fontId="7" fillId="6" borderId="9" xfId="0" applyNumberFormat="1" applyFont="1" applyFill="1" applyBorder="1" applyAlignment="1" applyProtection="1">
      <alignment horizontal="right" vertical="center" indent="1"/>
      <protection locked="0"/>
    </xf>
    <xf numFmtId="167" fontId="7" fillId="6" borderId="12" xfId="0" applyNumberFormat="1" applyFont="1" applyFill="1" applyBorder="1" applyAlignment="1" applyProtection="1">
      <alignment vertical="center"/>
      <protection locked="0"/>
    </xf>
    <xf numFmtId="0" fontId="5" fillId="12" borderId="12" xfId="0" applyFont="1" applyFill="1" applyBorder="1" applyAlignment="1" applyProtection="1">
      <alignment vertical="center"/>
      <protection locked="0"/>
    </xf>
    <xf numFmtId="10" fontId="7" fillId="10" borderId="12" xfId="0" applyNumberFormat="1" applyFont="1" applyFill="1" applyBorder="1" applyAlignment="1" applyProtection="1">
      <alignment horizontal="right" vertical="center" indent="1"/>
      <protection locked="0"/>
    </xf>
    <xf numFmtId="0" fontId="28" fillId="0" borderId="0" xfId="0" applyFont="1"/>
    <xf numFmtId="9" fontId="0" fillId="0" borderId="0" xfId="0" applyNumberFormat="1"/>
    <xf numFmtId="0" fontId="9" fillId="7" borderId="0" xfId="0" quotePrefix="1" applyFont="1" applyFill="1" applyAlignment="1">
      <alignment vertical="center"/>
    </xf>
    <xf numFmtId="0" fontId="9" fillId="0" borderId="0" xfId="0" quotePrefix="1" applyFont="1" applyAlignment="1">
      <alignment vertical="center"/>
    </xf>
    <xf numFmtId="0" fontId="9" fillId="7" borderId="0" xfId="0" quotePrefix="1" applyFont="1" applyFill="1"/>
    <xf numFmtId="0" fontId="9" fillId="0" borderId="0" xfId="0" quotePrefix="1" applyFont="1" applyAlignment="1">
      <alignment vertical="top"/>
    </xf>
    <xf numFmtId="0" fontId="28" fillId="0" borderId="0" xfId="0" applyFont="1" applyProtection="1">
      <protection hidden="1"/>
    </xf>
    <xf numFmtId="0" fontId="40" fillId="0" borderId="0" xfId="0" applyFont="1" applyProtection="1">
      <protection hidden="1"/>
    </xf>
    <xf numFmtId="0" fontId="42" fillId="0" borderId="0" xfId="0" applyFont="1" applyProtection="1">
      <protection hidden="1"/>
    </xf>
    <xf numFmtId="0" fontId="42" fillId="0" borderId="0" xfId="0" applyFont="1"/>
    <xf numFmtId="0" fontId="43" fillId="0" borderId="0" xfId="0" applyFont="1" applyProtection="1">
      <protection hidden="1"/>
    </xf>
    <xf numFmtId="0" fontId="44" fillId="0" borderId="0" xfId="0" applyFont="1" applyProtection="1">
      <protection hidden="1"/>
    </xf>
    <xf numFmtId="0" fontId="43" fillId="0" borderId="0" xfId="0" applyFont="1"/>
    <xf numFmtId="0" fontId="44" fillId="0" borderId="0" xfId="0" applyFont="1"/>
    <xf numFmtId="0" fontId="45" fillId="0" borderId="0" xfId="0" applyFont="1" applyProtection="1">
      <protection hidden="1"/>
    </xf>
    <xf numFmtId="0" fontId="45" fillId="0" borderId="0" xfId="0" applyFont="1"/>
    <xf numFmtId="0" fontId="46" fillId="0" borderId="0" xfId="0" applyFont="1" applyProtection="1">
      <protection hidden="1"/>
    </xf>
    <xf numFmtId="9" fontId="46" fillId="0" borderId="0" xfId="0" applyNumberFormat="1" applyFont="1" applyProtection="1">
      <protection hidden="1"/>
    </xf>
    <xf numFmtId="9" fontId="42" fillId="0" borderId="0" xfId="0" applyNumberFormat="1" applyFont="1" applyProtection="1">
      <protection hidden="1"/>
    </xf>
    <xf numFmtId="0" fontId="48" fillId="0" borderId="0" xfId="0" applyFont="1" applyProtection="1">
      <protection hidden="1"/>
    </xf>
    <xf numFmtId="0" fontId="49" fillId="0" borderId="0" xfId="0" applyFont="1" applyProtection="1">
      <protection hidden="1"/>
    </xf>
    <xf numFmtId="3" fontId="42" fillId="0" borderId="0" xfId="0" applyNumberFormat="1" applyFont="1" applyProtection="1">
      <protection hidden="1"/>
    </xf>
    <xf numFmtId="0" fontId="50" fillId="0" borderId="0" xfId="0" applyFont="1" applyProtection="1">
      <protection hidden="1"/>
    </xf>
    <xf numFmtId="0" fontId="17" fillId="0" borderId="0" xfId="0" applyFont="1" applyAlignment="1">
      <alignment horizontal="left" vertical="center" wrapText="1"/>
    </xf>
    <xf numFmtId="0" fontId="17" fillId="0" borderId="0" xfId="0" applyFont="1" applyAlignment="1">
      <alignment wrapText="1"/>
    </xf>
    <xf numFmtId="10" fontId="7" fillId="0" borderId="0" xfId="0" applyNumberFormat="1" applyFont="1" applyAlignment="1" applyProtection="1">
      <alignment horizontal="right" vertical="center" indent="1"/>
      <protection locked="0"/>
    </xf>
    <xf numFmtId="0" fontId="5" fillId="0" borderId="0" xfId="0" applyFont="1" applyAlignment="1" applyProtection="1">
      <alignment vertical="center"/>
      <protection locked="0"/>
    </xf>
    <xf numFmtId="165" fontId="7" fillId="0" borderId="0" xfId="0" applyNumberFormat="1" applyFont="1" applyAlignment="1">
      <alignment vertical="center"/>
    </xf>
    <xf numFmtId="0" fontId="2" fillId="7" borderId="0" xfId="0" applyFont="1" applyFill="1" applyAlignment="1">
      <alignment vertical="center"/>
    </xf>
    <xf numFmtId="0" fontId="3" fillId="7" borderId="0" xfId="0" applyFont="1" applyFill="1" applyAlignment="1">
      <alignment vertical="center"/>
    </xf>
    <xf numFmtId="0" fontId="6" fillId="7" borderId="0" xfId="0" applyFont="1" applyFill="1" applyAlignment="1">
      <alignment horizontal="left" vertical="center" indent="1"/>
    </xf>
    <xf numFmtId="0" fontId="2" fillId="7" borderId="0" xfId="0" applyFont="1" applyFill="1" applyAlignment="1">
      <alignment horizontal="left" vertical="center" indent="1"/>
    </xf>
    <xf numFmtId="0" fontId="7" fillId="7" borderId="0" xfId="0" applyFont="1" applyFill="1"/>
    <xf numFmtId="0" fontId="0" fillId="7" borderId="0" xfId="0" applyFill="1" applyAlignment="1">
      <alignment horizontal="center" vertical="center"/>
    </xf>
    <xf numFmtId="0" fontId="2" fillId="7" borderId="0" xfId="0" applyFont="1" applyFill="1" applyAlignment="1">
      <alignment horizontal="right" indent="1"/>
    </xf>
    <xf numFmtId="0" fontId="4" fillId="7" borderId="0" xfId="0" applyFont="1" applyFill="1" applyAlignment="1">
      <alignment horizontal="right" indent="1"/>
    </xf>
    <xf numFmtId="0" fontId="6" fillId="7" borderId="9" xfId="0" applyFont="1" applyFill="1" applyBorder="1"/>
    <xf numFmtId="0" fontId="6" fillId="7" borderId="17" xfId="0" applyFont="1" applyFill="1" applyBorder="1"/>
    <xf numFmtId="0" fontId="0" fillId="7" borderId="9" xfId="0" applyFill="1" applyBorder="1"/>
    <xf numFmtId="0" fontId="14" fillId="7" borderId="0" xfId="0" applyFont="1" applyFill="1"/>
    <xf numFmtId="0" fontId="6" fillId="7" borderId="0" xfId="0" applyFont="1" applyFill="1" applyAlignment="1">
      <alignment vertical="center"/>
    </xf>
    <xf numFmtId="0" fontId="0" fillId="7" borderId="0" xfId="0" applyFill="1" applyProtection="1">
      <protection locked="0"/>
    </xf>
    <xf numFmtId="0" fontId="1" fillId="7" borderId="0" xfId="0" applyFont="1" applyFill="1" applyProtection="1">
      <protection locked="0"/>
    </xf>
    <xf numFmtId="0" fontId="14" fillId="7" borderId="0" xfId="0" applyFont="1" applyFill="1" applyAlignment="1">
      <alignment horizontal="left" vertical="center" indent="1"/>
    </xf>
    <xf numFmtId="0" fontId="0" fillId="7" borderId="0" xfId="0" applyFill="1" applyAlignment="1" applyProtection="1">
      <alignment horizontal="center"/>
      <protection locked="0"/>
    </xf>
    <xf numFmtId="0" fontId="6" fillId="7" borderId="0" xfId="0" applyFont="1" applyFill="1" applyProtection="1">
      <protection locked="0"/>
    </xf>
    <xf numFmtId="0" fontId="8" fillId="7" borderId="0" xfId="0" applyFont="1" applyFill="1" applyAlignment="1">
      <alignment wrapText="1"/>
    </xf>
    <xf numFmtId="0" fontId="1" fillId="7" borderId="0" xfId="0" applyFont="1" applyFill="1" applyAlignment="1">
      <alignment horizontal="left" wrapText="1"/>
    </xf>
    <xf numFmtId="0" fontId="18" fillId="7" borderId="0" xfId="0" applyFont="1" applyFill="1"/>
    <xf numFmtId="3" fontId="20" fillId="7" borderId="0" xfId="0" applyNumberFormat="1" applyFont="1" applyFill="1" applyAlignment="1">
      <alignment horizontal="center"/>
    </xf>
    <xf numFmtId="3" fontId="20" fillId="7" borderId="21" xfId="0" applyNumberFormat="1" applyFont="1" applyFill="1" applyBorder="1" applyAlignment="1">
      <alignment horizontal="center"/>
    </xf>
    <xf numFmtId="0" fontId="13" fillId="7" borderId="0" xfId="0" applyFont="1" applyFill="1"/>
    <xf numFmtId="0" fontId="2" fillId="7" borderId="0" xfId="0" applyFont="1" applyFill="1" applyAlignment="1">
      <alignment vertical="top"/>
    </xf>
    <xf numFmtId="0" fontId="0" fillId="7" borderId="8" xfId="0" applyFill="1" applyBorder="1" applyAlignment="1">
      <alignment vertical="center"/>
    </xf>
    <xf numFmtId="0" fontId="2" fillId="7" borderId="8" xfId="0" applyFont="1" applyFill="1" applyBorder="1" applyAlignment="1">
      <alignment horizontal="right" vertical="center"/>
    </xf>
    <xf numFmtId="0" fontId="6" fillId="7" borderId="0" xfId="0" applyFont="1" applyFill="1" applyAlignment="1">
      <alignment horizontal="center" vertical="center"/>
    </xf>
    <xf numFmtId="165" fontId="6" fillId="7" borderId="0" xfId="0" applyNumberFormat="1" applyFont="1" applyFill="1" applyAlignment="1">
      <alignment vertical="center"/>
    </xf>
    <xf numFmtId="0" fontId="34" fillId="7" borderId="0" xfId="0" applyFont="1" applyFill="1" applyAlignment="1">
      <alignment horizontal="left" vertical="center" wrapText="1"/>
    </xf>
    <xf numFmtId="0" fontId="7" fillId="7" borderId="0" xfId="0" applyFont="1" applyFill="1" applyAlignment="1">
      <alignment vertical="center"/>
    </xf>
    <xf numFmtId="165" fontId="7" fillId="7" borderId="0" xfId="0" applyNumberFormat="1" applyFont="1" applyFill="1" applyAlignment="1">
      <alignment vertical="center"/>
    </xf>
    <xf numFmtId="0" fontId="2" fillId="7" borderId="8" xfId="0" applyFont="1" applyFill="1" applyBorder="1" applyAlignment="1">
      <alignment horizontal="right" vertical="center" wrapText="1"/>
    </xf>
    <xf numFmtId="0" fontId="6" fillId="7" borderId="6" xfId="0" applyFont="1" applyFill="1" applyBorder="1"/>
    <xf numFmtId="0" fontId="6" fillId="7" borderId="8" xfId="0" applyFont="1" applyFill="1" applyBorder="1"/>
    <xf numFmtId="0" fontId="6" fillId="7" borderId="5" xfId="0" applyFont="1" applyFill="1" applyBorder="1"/>
    <xf numFmtId="0" fontId="6" fillId="7" borderId="13" xfId="0" applyFont="1" applyFill="1" applyBorder="1"/>
    <xf numFmtId="0" fontId="29" fillId="7" borderId="0" xfId="0" applyFont="1" applyFill="1" applyAlignment="1">
      <alignment horizontal="center" vertical="center" wrapText="1"/>
    </xf>
    <xf numFmtId="0" fontId="0" fillId="7" borderId="6" xfId="0" applyFill="1" applyBorder="1"/>
    <xf numFmtId="0" fontId="1" fillId="0" borderId="1" xfId="0" applyFont="1" applyBorder="1"/>
    <xf numFmtId="0" fontId="28" fillId="13" borderId="0" xfId="0" applyFont="1" applyFill="1"/>
    <xf numFmtId="0" fontId="1" fillId="0" borderId="0" xfId="0" applyFont="1" applyAlignment="1">
      <alignment horizontal="center" vertical="center"/>
    </xf>
    <xf numFmtId="165" fontId="6" fillId="0" borderId="24" xfId="0" applyNumberFormat="1" applyFont="1" applyBorder="1" applyAlignment="1">
      <alignment vertical="center"/>
    </xf>
    <xf numFmtId="164" fontId="1" fillId="0" borderId="12" xfId="0" applyNumberFormat="1" applyFont="1" applyBorder="1" applyAlignment="1">
      <alignment horizontal="right" vertical="center" indent="1"/>
    </xf>
    <xf numFmtId="0" fontId="0" fillId="13" borderId="0" xfId="0" applyFill="1"/>
    <xf numFmtId="0" fontId="52" fillId="0" borderId="0" xfId="0" applyFont="1"/>
    <xf numFmtId="0" fontId="53" fillId="0" borderId="0" xfId="0" applyFont="1" applyAlignment="1">
      <alignment horizontal="left" indent="3"/>
    </xf>
    <xf numFmtId="165" fontId="52" fillId="0" borderId="0" xfId="0" applyNumberFormat="1" applyFont="1"/>
    <xf numFmtId="5" fontId="52" fillId="0" borderId="0" xfId="0" applyNumberFormat="1" applyFont="1"/>
    <xf numFmtId="10" fontId="52" fillId="0" borderId="0" xfId="0" applyNumberFormat="1" applyFont="1"/>
    <xf numFmtId="0" fontId="52" fillId="0" borderId="0" xfId="0" applyFont="1" applyProtection="1">
      <protection hidden="1"/>
    </xf>
    <xf numFmtId="0" fontId="52" fillId="0" borderId="0" xfId="0" applyFont="1" applyAlignment="1" applyProtection="1">
      <alignment horizontal="center" vertical="center"/>
      <protection hidden="1"/>
    </xf>
    <xf numFmtId="0" fontId="52" fillId="7" borderId="0" xfId="0" applyFont="1" applyFill="1"/>
    <xf numFmtId="166" fontId="52" fillId="0" borderId="0" xfId="0" applyNumberFormat="1" applyFont="1"/>
    <xf numFmtId="3" fontId="52" fillId="0" borderId="0" xfId="0" applyNumberFormat="1" applyFont="1"/>
    <xf numFmtId="3" fontId="52" fillId="0" borderId="0" xfId="0" quotePrefix="1" applyNumberFormat="1" applyFont="1"/>
    <xf numFmtId="3" fontId="0" fillId="0" borderId="0" xfId="0" applyNumberFormat="1"/>
    <xf numFmtId="165" fontId="7" fillId="0" borderId="0" xfId="0" applyNumberFormat="1" applyFont="1" applyAlignment="1">
      <alignment horizontal="center"/>
    </xf>
    <xf numFmtId="165" fontId="7" fillId="0" borderId="0" xfId="0" applyNumberFormat="1" applyFont="1" applyAlignment="1">
      <alignment horizontal="center" vertical="center"/>
    </xf>
    <xf numFmtId="3" fontId="51" fillId="0" borderId="0" xfId="0" applyNumberFormat="1" applyFont="1"/>
    <xf numFmtId="0" fontId="56" fillId="0" borderId="0" xfId="0" applyFont="1"/>
    <xf numFmtId="0" fontId="7" fillId="7" borderId="6" xfId="0" applyFont="1" applyFill="1" applyBorder="1" applyAlignment="1">
      <alignment horizontal="center" vertical="center"/>
    </xf>
    <xf numFmtId="0" fontId="11" fillId="7" borderId="9" xfId="0" applyFont="1" applyFill="1" applyBorder="1" applyAlignment="1">
      <alignment vertical="center"/>
    </xf>
    <xf numFmtId="0" fontId="11" fillId="7" borderId="10" xfId="0" applyFont="1" applyFill="1" applyBorder="1" applyAlignment="1">
      <alignment vertical="center"/>
    </xf>
    <xf numFmtId="0" fontId="0" fillId="7" borderId="10" xfId="0" applyFill="1" applyBorder="1" applyAlignment="1">
      <alignment vertical="center"/>
    </xf>
    <xf numFmtId="0" fontId="0" fillId="7" borderId="9" xfId="0" applyFill="1" applyBorder="1" applyAlignment="1">
      <alignment vertical="center"/>
    </xf>
    <xf numFmtId="0" fontId="7" fillId="7" borderId="10" xfId="0" applyFont="1" applyFill="1" applyBorder="1" applyAlignment="1">
      <alignment vertical="center"/>
    </xf>
    <xf numFmtId="0" fontId="10" fillId="7" borderId="10" xfId="0" applyFont="1" applyFill="1" applyBorder="1" applyAlignment="1">
      <alignment horizontal="center" vertical="center" wrapText="1"/>
    </xf>
    <xf numFmtId="0" fontId="7" fillId="7" borderId="35" xfId="0" applyFont="1" applyFill="1" applyBorder="1"/>
    <xf numFmtId="0" fontId="7" fillId="7" borderId="4" xfId="0" applyFont="1" applyFill="1" applyBorder="1" applyAlignment="1">
      <alignment vertical="center"/>
    </xf>
    <xf numFmtId="0" fontId="17" fillId="7" borderId="4" xfId="0" applyFont="1" applyFill="1" applyBorder="1" applyAlignment="1">
      <alignment horizontal="right" indent="1"/>
    </xf>
    <xf numFmtId="0" fontId="7" fillId="7" borderId="39" xfId="0" applyFont="1" applyFill="1" applyBorder="1"/>
    <xf numFmtId="0" fontId="7" fillId="7" borderId="2" xfId="0" applyFont="1" applyFill="1" applyBorder="1" applyAlignment="1">
      <alignment vertical="center"/>
    </xf>
    <xf numFmtId="0" fontId="6" fillId="7" borderId="2" xfId="0" applyFont="1" applyFill="1" applyBorder="1" applyAlignment="1">
      <alignment vertical="center"/>
    </xf>
    <xf numFmtId="0" fontId="17" fillId="7" borderId="2" xfId="0" applyFont="1" applyFill="1" applyBorder="1" applyAlignment="1">
      <alignment horizontal="right" indent="1"/>
    </xf>
    <xf numFmtId="0" fontId="6" fillId="7" borderId="3" xfId="0" applyFont="1" applyFill="1" applyBorder="1" applyAlignment="1">
      <alignment vertical="center"/>
    </xf>
    <xf numFmtId="0" fontId="6" fillId="7" borderId="10" xfId="0" applyFont="1" applyFill="1" applyBorder="1" applyAlignment="1">
      <alignment vertical="center"/>
    </xf>
    <xf numFmtId="0" fontId="8" fillId="7" borderId="10" xfId="0" applyFont="1" applyFill="1" applyBorder="1" applyAlignment="1">
      <alignment horizontal="right" indent="1"/>
    </xf>
    <xf numFmtId="0" fontId="1" fillId="7" borderId="0" xfId="0" applyFont="1" applyFill="1" applyAlignment="1">
      <alignment horizontal="center" vertical="center"/>
    </xf>
    <xf numFmtId="0" fontId="9" fillId="7" borderId="17" xfId="0" applyFont="1" applyFill="1" applyBorder="1" applyAlignment="1">
      <alignment horizontal="center"/>
    </xf>
    <xf numFmtId="0" fontId="1" fillId="7" borderId="3" xfId="0" applyFont="1" applyFill="1" applyBorder="1" applyAlignment="1">
      <alignment horizontal="center" vertical="center"/>
    </xf>
    <xf numFmtId="0" fontId="6" fillId="7" borderId="24" xfId="0" applyFont="1" applyFill="1" applyBorder="1" applyAlignment="1">
      <alignment vertical="center"/>
    </xf>
    <xf numFmtId="0" fontId="7" fillId="7" borderId="6" xfId="0" applyFont="1" applyFill="1" applyBorder="1" applyAlignment="1">
      <alignment vertical="center"/>
    </xf>
    <xf numFmtId="0" fontId="6" fillId="7" borderId="6" xfId="0" applyFont="1" applyFill="1" applyBorder="1" applyAlignment="1">
      <alignment vertical="center"/>
    </xf>
    <xf numFmtId="0" fontId="8" fillId="7" borderId="6" xfId="0" applyFont="1" applyFill="1" applyBorder="1" applyAlignment="1">
      <alignment horizontal="center" vertical="center"/>
    </xf>
    <xf numFmtId="9" fontId="8" fillId="7" borderId="10" xfId="0" quotePrefix="1" applyNumberFormat="1" applyFont="1" applyFill="1" applyBorder="1" applyAlignment="1">
      <alignment horizontal="center" vertical="center"/>
    </xf>
    <xf numFmtId="0" fontId="6" fillId="7" borderId="10" xfId="0" applyFont="1" applyFill="1" applyBorder="1"/>
    <xf numFmtId="0" fontId="6" fillId="7" borderId="10" xfId="0" applyFont="1" applyFill="1" applyBorder="1" applyAlignment="1">
      <alignment horizontal="center" vertical="center"/>
    </xf>
    <xf numFmtId="0" fontId="7" fillId="7" borderId="26" xfId="0" applyFont="1" applyFill="1" applyBorder="1" applyAlignment="1">
      <alignment vertical="center"/>
    </xf>
    <xf numFmtId="0" fontId="7" fillId="7" borderId="3" xfId="0" applyFont="1" applyFill="1" applyBorder="1" applyAlignment="1">
      <alignment vertical="center"/>
    </xf>
    <xf numFmtId="0" fontId="7" fillId="7" borderId="24" xfId="0" applyFont="1" applyFill="1" applyBorder="1" applyAlignment="1">
      <alignment vertical="center"/>
    </xf>
    <xf numFmtId="0" fontId="7" fillId="7" borderId="13" xfId="0" applyFont="1" applyFill="1" applyBorder="1" applyAlignment="1">
      <alignment vertical="center"/>
    </xf>
    <xf numFmtId="0" fontId="26" fillId="7" borderId="0" xfId="0" applyFont="1" applyFill="1" applyAlignment="1">
      <alignment horizontal="right"/>
    </xf>
    <xf numFmtId="0" fontId="11" fillId="7" borderId="5" xfId="0" applyFont="1" applyFill="1" applyBorder="1" applyAlignment="1">
      <alignment vertical="center"/>
    </xf>
    <xf numFmtId="0" fontId="11" fillId="7" borderId="6" xfId="0" applyFont="1" applyFill="1" applyBorder="1" applyAlignment="1">
      <alignment vertical="center"/>
    </xf>
    <xf numFmtId="0" fontId="0" fillId="7" borderId="6" xfId="0" applyFill="1" applyBorder="1" applyAlignment="1">
      <alignment vertical="center"/>
    </xf>
    <xf numFmtId="0" fontId="5" fillId="7" borderId="26" xfId="0" applyFont="1" applyFill="1" applyBorder="1" applyAlignment="1">
      <alignment horizontal="right" vertical="center"/>
    </xf>
    <xf numFmtId="0" fontId="10" fillId="7" borderId="3" xfId="0" applyFont="1" applyFill="1" applyBorder="1" applyAlignment="1">
      <alignment horizontal="center" vertical="center"/>
    </xf>
    <xf numFmtId="0" fontId="7" fillId="7" borderId="17" xfId="0" applyFont="1" applyFill="1" applyBorder="1"/>
    <xf numFmtId="0" fontId="8" fillId="7" borderId="18" xfId="0" applyFont="1" applyFill="1" applyBorder="1" applyAlignment="1">
      <alignment horizontal="right" vertical="center"/>
    </xf>
    <xf numFmtId="0" fontId="7" fillId="7" borderId="13" xfId="0" applyFont="1" applyFill="1" applyBorder="1"/>
    <xf numFmtId="0" fontId="0" fillId="7" borderId="26" xfId="0" applyFill="1" applyBorder="1"/>
    <xf numFmtId="0" fontId="0" fillId="7" borderId="34" xfId="0" applyFill="1" applyBorder="1"/>
    <xf numFmtId="0" fontId="10" fillId="7" borderId="2" xfId="0" applyFont="1" applyFill="1" applyBorder="1" applyAlignment="1">
      <alignment horizontal="center" vertical="center"/>
    </xf>
    <xf numFmtId="0" fontId="10" fillId="7" borderId="38" xfId="0" applyFont="1" applyFill="1" applyBorder="1" applyAlignment="1">
      <alignment horizontal="center" vertical="center" wrapText="1"/>
    </xf>
    <xf numFmtId="0" fontId="2" fillId="7" borderId="5" xfId="0" applyFont="1" applyFill="1" applyBorder="1" applyAlignment="1">
      <alignment vertical="center"/>
    </xf>
    <xf numFmtId="0" fontId="5" fillId="7" borderId="6" xfId="0" applyFont="1" applyFill="1" applyBorder="1" applyAlignment="1">
      <alignment horizontal="right" vertical="center"/>
    </xf>
    <xf numFmtId="0" fontId="6" fillId="7" borderId="2" xfId="0" applyFont="1" applyFill="1" applyBorder="1"/>
    <xf numFmtId="0" fontId="7" fillId="7" borderId="31" xfId="0" applyFont="1" applyFill="1" applyBorder="1"/>
    <xf numFmtId="0" fontId="6" fillId="7" borderId="24" xfId="0" applyFont="1" applyFill="1" applyBorder="1"/>
    <xf numFmtId="0" fontId="10" fillId="7" borderId="6" xfId="0" applyFont="1" applyFill="1" applyBorder="1" applyAlignment="1">
      <alignment horizontal="right" vertical="center"/>
    </xf>
    <xf numFmtId="0" fontId="10" fillId="7" borderId="8" xfId="0" applyFont="1" applyFill="1" applyBorder="1" applyAlignment="1">
      <alignment horizontal="center" vertical="center"/>
    </xf>
    <xf numFmtId="0" fontId="13" fillId="7" borderId="5" xfId="0" applyFont="1" applyFill="1" applyBorder="1" applyAlignment="1">
      <alignment vertical="center"/>
    </xf>
    <xf numFmtId="165" fontId="7" fillId="7" borderId="6" xfId="0" applyNumberFormat="1" applyFont="1" applyFill="1" applyBorder="1" applyAlignment="1">
      <alignment vertical="center"/>
    </xf>
    <xf numFmtId="0" fontId="0" fillId="7" borderId="27" xfId="0" applyFill="1" applyBorder="1"/>
    <xf numFmtId="0" fontId="33" fillId="7" borderId="7" xfId="0" applyFont="1" applyFill="1" applyBorder="1" applyAlignment="1">
      <alignment vertical="center"/>
    </xf>
    <xf numFmtId="0" fontId="0" fillId="7" borderId="8" xfId="0" applyFill="1" applyBorder="1"/>
    <xf numFmtId="0" fontId="6" fillId="7" borderId="8" xfId="0" applyFont="1" applyFill="1" applyBorder="1" applyAlignment="1">
      <alignment vertical="center"/>
    </xf>
    <xf numFmtId="165" fontId="7" fillId="7" borderId="8" xfId="0" applyNumberFormat="1" applyFont="1" applyFill="1" applyBorder="1" applyAlignment="1">
      <alignment vertical="center"/>
    </xf>
    <xf numFmtId="0" fontId="0" fillId="7" borderId="29" xfId="0" applyFill="1" applyBorder="1"/>
    <xf numFmtId="0" fontId="23" fillId="7" borderId="4" xfId="0" applyFont="1" applyFill="1" applyBorder="1"/>
    <xf numFmtId="0" fontId="0" fillId="7" borderId="4" xfId="0" applyFill="1" applyBorder="1"/>
    <xf numFmtId="0" fontId="24" fillId="7" borderId="4" xfId="0" applyFont="1" applyFill="1" applyBorder="1"/>
    <xf numFmtId="0" fontId="24" fillId="7" borderId="0" xfId="0" applyFont="1" applyFill="1"/>
    <xf numFmtId="0" fontId="5" fillId="7" borderId="39" xfId="0" applyFont="1" applyFill="1" applyBorder="1" applyAlignment="1">
      <alignment horizontal="center"/>
    </xf>
    <xf numFmtId="0" fontId="8" fillId="7" borderId="2" xfId="0" applyFont="1" applyFill="1" applyBorder="1" applyAlignment="1">
      <alignment horizontal="center"/>
    </xf>
    <xf numFmtId="0" fontId="5" fillId="7" borderId="13" xfId="0" applyFont="1" applyFill="1" applyBorder="1" applyAlignment="1">
      <alignment horizontal="center"/>
    </xf>
    <xf numFmtId="0" fontId="8" fillId="7" borderId="0" xfId="0" applyFont="1" applyFill="1" applyAlignment="1">
      <alignment horizontal="center"/>
    </xf>
    <xf numFmtId="0" fontId="16" fillId="7" borderId="38" xfId="0" applyFont="1" applyFill="1" applyBorder="1"/>
    <xf numFmtId="0" fontId="11" fillId="7" borderId="5" xfId="0" applyFont="1" applyFill="1" applyBorder="1"/>
    <xf numFmtId="0" fontId="7" fillId="7" borderId="6" xfId="0" applyFont="1" applyFill="1" applyBorder="1"/>
    <xf numFmtId="0" fontId="24" fillId="7" borderId="0" xfId="0" applyFont="1" applyFill="1" applyAlignment="1">
      <alignment vertical="center"/>
    </xf>
    <xf numFmtId="0" fontId="5" fillId="7" borderId="0" xfId="0" applyFont="1" applyFill="1" applyAlignment="1">
      <alignment horizontal="right" vertical="center" indent="1"/>
    </xf>
    <xf numFmtId="0" fontId="0" fillId="7" borderId="13" xfId="0" applyFill="1" applyBorder="1"/>
    <xf numFmtId="0" fontId="5" fillId="7" borderId="0" xfId="0" applyFont="1" applyFill="1" applyAlignment="1">
      <alignment horizontal="right" vertical="center"/>
    </xf>
    <xf numFmtId="0" fontId="17" fillId="7" borderId="6" xfId="0" applyFont="1" applyFill="1" applyBorder="1" applyAlignment="1">
      <alignment vertical="center"/>
    </xf>
    <xf numFmtId="0" fontId="7" fillId="7" borderId="0" xfId="0" applyFont="1" applyFill="1" applyAlignment="1">
      <alignment horizontal="right" vertical="center" indent="1"/>
    </xf>
    <xf numFmtId="0" fontId="23" fillId="7" borderId="0" xfId="0" applyFont="1" applyFill="1"/>
    <xf numFmtId="0" fontId="24" fillId="7" borderId="28" xfId="0" applyFont="1" applyFill="1" applyBorder="1"/>
    <xf numFmtId="0" fontId="0" fillId="7" borderId="38" xfId="0" applyFill="1" applyBorder="1"/>
    <xf numFmtId="0" fontId="8" fillId="7" borderId="4" xfId="0" applyFont="1" applyFill="1" applyBorder="1" applyAlignment="1">
      <alignment horizontal="center"/>
    </xf>
    <xf numFmtId="0" fontId="5" fillId="7" borderId="35" xfId="0" applyFont="1" applyFill="1" applyBorder="1" applyAlignment="1">
      <alignment horizontal="center"/>
    </xf>
    <xf numFmtId="0" fontId="32" fillId="7" borderId="4" xfId="0" applyFont="1" applyFill="1" applyBorder="1"/>
    <xf numFmtId="0" fontId="7" fillId="7" borderId="6" xfId="0" applyFont="1" applyFill="1" applyBorder="1" applyAlignment="1">
      <alignment horizontal="right" vertical="center"/>
    </xf>
    <xf numFmtId="0" fontId="23" fillId="7" borderId="10" xfId="0" applyFont="1" applyFill="1" applyBorder="1" applyAlignment="1">
      <alignment vertical="center"/>
    </xf>
    <xf numFmtId="0" fontId="23" fillId="7" borderId="27" xfId="0" applyFont="1" applyFill="1" applyBorder="1" applyAlignment="1">
      <alignment vertical="center"/>
    </xf>
    <xf numFmtId="0" fontId="17" fillId="7" borderId="28" xfId="0" applyFont="1" applyFill="1" applyBorder="1" applyAlignment="1">
      <alignment wrapText="1"/>
    </xf>
    <xf numFmtId="0" fontId="8" fillId="7" borderId="0" xfId="0" applyFont="1" applyFill="1" applyAlignment="1">
      <alignment vertical="top" wrapText="1"/>
    </xf>
    <xf numFmtId="0" fontId="8" fillId="7" borderId="8" xfId="0" applyFont="1" applyFill="1" applyBorder="1" applyAlignment="1">
      <alignment vertical="top" wrapText="1"/>
    </xf>
    <xf numFmtId="165" fontId="7" fillId="0" borderId="5" xfId="0" applyNumberFormat="1" applyFont="1" applyBorder="1" applyAlignment="1">
      <alignment vertical="center"/>
    </xf>
    <xf numFmtId="0" fontId="7" fillId="7" borderId="0" xfId="0" applyFont="1" applyFill="1" applyAlignment="1">
      <alignment horizontal="left" vertical="center"/>
    </xf>
    <xf numFmtId="0" fontId="7" fillId="7" borderId="40" xfId="0" applyFont="1" applyFill="1" applyBorder="1" applyAlignment="1">
      <alignment horizontal="right" vertical="center" indent="1"/>
    </xf>
    <xf numFmtId="0" fontId="13" fillId="7" borderId="0" xfId="0" applyFont="1" applyFill="1" applyAlignment="1">
      <alignment horizontal="left" vertical="center"/>
    </xf>
    <xf numFmtId="0" fontId="4" fillId="7" borderId="0" xfId="0" applyFont="1" applyFill="1" applyAlignment="1">
      <alignment vertical="center"/>
    </xf>
    <xf numFmtId="3" fontId="54" fillId="11" borderId="0" xfId="0" applyNumberFormat="1" applyFont="1" applyFill="1" applyAlignment="1" applyProtection="1">
      <alignment horizontal="center" vertical="center"/>
      <protection hidden="1"/>
    </xf>
    <xf numFmtId="0" fontId="52" fillId="11" borderId="0" xfId="0" applyFont="1" applyFill="1" applyProtection="1">
      <protection hidden="1"/>
    </xf>
    <xf numFmtId="0" fontId="35" fillId="11" borderId="0" xfId="0" applyFont="1" applyFill="1" applyProtection="1">
      <protection hidden="1"/>
    </xf>
    <xf numFmtId="0" fontId="52" fillId="11" borderId="0" xfId="0" applyFont="1" applyFill="1"/>
    <xf numFmtId="0" fontId="1" fillId="7" borderId="24" xfId="0" applyFont="1" applyFill="1" applyBorder="1" applyAlignment="1">
      <alignment horizontal="center" vertical="center"/>
    </xf>
    <xf numFmtId="0" fontId="7" fillId="7" borderId="10" xfId="0" applyFont="1" applyFill="1" applyBorder="1"/>
    <xf numFmtId="0" fontId="5" fillId="7" borderId="10" xfId="0" applyFont="1" applyFill="1" applyBorder="1" applyAlignment="1">
      <alignment horizontal="right" vertical="center"/>
    </xf>
    <xf numFmtId="3" fontId="7" fillId="7" borderId="6" xfId="0" applyNumberFormat="1" applyFont="1" applyFill="1" applyBorder="1" applyAlignment="1">
      <alignment vertical="center"/>
    </xf>
    <xf numFmtId="0" fontId="10" fillId="7" borderId="6" xfId="0" applyFont="1" applyFill="1" applyBorder="1" applyAlignment="1">
      <alignment horizontal="center" vertical="center" wrapText="1"/>
    </xf>
    <xf numFmtId="3" fontId="7" fillId="7" borderId="15" xfId="0" applyNumberFormat="1" applyFont="1" applyFill="1" applyBorder="1" applyAlignment="1">
      <alignment horizontal="right" vertical="center" indent="1"/>
    </xf>
    <xf numFmtId="0" fontId="31" fillId="7" borderId="0" xfId="0" applyFont="1" applyFill="1" applyAlignment="1">
      <alignment horizontal="left" vertical="center" wrapText="1"/>
    </xf>
    <xf numFmtId="0" fontId="16" fillId="7" borderId="6" xfId="0" applyFont="1" applyFill="1" applyBorder="1" applyAlignment="1">
      <alignment vertical="center"/>
    </xf>
    <xf numFmtId="0" fontId="11" fillId="7" borderId="5" xfId="0" applyFont="1" applyFill="1" applyBorder="1" applyAlignment="1">
      <alignment vertical="top"/>
    </xf>
    <xf numFmtId="0" fontId="2" fillId="7" borderId="6" xfId="0" applyFont="1" applyFill="1" applyBorder="1" applyAlignment="1">
      <alignment vertical="top"/>
    </xf>
    <xf numFmtId="0" fontId="3" fillId="7" borderId="6" xfId="0" applyFont="1" applyFill="1" applyBorder="1" applyAlignment="1">
      <alignment vertical="top"/>
    </xf>
    <xf numFmtId="0" fontId="7" fillId="7" borderId="28" xfId="0" applyFont="1" applyFill="1" applyBorder="1" applyAlignment="1">
      <alignment horizontal="right" vertical="center" indent="1"/>
    </xf>
    <xf numFmtId="3" fontId="5" fillId="7" borderId="0" xfId="0" applyNumberFormat="1" applyFont="1" applyFill="1" applyAlignment="1" applyProtection="1">
      <alignment vertical="center"/>
      <protection locked="0"/>
    </xf>
    <xf numFmtId="0" fontId="0" fillId="7" borderId="28" xfId="0" applyFill="1" applyBorder="1"/>
    <xf numFmtId="0" fontId="0" fillId="7" borderId="13" xfId="0" applyFill="1" applyBorder="1" applyAlignment="1">
      <alignment vertical="top"/>
    </xf>
    <xf numFmtId="0" fontId="10" fillId="7" borderId="0" xfId="0" applyFont="1" applyFill="1" applyAlignment="1">
      <alignment horizontal="right" vertical="center" indent="1"/>
    </xf>
    <xf numFmtId="0" fontId="7" fillId="7" borderId="64" xfId="0" applyFont="1" applyFill="1" applyBorder="1" applyAlignment="1">
      <alignment vertical="center"/>
    </xf>
    <xf numFmtId="0" fontId="5" fillId="7" borderId="13" xfId="0" applyFont="1" applyFill="1" applyBorder="1" applyAlignment="1">
      <alignment horizontal="right" vertical="center" wrapText="1" indent="1"/>
    </xf>
    <xf numFmtId="0" fontId="5" fillId="7" borderId="28" xfId="0" applyFont="1" applyFill="1" applyBorder="1" applyAlignment="1">
      <alignment horizontal="right" vertical="center" indent="1"/>
    </xf>
    <xf numFmtId="0" fontId="26" fillId="7" borderId="0" xfId="0" applyFont="1" applyFill="1" applyAlignment="1">
      <alignment horizontal="right" vertical="center" indent="1"/>
    </xf>
    <xf numFmtId="0" fontId="7" fillId="7" borderId="13" xfId="0" applyFont="1" applyFill="1" applyBorder="1" applyAlignment="1">
      <alignment horizontal="right" vertical="center" indent="1"/>
    </xf>
    <xf numFmtId="0" fontId="2" fillId="0" borderId="0" xfId="0" applyFont="1" applyAlignment="1">
      <alignment horizontal="center" vertical="center"/>
    </xf>
    <xf numFmtId="0" fontId="7" fillId="7" borderId="0" xfId="0" applyFont="1" applyFill="1" applyAlignment="1">
      <alignment horizontal="left" vertical="center" indent="1"/>
    </xf>
    <xf numFmtId="0" fontId="2" fillId="7" borderId="0" xfId="0" applyFont="1" applyFill="1" applyAlignment="1">
      <alignment horizontal="left" vertical="center" indent="2"/>
    </xf>
    <xf numFmtId="0" fontId="58" fillId="7" borderId="0" xfId="0" applyFont="1" applyFill="1" applyAlignment="1">
      <alignment horizontal="left" vertical="center" indent="2"/>
    </xf>
    <xf numFmtId="0" fontId="4" fillId="7" borderId="0" xfId="0" applyFont="1" applyFill="1" applyAlignment="1">
      <alignment horizontal="left" vertical="center" indent="3"/>
    </xf>
    <xf numFmtId="0" fontId="7" fillId="0" borderId="12" xfId="0" quotePrefix="1" applyFont="1" applyBorder="1" applyAlignment="1">
      <alignment horizontal="center" vertical="center"/>
    </xf>
    <xf numFmtId="0" fontId="5" fillId="0" borderId="10" xfId="0" applyFont="1" applyBorder="1" applyAlignment="1">
      <alignment horizontal="right" vertical="center" indent="1"/>
    </xf>
    <xf numFmtId="165" fontId="28" fillId="7" borderId="12" xfId="0" applyNumberFormat="1" applyFont="1" applyFill="1" applyBorder="1" applyAlignment="1">
      <alignment vertical="center"/>
    </xf>
    <xf numFmtId="165" fontId="0" fillId="0" borderId="0" xfId="0" applyNumberFormat="1"/>
    <xf numFmtId="3" fontId="6" fillId="11" borderId="22" xfId="0" applyNumberFormat="1" applyFont="1" applyFill="1" applyBorder="1" applyAlignment="1">
      <alignment vertical="center"/>
    </xf>
    <xf numFmtId="165" fontId="7" fillId="6" borderId="22" xfId="0" applyNumberFormat="1" applyFont="1" applyFill="1" applyBorder="1" applyAlignment="1" applyProtection="1">
      <alignment vertical="center"/>
      <protection locked="0"/>
    </xf>
    <xf numFmtId="3" fontId="6" fillId="11" borderId="16" xfId="0" applyNumberFormat="1" applyFont="1" applyFill="1" applyBorder="1" applyAlignment="1">
      <alignment vertical="center"/>
    </xf>
    <xf numFmtId="165" fontId="7" fillId="6" borderId="16" xfId="0" applyNumberFormat="1" applyFont="1" applyFill="1" applyBorder="1" applyAlignment="1" applyProtection="1">
      <alignment vertical="center"/>
      <protection locked="0"/>
    </xf>
    <xf numFmtId="0" fontId="0" fillId="7" borderId="15" xfId="0" applyFill="1" applyBorder="1" applyAlignment="1">
      <alignment vertical="center"/>
    </xf>
    <xf numFmtId="0" fontId="59" fillId="7" borderId="0" xfId="0" applyFont="1" applyFill="1" applyAlignment="1">
      <alignment horizontal="left" vertical="top" indent="1"/>
    </xf>
    <xf numFmtId="0" fontId="54" fillId="0" borderId="0" xfId="0" applyFont="1" applyProtection="1">
      <protection hidden="1"/>
    </xf>
    <xf numFmtId="0" fontId="53" fillId="11" borderId="0" xfId="0" applyFont="1" applyFill="1" applyProtection="1">
      <protection hidden="1"/>
    </xf>
    <xf numFmtId="0" fontId="4" fillId="11" borderId="12" xfId="0" applyFont="1" applyFill="1" applyBorder="1" applyAlignment="1">
      <alignment horizontal="center" vertical="center"/>
    </xf>
    <xf numFmtId="0" fontId="3" fillId="7" borderId="0" xfId="0" applyFont="1" applyFill="1" applyAlignment="1">
      <alignment vertical="top"/>
    </xf>
    <xf numFmtId="0" fontId="10" fillId="7" borderId="13" xfId="0" applyFont="1" applyFill="1" applyBorder="1" applyAlignment="1">
      <alignment horizontal="left" vertical="top" indent="1"/>
    </xf>
    <xf numFmtId="0" fontId="31" fillId="7" borderId="13" xfId="0" applyFont="1" applyFill="1" applyBorder="1" applyAlignment="1">
      <alignment horizontal="left" vertical="top" indent="1"/>
    </xf>
    <xf numFmtId="0" fontId="17" fillId="7" borderId="35" xfId="0" applyFont="1" applyFill="1" applyBorder="1" applyAlignment="1">
      <alignment horizontal="right" vertical="center" wrapText="1" indent="1"/>
    </xf>
    <xf numFmtId="0" fontId="17" fillId="7" borderId="4" xfId="0" applyFont="1" applyFill="1" applyBorder="1" applyAlignment="1">
      <alignment horizontal="right" vertical="center" wrapText="1" indent="1"/>
    </xf>
    <xf numFmtId="0" fontId="23" fillId="7" borderId="0" xfId="0" applyFont="1" applyFill="1" applyAlignment="1">
      <alignment vertical="center"/>
    </xf>
    <xf numFmtId="0" fontId="6" fillId="7" borderId="0" xfId="0" applyFont="1" applyFill="1" applyAlignment="1">
      <alignment horizontal="left" vertical="center" wrapText="1" indent="1"/>
    </xf>
    <xf numFmtId="0" fontId="61" fillId="7" borderId="0" xfId="0" applyFont="1" applyFill="1" applyAlignment="1">
      <alignment horizontal="left" vertical="top" indent="1"/>
    </xf>
    <xf numFmtId="0" fontId="8" fillId="14" borderId="1" xfId="0" applyFont="1" applyFill="1" applyBorder="1"/>
    <xf numFmtId="0" fontId="1" fillId="14" borderId="1" xfId="0" applyFont="1" applyFill="1" applyBorder="1"/>
    <xf numFmtId="0" fontId="52" fillId="0" borderId="0" xfId="0" quotePrefix="1" applyFont="1" applyProtection="1">
      <protection hidden="1"/>
    </xf>
    <xf numFmtId="0" fontId="8" fillId="0" borderId="0" xfId="0" applyFont="1"/>
    <xf numFmtId="0" fontId="1" fillId="0" borderId="0" xfId="0" applyFont="1"/>
    <xf numFmtId="0" fontId="44" fillId="11" borderId="12" xfId="0" applyFont="1" applyFill="1" applyBorder="1" applyProtection="1">
      <protection hidden="1"/>
    </xf>
    <xf numFmtId="3" fontId="5" fillId="11" borderId="12" xfId="0" applyNumberFormat="1" applyFont="1" applyFill="1" applyBorder="1" applyAlignment="1">
      <alignment horizontal="center" vertical="center"/>
    </xf>
    <xf numFmtId="0" fontId="0" fillId="7" borderId="0" xfId="0" applyFill="1" applyAlignment="1">
      <alignment horizontal="center"/>
    </xf>
    <xf numFmtId="9" fontId="5" fillId="6" borderId="12" xfId="0" applyNumberFormat="1" applyFont="1" applyFill="1" applyBorder="1" applyAlignment="1" applyProtection="1">
      <alignment horizontal="center" vertical="center"/>
      <protection locked="0"/>
    </xf>
    <xf numFmtId="0" fontId="5" fillId="7" borderId="27" xfId="0" applyFont="1" applyFill="1" applyBorder="1" applyAlignment="1">
      <alignment horizontal="right" vertical="center" indent="1"/>
    </xf>
    <xf numFmtId="0" fontId="24" fillId="7" borderId="27" xfId="0" applyFont="1" applyFill="1" applyBorder="1"/>
    <xf numFmtId="0" fontId="7" fillId="0" borderId="43" xfId="0" applyFont="1" applyBorder="1" applyAlignment="1">
      <alignment horizontal="right" vertical="center" indent="1"/>
    </xf>
    <xf numFmtId="0" fontId="23" fillId="7" borderId="27" xfId="0" applyFont="1" applyFill="1" applyBorder="1"/>
    <xf numFmtId="0" fontId="24" fillId="0" borderId="36" xfId="0" applyFont="1" applyBorder="1" applyAlignment="1">
      <alignment vertical="center"/>
    </xf>
    <xf numFmtId="0" fontId="62" fillId="0" borderId="0" xfId="0" applyFont="1"/>
    <xf numFmtId="0" fontId="0" fillId="7" borderId="10" xfId="0" applyFill="1" applyBorder="1"/>
    <xf numFmtId="0" fontId="0" fillId="7" borderId="15" xfId="0" applyFill="1" applyBorder="1"/>
    <xf numFmtId="0" fontId="11" fillId="12" borderId="12" xfId="0" applyFont="1" applyFill="1" applyBorder="1" applyAlignment="1" applyProtection="1">
      <alignment horizontal="center" vertical="center"/>
      <protection locked="0"/>
    </xf>
    <xf numFmtId="0" fontId="11" fillId="17" borderId="8" xfId="0" applyFont="1" applyFill="1" applyBorder="1" applyAlignment="1">
      <alignment vertical="center"/>
    </xf>
    <xf numFmtId="0" fontId="0" fillId="17" borderId="8" xfId="0" applyFill="1" applyBorder="1"/>
    <xf numFmtId="0" fontId="4" fillId="17" borderId="8" xfId="0" applyFont="1" applyFill="1" applyBorder="1" applyAlignment="1">
      <alignment vertical="center"/>
    </xf>
    <xf numFmtId="0" fontId="0" fillId="7" borderId="0" xfId="0" applyFill="1" applyAlignment="1">
      <alignment horizontal="right" wrapText="1" indent="1"/>
    </xf>
    <xf numFmtId="0" fontId="5" fillId="15" borderId="0" xfId="0" applyFont="1" applyFill="1" applyAlignment="1" applyProtection="1">
      <alignment vertical="center"/>
      <protection locked="0"/>
    </xf>
    <xf numFmtId="0" fontId="7" fillId="7" borderId="5" xfId="0" applyFont="1" applyFill="1" applyBorder="1" applyAlignment="1">
      <alignment horizontal="center" vertical="center"/>
    </xf>
    <xf numFmtId="0" fontId="47" fillId="0" borderId="0" xfId="0" applyFont="1" applyProtection="1">
      <protection hidden="1"/>
    </xf>
    <xf numFmtId="0" fontId="1" fillId="7" borderId="0" xfId="0" applyFont="1" applyFill="1" applyAlignment="1">
      <alignment horizontal="left" vertical="center" indent="1"/>
    </xf>
    <xf numFmtId="0" fontId="7" fillId="7" borderId="4" xfId="0" applyFont="1" applyFill="1" applyBorder="1"/>
    <xf numFmtId="0" fontId="17" fillId="7" borderId="4" xfId="0" applyFont="1" applyFill="1" applyBorder="1" applyAlignment="1">
      <alignment horizontal="right" vertical="center"/>
    </xf>
    <xf numFmtId="0" fontId="1" fillId="7" borderId="0" xfId="0" applyFont="1" applyFill="1" applyAlignment="1">
      <alignment horizontal="left" vertical="top"/>
    </xf>
    <xf numFmtId="0" fontId="5" fillId="18" borderId="8" xfId="0" applyFont="1" applyFill="1" applyBorder="1" applyAlignment="1">
      <alignment horizontal="center" vertical="center"/>
    </xf>
    <xf numFmtId="0" fontId="5" fillId="15" borderId="0" xfId="0" applyFont="1" applyFill="1" applyAlignment="1">
      <alignment vertical="center"/>
    </xf>
    <xf numFmtId="3" fontId="5" fillId="7" borderId="0" xfId="0" applyNumberFormat="1" applyFont="1" applyFill="1" applyAlignment="1">
      <alignment vertical="center"/>
    </xf>
    <xf numFmtId="10" fontId="7" fillId="0" borderId="30" xfId="0" applyNumberFormat="1" applyFont="1" applyBorder="1" applyAlignment="1">
      <alignment vertical="center"/>
    </xf>
    <xf numFmtId="0" fontId="52" fillId="0" borderId="9" xfId="0" applyFont="1" applyBorder="1"/>
    <xf numFmtId="0" fontId="11" fillId="0" borderId="25" xfId="0" applyFont="1" applyBorder="1" applyAlignment="1">
      <alignment vertical="center"/>
    </xf>
    <xf numFmtId="0" fontId="0" fillId="7" borderId="37" xfId="0" applyFill="1" applyBorder="1"/>
    <xf numFmtId="0" fontId="2" fillId="7" borderId="10" xfId="0" applyFont="1" applyFill="1" applyBorder="1"/>
    <xf numFmtId="165" fontId="7" fillId="7" borderId="14" xfId="0" applyNumberFormat="1" applyFont="1" applyFill="1" applyBorder="1" applyAlignment="1">
      <alignment horizontal="center"/>
    </xf>
    <xf numFmtId="0" fontId="0" fillId="0" borderId="5" xfId="0" applyBorder="1"/>
    <xf numFmtId="0" fontId="19" fillId="7" borderId="7" xfId="0" applyFont="1" applyFill="1" applyBorder="1" applyAlignment="1">
      <alignment horizontal="center" vertical="center"/>
    </xf>
    <xf numFmtId="0" fontId="0" fillId="7" borderId="8" xfId="0" applyFill="1" applyBorder="1" applyAlignment="1">
      <alignment horizontal="center" vertical="center"/>
    </xf>
    <xf numFmtId="0" fontId="0" fillId="7" borderId="29" xfId="0" applyFill="1" applyBorder="1" applyAlignment="1">
      <alignment horizontal="center" vertical="center"/>
    </xf>
    <xf numFmtId="0" fontId="9" fillId="7" borderId="0" xfId="0" applyFont="1" applyFill="1" applyAlignment="1">
      <alignment vertical="center"/>
    </xf>
    <xf numFmtId="0" fontId="5" fillId="7" borderId="10" xfId="0" applyFont="1" applyFill="1" applyBorder="1" applyAlignment="1">
      <alignment horizontal="left" indent="3"/>
    </xf>
    <xf numFmtId="0" fontId="5" fillId="7" borderId="10" xfId="0" applyFont="1" applyFill="1" applyBorder="1" applyAlignment="1">
      <alignment horizontal="left" indent="4"/>
    </xf>
    <xf numFmtId="0" fontId="5" fillId="7" borderId="24" xfId="0" applyFont="1" applyFill="1" applyBorder="1" applyAlignment="1">
      <alignment horizontal="left" indent="4"/>
    </xf>
    <xf numFmtId="0" fontId="7" fillId="7" borderId="10" xfId="0" applyFont="1" applyFill="1" applyBorder="1" applyAlignment="1">
      <alignment horizontal="left" vertical="center"/>
    </xf>
    <xf numFmtId="0" fontId="29" fillId="7" borderId="10" xfId="0" applyFont="1" applyFill="1" applyBorder="1" applyAlignment="1">
      <alignment horizontal="center"/>
    </xf>
    <xf numFmtId="0" fontId="29" fillId="7" borderId="15" xfId="0" applyFont="1" applyFill="1" applyBorder="1" applyAlignment="1">
      <alignment horizontal="center"/>
    </xf>
    <xf numFmtId="165" fontId="7" fillId="7" borderId="0" xfId="0" applyNumberFormat="1" applyFont="1" applyFill="1"/>
    <xf numFmtId="0" fontId="29" fillId="7" borderId="0" xfId="0" applyFont="1" applyFill="1" applyAlignment="1">
      <alignment horizontal="left" indent="1"/>
    </xf>
    <xf numFmtId="0" fontId="29" fillId="7" borderId="0" xfId="0" applyFont="1" applyFill="1" applyAlignment="1">
      <alignment horizontal="center"/>
    </xf>
    <xf numFmtId="0" fontId="11" fillId="7" borderId="25" xfId="0" applyFont="1" applyFill="1" applyBorder="1" applyAlignment="1">
      <alignment vertical="center"/>
    </xf>
    <xf numFmtId="3" fontId="13" fillId="11" borderId="9" xfId="0" applyNumberFormat="1" applyFont="1" applyFill="1" applyBorder="1" applyAlignment="1">
      <alignment horizontal="center" vertical="center"/>
    </xf>
    <xf numFmtId="0" fontId="14" fillId="7" borderId="6" xfId="0" applyFont="1" applyFill="1" applyBorder="1" applyAlignment="1">
      <alignment vertical="center" wrapText="1"/>
    </xf>
    <xf numFmtId="0" fontId="14" fillId="7" borderId="6" xfId="0" applyFont="1" applyFill="1" applyBorder="1" applyAlignment="1">
      <alignment wrapText="1"/>
    </xf>
    <xf numFmtId="0" fontId="0" fillId="0" borderId="6" xfId="0" applyBorder="1"/>
    <xf numFmtId="0" fontId="10" fillId="7" borderId="0" xfId="0" applyFont="1" applyFill="1" applyAlignment="1">
      <alignment horizontal="center" vertical="center" wrapText="1"/>
    </xf>
    <xf numFmtId="0" fontId="29" fillId="7" borderId="0" xfId="0" applyFont="1" applyFill="1" applyAlignment="1">
      <alignment horizontal="left" wrapText="1"/>
    </xf>
    <xf numFmtId="0" fontId="0" fillId="7" borderId="10" xfId="0" applyFill="1" applyBorder="1" applyAlignment="1">
      <alignment wrapText="1"/>
    </xf>
    <xf numFmtId="165" fontId="7" fillId="7" borderId="10" xfId="0" applyNumberFormat="1" applyFont="1" applyFill="1" applyBorder="1" applyAlignment="1">
      <alignment vertical="center"/>
    </xf>
    <xf numFmtId="0" fontId="52" fillId="7" borderId="0" xfId="0" applyFont="1" applyFill="1" applyAlignment="1">
      <alignment horizontal="left" vertical="center" indent="4"/>
    </xf>
    <xf numFmtId="0" fontId="55" fillId="7" borderId="60" xfId="0" applyFont="1" applyFill="1" applyBorder="1" applyAlignment="1">
      <alignment horizontal="left" vertical="center"/>
    </xf>
    <xf numFmtId="0" fontId="55" fillId="0" borderId="61" xfId="0" applyFont="1" applyBorder="1"/>
    <xf numFmtId="5" fontId="55" fillId="11" borderId="61" xfId="0" applyNumberFormat="1" applyFont="1" applyFill="1" applyBorder="1" applyAlignment="1">
      <alignment horizontal="right" vertical="center"/>
    </xf>
    <xf numFmtId="0" fontId="55" fillId="7" borderId="56" xfId="0" applyFont="1" applyFill="1" applyBorder="1" applyAlignment="1">
      <alignment horizontal="left" vertical="center"/>
    </xf>
    <xf numFmtId="0" fontId="55" fillId="0" borderId="57" xfId="0" applyFont="1" applyBorder="1"/>
    <xf numFmtId="5" fontId="55" fillId="11" borderId="57" xfId="0" applyNumberFormat="1" applyFont="1" applyFill="1" applyBorder="1" applyAlignment="1">
      <alignment horizontal="right" vertical="center"/>
    </xf>
    <xf numFmtId="0" fontId="55" fillId="7" borderId="54" xfId="0" applyFont="1" applyFill="1" applyBorder="1" applyAlignment="1">
      <alignment horizontal="left" vertical="center"/>
    </xf>
    <xf numFmtId="0" fontId="55" fillId="0" borderId="55" xfId="0" applyFont="1" applyBorder="1"/>
    <xf numFmtId="5" fontId="55" fillId="11" borderId="55" xfId="0" applyNumberFormat="1" applyFont="1" applyFill="1" applyBorder="1" applyAlignment="1">
      <alignment horizontal="right" vertical="center"/>
    </xf>
    <xf numFmtId="0" fontId="55" fillId="7" borderId="49" xfId="0" applyFont="1" applyFill="1" applyBorder="1" applyAlignment="1">
      <alignment horizontal="left" vertical="center"/>
    </xf>
    <xf numFmtId="0" fontId="55" fillId="0" borderId="48" xfId="0" applyFont="1" applyBorder="1"/>
    <xf numFmtId="5" fontId="55" fillId="11" borderId="48" xfId="0" applyNumberFormat="1" applyFont="1" applyFill="1" applyBorder="1" applyAlignment="1">
      <alignment horizontal="right" vertical="center"/>
    </xf>
    <xf numFmtId="0" fontId="55" fillId="7" borderId="52" xfId="0" applyFont="1" applyFill="1" applyBorder="1" applyAlignment="1">
      <alignment horizontal="left" vertical="center"/>
    </xf>
    <xf numFmtId="0" fontId="55" fillId="0" borderId="53" xfId="0" applyFont="1" applyBorder="1"/>
    <xf numFmtId="5" fontId="55" fillId="11" borderId="53" xfId="0" applyNumberFormat="1" applyFont="1" applyFill="1" applyBorder="1" applyAlignment="1">
      <alignment horizontal="right" vertical="center"/>
    </xf>
    <xf numFmtId="0" fontId="55" fillId="7" borderId="58" xfId="0" applyFont="1" applyFill="1" applyBorder="1" applyAlignment="1">
      <alignment horizontal="left" vertical="center"/>
    </xf>
    <xf numFmtId="0" fontId="55" fillId="0" borderId="59" xfId="0" applyFont="1" applyBorder="1"/>
    <xf numFmtId="5" fontId="55" fillId="11" borderId="59" xfId="0" applyNumberFormat="1" applyFont="1" applyFill="1" applyBorder="1" applyAlignment="1">
      <alignment horizontal="right" vertical="center"/>
    </xf>
    <xf numFmtId="0" fontId="55" fillId="7" borderId="50" xfId="0" applyFont="1" applyFill="1" applyBorder="1" applyAlignment="1">
      <alignment horizontal="left" vertical="center"/>
    </xf>
    <xf numFmtId="0" fontId="55" fillId="0" borderId="51" xfId="0" applyFont="1" applyBorder="1"/>
    <xf numFmtId="5" fontId="55" fillId="11" borderId="51" xfId="0" applyNumberFormat="1" applyFont="1" applyFill="1" applyBorder="1" applyAlignment="1">
      <alignment horizontal="right" vertical="center"/>
    </xf>
    <xf numFmtId="165" fontId="0" fillId="11" borderId="1" xfId="0" applyNumberFormat="1" applyFill="1" applyBorder="1"/>
    <xf numFmtId="0" fontId="11" fillId="16" borderId="12" xfId="0" applyFont="1" applyFill="1" applyBorder="1" applyAlignment="1">
      <alignment horizontal="center" vertical="center"/>
    </xf>
    <xf numFmtId="3" fontId="20" fillId="7" borderId="28" xfId="0" applyNumberFormat="1" applyFont="1" applyFill="1" applyBorder="1" applyAlignment="1">
      <alignment horizontal="center"/>
    </xf>
    <xf numFmtId="0" fontId="32" fillId="7" borderId="28" xfId="0" applyFont="1" applyFill="1" applyBorder="1"/>
    <xf numFmtId="0" fontId="15" fillId="7" borderId="36" xfId="0" applyFont="1" applyFill="1" applyBorder="1" applyAlignment="1">
      <alignment wrapText="1"/>
    </xf>
    <xf numFmtId="3" fontId="17" fillId="7" borderId="4" xfId="0" applyNumberFormat="1" applyFont="1" applyFill="1" applyBorder="1"/>
    <xf numFmtId="0" fontId="0" fillId="0" borderId="0" xfId="0" applyAlignment="1">
      <alignment wrapText="1"/>
    </xf>
    <xf numFmtId="0" fontId="52" fillId="0" borderId="0" xfId="0" applyFont="1" applyAlignment="1" applyProtection="1">
      <alignment wrapText="1"/>
      <protection hidden="1"/>
    </xf>
    <xf numFmtId="0" fontId="52" fillId="0" borderId="0" xfId="0" applyFont="1" applyAlignment="1">
      <alignment wrapText="1"/>
    </xf>
    <xf numFmtId="0" fontId="6" fillId="7" borderId="0" xfId="0" applyFont="1" applyFill="1" applyProtection="1">
      <protection hidden="1"/>
    </xf>
    <xf numFmtId="0" fontId="6" fillId="0" borderId="0" xfId="0" applyFont="1" applyProtection="1">
      <protection hidden="1"/>
    </xf>
    <xf numFmtId="0" fontId="18" fillId="7" borderId="0" xfId="0" quotePrefix="1" applyFont="1" applyFill="1" applyAlignment="1">
      <alignment vertical="center"/>
    </xf>
    <xf numFmtId="0" fontId="2" fillId="11" borderId="9" xfId="0" applyFont="1" applyFill="1" applyBorder="1" applyAlignment="1">
      <alignment horizontal="center" vertical="center"/>
    </xf>
    <xf numFmtId="0" fontId="6" fillId="0" borderId="0" xfId="0" applyFont="1" applyAlignment="1" applyProtection="1">
      <alignment wrapText="1"/>
      <protection hidden="1"/>
    </xf>
    <xf numFmtId="0" fontId="6" fillId="7" borderId="39" xfId="0" applyFont="1" applyFill="1" applyBorder="1"/>
    <xf numFmtId="0" fontId="8" fillId="7" borderId="2" xfId="0" applyFont="1" applyFill="1" applyBorder="1" applyAlignment="1">
      <alignment horizontal="center" vertical="center"/>
    </xf>
    <xf numFmtId="10" fontId="7" fillId="6" borderId="5" xfId="0" applyNumberFormat="1" applyFont="1" applyFill="1" applyBorder="1" applyAlignment="1" applyProtection="1">
      <alignment horizontal="right" vertical="center" indent="1"/>
      <protection locked="0"/>
    </xf>
    <xf numFmtId="0" fontId="7" fillId="7" borderId="9" xfId="0" applyFont="1" applyFill="1" applyBorder="1"/>
    <xf numFmtId="0" fontId="17" fillId="7" borderId="10" xfId="0" applyFont="1" applyFill="1" applyBorder="1" applyAlignment="1">
      <alignment horizontal="right" indent="1"/>
    </xf>
    <xf numFmtId="0" fontId="6" fillId="0" borderId="15" xfId="0" applyFont="1" applyBorder="1" applyAlignment="1">
      <alignment vertical="center"/>
    </xf>
    <xf numFmtId="166" fontId="52" fillId="11" borderId="0" xfId="0" applyNumberFormat="1" applyFont="1" applyFill="1"/>
    <xf numFmtId="0" fontId="8" fillId="7" borderId="34" xfId="0" applyFont="1" applyFill="1" applyBorder="1" applyAlignment="1">
      <alignment horizontal="center" vertical="center"/>
    </xf>
    <xf numFmtId="0" fontId="1" fillId="7" borderId="32" xfId="0" applyFont="1" applyFill="1" applyBorder="1" applyAlignment="1">
      <alignment horizontal="center" vertical="center"/>
    </xf>
    <xf numFmtId="10" fontId="60" fillId="7" borderId="7" xfId="0" applyNumberFormat="1" applyFont="1" applyFill="1" applyBorder="1" applyAlignment="1">
      <alignment horizontal="right" vertical="center" indent="1"/>
    </xf>
    <xf numFmtId="0" fontId="53" fillId="0" borderId="0" xfId="0" applyFont="1"/>
    <xf numFmtId="165" fontId="60" fillId="7" borderId="12" xfId="0" applyNumberFormat="1" applyFont="1" applyFill="1" applyBorder="1" applyAlignment="1" applyProtection="1">
      <alignment vertical="center"/>
      <protection locked="0"/>
    </xf>
    <xf numFmtId="0" fontId="66" fillId="19" borderId="1" xfId="0" applyFont="1" applyFill="1" applyBorder="1" applyAlignment="1" applyProtection="1">
      <alignment vertical="center" wrapText="1"/>
      <protection locked="0"/>
    </xf>
    <xf numFmtId="0" fontId="68" fillId="19" borderId="1" xfId="0" applyFont="1" applyFill="1" applyBorder="1" applyAlignment="1">
      <alignment horizontal="left" vertical="top" wrapText="1"/>
    </xf>
    <xf numFmtId="0" fontId="66" fillId="19" borderId="1" xfId="0" applyFont="1" applyFill="1" applyBorder="1" applyAlignment="1" applyProtection="1">
      <alignment horizontal="center" vertical="center" wrapText="1"/>
      <protection locked="0"/>
    </xf>
    <xf numFmtId="0" fontId="0" fillId="19" borderId="0" xfId="0" applyFill="1"/>
    <xf numFmtId="0" fontId="17" fillId="0" borderId="0" xfId="0" applyFont="1" applyAlignment="1">
      <alignment vertical="center"/>
    </xf>
    <xf numFmtId="0" fontId="7" fillId="0" borderId="0" xfId="0" applyFont="1" applyAlignment="1">
      <alignment vertical="center" wrapText="1"/>
    </xf>
    <xf numFmtId="0" fontId="0" fillId="7" borderId="14" xfId="0" applyFill="1" applyBorder="1"/>
    <xf numFmtId="0" fontId="7" fillId="7" borderId="66" xfId="0" applyFont="1" applyFill="1" applyBorder="1" applyAlignment="1">
      <alignment horizontal="center" vertical="center"/>
    </xf>
    <xf numFmtId="0" fontId="7" fillId="7" borderId="69" xfId="0" applyFont="1" applyFill="1" applyBorder="1" applyAlignment="1">
      <alignment horizontal="center" vertical="center"/>
    </xf>
    <xf numFmtId="0" fontId="7" fillId="7" borderId="69" xfId="0" applyFont="1" applyFill="1" applyBorder="1" applyAlignment="1">
      <alignment horizontal="left" vertical="center"/>
    </xf>
    <xf numFmtId="0" fontId="7" fillId="7" borderId="72" xfId="0" applyFont="1" applyFill="1" applyBorder="1" applyAlignment="1">
      <alignment vertical="center"/>
    </xf>
    <xf numFmtId="0" fontId="7" fillId="7" borderId="73" xfId="0" applyFont="1" applyFill="1" applyBorder="1" applyAlignment="1">
      <alignment vertical="center"/>
    </xf>
    <xf numFmtId="0" fontId="7" fillId="7" borderId="73" xfId="0" applyFont="1" applyFill="1" applyBorder="1" applyAlignment="1">
      <alignment vertical="center" wrapText="1"/>
    </xf>
    <xf numFmtId="0" fontId="7" fillId="7" borderId="75" xfId="0" applyFont="1" applyFill="1" applyBorder="1" applyAlignment="1">
      <alignment vertical="center"/>
    </xf>
    <xf numFmtId="0" fontId="7" fillId="7" borderId="76" xfId="0" applyFont="1" applyFill="1" applyBorder="1" applyAlignment="1">
      <alignment vertical="center"/>
    </xf>
    <xf numFmtId="0" fontId="7" fillId="7" borderId="76" xfId="0" applyFont="1" applyFill="1" applyBorder="1" applyAlignment="1">
      <alignment vertical="center" wrapText="1"/>
    </xf>
    <xf numFmtId="0" fontId="6" fillId="7" borderId="41" xfId="0" applyFont="1" applyFill="1" applyBorder="1" applyAlignment="1">
      <alignment horizontal="center" vertical="center"/>
    </xf>
    <xf numFmtId="0" fontId="7" fillId="7" borderId="66" xfId="0" applyFont="1" applyFill="1" applyBorder="1" applyAlignment="1">
      <alignment vertical="center"/>
    </xf>
    <xf numFmtId="0" fontId="7" fillId="7" borderId="69" xfId="0" applyFont="1" applyFill="1" applyBorder="1" applyAlignment="1">
      <alignment vertical="center"/>
    </xf>
    <xf numFmtId="0" fontId="7" fillId="7" borderId="69" xfId="0" applyFont="1" applyFill="1" applyBorder="1" applyAlignment="1">
      <alignment vertical="center" wrapText="1"/>
    </xf>
    <xf numFmtId="0" fontId="6" fillId="7" borderId="12" xfId="0" applyFont="1" applyFill="1" applyBorder="1" applyAlignment="1">
      <alignment horizontal="center" vertical="center"/>
    </xf>
    <xf numFmtId="0" fontId="7" fillId="7" borderId="74" xfId="0" applyFont="1" applyFill="1" applyBorder="1" applyAlignment="1">
      <alignment vertical="center"/>
    </xf>
    <xf numFmtId="0" fontId="7" fillId="7" borderId="1" xfId="0" applyFont="1" applyFill="1" applyBorder="1" applyAlignment="1">
      <alignment vertical="center"/>
    </xf>
    <xf numFmtId="0" fontId="6" fillId="7" borderId="12" xfId="0" applyFont="1" applyFill="1" applyBorder="1"/>
    <xf numFmtId="0" fontId="6" fillId="7" borderId="14" xfId="0" applyFont="1" applyFill="1" applyBorder="1" applyAlignment="1">
      <alignment horizontal="center" vertical="center"/>
    </xf>
    <xf numFmtId="0" fontId="7" fillId="7" borderId="77" xfId="0" applyFont="1" applyFill="1" applyBorder="1" applyAlignment="1">
      <alignment vertical="center"/>
    </xf>
    <xf numFmtId="0" fontId="7" fillId="7" borderId="78" xfId="0" applyFont="1" applyFill="1" applyBorder="1" applyAlignment="1">
      <alignment vertical="center" wrapText="1"/>
    </xf>
    <xf numFmtId="0" fontId="7" fillId="7" borderId="79" xfId="0" applyFont="1" applyFill="1" applyBorder="1" applyAlignment="1">
      <alignment vertical="center"/>
    </xf>
    <xf numFmtId="0" fontId="7" fillId="7" borderId="80" xfId="0" applyFont="1" applyFill="1" applyBorder="1" applyAlignment="1">
      <alignment vertical="center" wrapText="1"/>
    </xf>
    <xf numFmtId="0" fontId="6" fillId="7" borderId="73" xfId="0" applyFont="1" applyFill="1" applyBorder="1" applyAlignment="1">
      <alignment vertical="center" wrapText="1"/>
    </xf>
    <xf numFmtId="0" fontId="17" fillId="7" borderId="73" xfId="0" applyFont="1" applyFill="1" applyBorder="1" applyAlignment="1">
      <alignment vertical="center" wrapText="1"/>
    </xf>
    <xf numFmtId="0" fontId="6" fillId="7" borderId="76" xfId="0" applyFont="1" applyFill="1" applyBorder="1" applyAlignment="1">
      <alignment vertical="center" wrapText="1"/>
    </xf>
    <xf numFmtId="0" fontId="17" fillId="7" borderId="76" xfId="0" applyFont="1" applyFill="1" applyBorder="1" applyAlignment="1">
      <alignment vertical="center" wrapText="1"/>
    </xf>
    <xf numFmtId="0" fontId="6" fillId="7" borderId="69" xfId="0" applyFont="1" applyFill="1" applyBorder="1" applyAlignment="1">
      <alignment vertical="center" wrapText="1"/>
    </xf>
    <xf numFmtId="0" fontId="17" fillId="7" borderId="69" xfId="0" applyFont="1" applyFill="1" applyBorder="1" applyAlignment="1">
      <alignment vertical="center" wrapText="1"/>
    </xf>
    <xf numFmtId="0" fontId="6" fillId="7" borderId="78" xfId="0" applyFont="1" applyFill="1" applyBorder="1" applyAlignment="1">
      <alignment vertical="center" wrapText="1"/>
    </xf>
    <xf numFmtId="0" fontId="17" fillId="7" borderId="78" xfId="0" applyFont="1" applyFill="1" applyBorder="1" applyAlignment="1">
      <alignment vertical="center" wrapText="1"/>
    </xf>
    <xf numFmtId="0" fontId="6" fillId="7" borderId="1" xfId="0" applyFont="1" applyFill="1" applyBorder="1" applyAlignment="1">
      <alignment vertical="center" wrapText="1"/>
    </xf>
    <xf numFmtId="0" fontId="17" fillId="7" borderId="1" xfId="0" applyFont="1" applyFill="1" applyBorder="1" applyAlignment="1">
      <alignment vertical="center" wrapText="1"/>
    </xf>
    <xf numFmtId="0" fontId="6" fillId="7" borderId="80" xfId="0" applyFont="1" applyFill="1" applyBorder="1" applyAlignment="1">
      <alignment vertical="center" wrapText="1"/>
    </xf>
    <xf numFmtId="0" fontId="17" fillId="7" borderId="80" xfId="0" applyFont="1" applyFill="1" applyBorder="1" applyAlignment="1">
      <alignment vertical="center" wrapText="1"/>
    </xf>
    <xf numFmtId="0" fontId="5" fillId="7" borderId="9" xfId="0" applyFont="1" applyFill="1" applyBorder="1" applyAlignment="1">
      <alignment horizontal="left" vertical="center" indent="1"/>
    </xf>
    <xf numFmtId="0" fontId="14" fillId="7" borderId="10" xfId="0" applyFont="1" applyFill="1" applyBorder="1" applyAlignment="1">
      <alignment vertical="center" wrapText="1"/>
    </xf>
    <xf numFmtId="0" fontId="14" fillId="7" borderId="15" xfId="0" applyFont="1" applyFill="1" applyBorder="1" applyAlignment="1">
      <alignment wrapText="1"/>
    </xf>
    <xf numFmtId="0" fontId="10" fillId="7" borderId="0" xfId="0" applyFont="1" applyFill="1" applyAlignment="1">
      <alignment vertical="top"/>
    </xf>
    <xf numFmtId="0" fontId="7" fillId="0" borderId="5" xfId="0" applyFont="1" applyBorder="1" applyAlignment="1">
      <alignment horizontal="center" vertical="center" wrapText="1"/>
    </xf>
    <xf numFmtId="0" fontId="6" fillId="0" borderId="0" xfId="0" quotePrefix="1" applyFont="1"/>
    <xf numFmtId="0" fontId="1" fillId="7" borderId="0" xfId="0" applyFont="1" applyFill="1" applyAlignment="1">
      <alignment vertical="top"/>
    </xf>
    <xf numFmtId="0" fontId="7" fillId="7" borderId="17" xfId="0" applyFont="1" applyFill="1" applyBorder="1" applyAlignment="1">
      <alignment horizontal="left" vertical="center" indent="1"/>
    </xf>
    <xf numFmtId="0" fontId="7" fillId="7" borderId="3" xfId="0" applyFont="1" applyFill="1" applyBorder="1" applyAlignment="1">
      <alignment horizontal="left" indent="1"/>
    </xf>
    <xf numFmtId="0" fontId="6" fillId="7" borderId="3" xfId="0" applyFont="1" applyFill="1" applyBorder="1" applyAlignment="1">
      <alignment horizontal="left" vertical="center" indent="1"/>
    </xf>
    <xf numFmtId="0" fontId="7" fillId="7" borderId="2" xfId="0" applyFont="1" applyFill="1" applyBorder="1" applyAlignment="1">
      <alignment horizontal="left" vertical="center" indent="1"/>
    </xf>
    <xf numFmtId="165" fontId="7" fillId="6" borderId="14" xfId="0" applyNumberFormat="1" applyFont="1" applyFill="1" applyBorder="1" applyAlignment="1" applyProtection="1">
      <alignment vertical="center"/>
      <protection locked="0"/>
    </xf>
    <xf numFmtId="0" fontId="6" fillId="0" borderId="3" xfId="0" applyFont="1" applyBorder="1" applyAlignment="1">
      <alignment vertical="center"/>
    </xf>
    <xf numFmtId="0" fontId="6" fillId="0" borderId="2" xfId="0" applyFont="1" applyBorder="1" applyAlignment="1">
      <alignment vertical="center"/>
    </xf>
    <xf numFmtId="0" fontId="72" fillId="7" borderId="0" xfId="0" applyFont="1" applyFill="1" applyAlignment="1">
      <alignment horizontal="left" indent="1"/>
    </xf>
    <xf numFmtId="0" fontId="73" fillId="7" borderId="0" xfId="0" applyFont="1" applyFill="1"/>
    <xf numFmtId="0" fontId="72" fillId="7" borderId="0" xfId="0" applyFont="1" applyFill="1" applyAlignment="1">
      <alignment horizontal="left" vertical="top" indent="1"/>
    </xf>
    <xf numFmtId="0" fontId="72" fillId="7" borderId="0" xfId="0" applyFont="1" applyFill="1" applyAlignment="1">
      <alignment horizontal="left"/>
    </xf>
    <xf numFmtId="0" fontId="52" fillId="7" borderId="0" xfId="0" applyFont="1" applyFill="1" applyProtection="1">
      <protection hidden="1"/>
    </xf>
    <xf numFmtId="0" fontId="2" fillId="7" borderId="0" xfId="0" applyFont="1" applyFill="1" applyAlignment="1">
      <alignment horizontal="left" vertical="top"/>
    </xf>
    <xf numFmtId="0" fontId="61" fillId="7" borderId="0" xfId="0" applyFont="1" applyFill="1" applyAlignment="1">
      <alignment horizontal="left" vertical="center" indent="2"/>
    </xf>
    <xf numFmtId="0" fontId="5" fillId="7" borderId="9" xfId="0" applyFont="1" applyFill="1" applyBorder="1" applyAlignment="1">
      <alignment horizontal="left" vertical="center"/>
    </xf>
    <xf numFmtId="0" fontId="5" fillId="7" borderId="15" xfId="0" applyFont="1" applyFill="1" applyBorder="1" applyAlignment="1">
      <alignment horizontal="left" vertical="center"/>
    </xf>
    <xf numFmtId="0" fontId="5" fillId="7" borderId="27" xfId="0" applyFont="1" applyFill="1" applyBorder="1" applyAlignment="1">
      <alignment horizontal="left" vertical="center"/>
    </xf>
    <xf numFmtId="0" fontId="4" fillId="7" borderId="9" xfId="0" applyFont="1" applyFill="1" applyBorder="1" applyAlignment="1">
      <alignment horizontal="left" vertical="center"/>
    </xf>
    <xf numFmtId="0" fontId="17" fillId="0" borderId="0" xfId="0" applyFont="1" applyAlignment="1">
      <alignment horizontal="left" vertical="center" indent="1"/>
    </xf>
    <xf numFmtId="0" fontId="29" fillId="7" borderId="8" xfId="0" applyFont="1" applyFill="1" applyBorder="1" applyAlignment="1">
      <alignment horizontal="left" wrapText="1"/>
    </xf>
    <xf numFmtId="0" fontId="31" fillId="7" borderId="8" xfId="0" applyFont="1" applyFill="1" applyBorder="1" applyAlignment="1">
      <alignment horizontal="left" vertical="center" wrapText="1"/>
    </xf>
    <xf numFmtId="0" fontId="2" fillId="7" borderId="5" xfId="0" applyFont="1" applyFill="1" applyBorder="1" applyAlignment="1">
      <alignment horizontal="right" vertical="center"/>
    </xf>
    <xf numFmtId="0" fontId="2" fillId="7" borderId="27" xfId="0" applyFont="1" applyFill="1" applyBorder="1" applyAlignment="1">
      <alignment horizontal="left" vertical="center" indent="1"/>
    </xf>
    <xf numFmtId="0" fontId="2" fillId="7" borderId="13" xfId="0" applyFont="1" applyFill="1" applyBorder="1" applyAlignment="1">
      <alignment horizontal="right" vertical="center"/>
    </xf>
    <xf numFmtId="0" fontId="2" fillId="7" borderId="28" xfId="0" applyFont="1" applyFill="1" applyBorder="1" applyAlignment="1">
      <alignment horizontal="left" vertical="center" indent="1"/>
    </xf>
    <xf numFmtId="0" fontId="2" fillId="7" borderId="7" xfId="0" applyFont="1" applyFill="1" applyBorder="1" applyAlignment="1">
      <alignment horizontal="right" vertical="center"/>
    </xf>
    <xf numFmtId="0" fontId="2" fillId="7" borderId="29" xfId="0" applyFont="1" applyFill="1" applyBorder="1" applyAlignment="1">
      <alignment horizontal="left" vertical="center" indent="1"/>
    </xf>
    <xf numFmtId="0" fontId="0" fillId="7" borderId="0" xfId="0" applyFill="1" applyAlignment="1">
      <alignment horizontal="left" wrapText="1"/>
    </xf>
    <xf numFmtId="0" fontId="0" fillId="7" borderId="6" xfId="0" applyFill="1" applyBorder="1" applyAlignment="1">
      <alignment horizontal="left" wrapText="1"/>
    </xf>
    <xf numFmtId="0" fontId="0" fillId="7" borderId="27" xfId="0" applyFill="1" applyBorder="1" applyAlignment="1">
      <alignment horizontal="left" wrapText="1"/>
    </xf>
    <xf numFmtId="0" fontId="0" fillId="7" borderId="8" xfId="0" applyFill="1" applyBorder="1" applyAlignment="1">
      <alignment horizontal="left" wrapText="1"/>
    </xf>
    <xf numFmtId="0" fontId="0" fillId="7" borderId="29" xfId="0" applyFill="1" applyBorder="1" applyAlignment="1">
      <alignment horizontal="left" wrapText="1"/>
    </xf>
    <xf numFmtId="0" fontId="26" fillId="7" borderId="10" xfId="0" applyFont="1" applyFill="1" applyBorder="1" applyAlignment="1">
      <alignment horizontal="left" vertical="center" indent="1"/>
    </xf>
    <xf numFmtId="0" fontId="14" fillId="7" borderId="8" xfId="0" applyFont="1" applyFill="1" applyBorder="1" applyAlignment="1">
      <alignment vertical="center" wrapText="1"/>
    </xf>
    <xf numFmtId="0" fontId="14" fillId="7" borderId="8" xfId="0" applyFont="1" applyFill="1" applyBorder="1" applyAlignment="1">
      <alignment wrapText="1"/>
    </xf>
    <xf numFmtId="0" fontId="30" fillId="7" borderId="5" xfId="0" quotePrefix="1" applyFont="1" applyFill="1" applyBorder="1" applyAlignment="1">
      <alignment horizontal="left" vertical="center"/>
    </xf>
    <xf numFmtId="0" fontId="30" fillId="7" borderId="7" xfId="0" quotePrefix="1" applyFont="1" applyFill="1" applyBorder="1" applyAlignment="1">
      <alignment horizontal="left" vertical="top"/>
    </xf>
    <xf numFmtId="0" fontId="38" fillId="7" borderId="0" xfId="0" applyFont="1" applyFill="1" applyAlignment="1">
      <alignment horizontal="left" vertical="center" wrapText="1" indent="1"/>
    </xf>
    <xf numFmtId="0" fontId="30" fillId="0" borderId="0" xfId="0" quotePrefix="1" applyFont="1" applyAlignment="1">
      <alignment vertical="center"/>
    </xf>
    <xf numFmtId="165" fontId="5" fillId="11" borderId="12" xfId="0" applyNumberFormat="1" applyFont="1" applyFill="1" applyBorder="1" applyAlignment="1">
      <alignment horizontal="center" vertical="center"/>
    </xf>
    <xf numFmtId="3" fontId="5" fillId="11" borderId="9" xfId="0" applyNumberFormat="1" applyFont="1" applyFill="1" applyBorder="1" applyAlignment="1">
      <alignment horizontal="center" vertical="center" wrapText="1"/>
    </xf>
    <xf numFmtId="164" fontId="5" fillId="11" borderId="12" xfId="0" applyNumberFormat="1" applyFont="1" applyFill="1" applyBorder="1" applyAlignment="1">
      <alignment horizontal="center" vertical="center"/>
    </xf>
    <xf numFmtId="0" fontId="5" fillId="8" borderId="22" xfId="0" applyFont="1" applyFill="1" applyBorder="1" applyAlignment="1">
      <alignment horizontal="center" vertical="center"/>
    </xf>
    <xf numFmtId="0" fontId="5" fillId="8" borderId="16"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2" xfId="0" applyFont="1" applyFill="1" applyBorder="1" applyAlignment="1">
      <alignment horizontal="center" vertical="center"/>
    </xf>
    <xf numFmtId="3" fontId="5" fillId="8" borderId="9" xfId="0" applyNumberFormat="1" applyFont="1" applyFill="1" applyBorder="1" applyAlignment="1">
      <alignment horizontal="center" vertical="center" wrapText="1"/>
    </xf>
    <xf numFmtId="165" fontId="5" fillId="8" borderId="12" xfId="0" applyNumberFormat="1" applyFont="1" applyFill="1" applyBorder="1" applyAlignment="1">
      <alignment horizontal="center" vertical="center"/>
    </xf>
    <xf numFmtId="0" fontId="5" fillId="7" borderId="10" xfId="0" applyFont="1" applyFill="1" applyBorder="1" applyAlignment="1">
      <alignment vertical="center"/>
    </xf>
    <xf numFmtId="0" fontId="17" fillId="7" borderId="10" xfId="0" applyFont="1" applyFill="1" applyBorder="1" applyAlignment="1">
      <alignment vertical="center"/>
    </xf>
    <xf numFmtId="0" fontId="17" fillId="7" borderId="15" xfId="0" applyFont="1" applyFill="1" applyBorder="1" applyAlignment="1">
      <alignment vertical="center"/>
    </xf>
    <xf numFmtId="0" fontId="17" fillId="7" borderId="17" xfId="0" applyFont="1" applyFill="1" applyBorder="1" applyAlignment="1">
      <alignment vertical="center"/>
    </xf>
    <xf numFmtId="0" fontId="17" fillId="7" borderId="31" xfId="0" applyFont="1" applyFill="1" applyBorder="1" applyAlignment="1">
      <alignment vertical="center"/>
    </xf>
    <xf numFmtId="0" fontId="5" fillId="8" borderId="9" xfId="0" applyFont="1" applyFill="1" applyBorder="1" applyAlignment="1">
      <alignment horizontal="center" vertical="center" wrapText="1"/>
    </xf>
    <xf numFmtId="165" fontId="5" fillId="11" borderId="9" xfId="0" applyNumberFormat="1" applyFont="1" applyFill="1" applyBorder="1" applyAlignment="1">
      <alignment horizontal="center" vertical="center"/>
    </xf>
    <xf numFmtId="0" fontId="7" fillId="7" borderId="13" xfId="0" applyFont="1" applyFill="1" applyBorder="1" applyAlignment="1">
      <alignment horizontal="left" vertical="center" indent="1"/>
    </xf>
    <xf numFmtId="3" fontId="5" fillId="7" borderId="0" xfId="0" applyNumberFormat="1" applyFont="1" applyFill="1" applyAlignment="1">
      <alignment horizontal="center" vertical="center"/>
    </xf>
    <xf numFmtId="0" fontId="24" fillId="7" borderId="28" xfId="0" applyFont="1" applyFill="1" applyBorder="1" applyAlignment="1">
      <alignment vertical="center"/>
    </xf>
    <xf numFmtId="3" fontId="28" fillId="7" borderId="0" xfId="0" applyNumberFormat="1" applyFont="1" applyFill="1"/>
    <xf numFmtId="0" fontId="24" fillId="7" borderId="29" xfId="0" applyFont="1" applyFill="1" applyBorder="1" applyAlignment="1">
      <alignment vertical="center"/>
    </xf>
    <xf numFmtId="0" fontId="24" fillId="7" borderId="13" xfId="0" applyFont="1" applyFill="1" applyBorder="1"/>
    <xf numFmtId="0" fontId="1" fillId="7" borderId="13" xfId="0" applyFont="1" applyFill="1" applyBorder="1" applyAlignment="1">
      <alignment horizontal="left" vertical="top"/>
    </xf>
    <xf numFmtId="0" fontId="29" fillId="7" borderId="0" xfId="0" applyFont="1" applyFill="1" applyAlignment="1">
      <alignment horizontal="left" vertical="center" wrapText="1"/>
    </xf>
    <xf numFmtId="0" fontId="2" fillId="7" borderId="0" xfId="0" applyFont="1" applyFill="1" applyAlignment="1">
      <alignment horizontal="right" vertical="top" wrapText="1"/>
    </xf>
    <xf numFmtId="0" fontId="34" fillId="7" borderId="9" xfId="0" applyFont="1" applyFill="1" applyBorder="1" applyAlignment="1">
      <alignment horizontal="left" vertical="center" wrapText="1"/>
    </xf>
    <xf numFmtId="0" fontId="34" fillId="7" borderId="15" xfId="0" applyFont="1" applyFill="1" applyBorder="1" applyAlignment="1">
      <alignment horizontal="left" vertical="center" wrapText="1"/>
    </xf>
    <xf numFmtId="3" fontId="7" fillId="7" borderId="10" xfId="0" applyNumberFormat="1" applyFont="1" applyFill="1" applyBorder="1" applyAlignment="1">
      <alignment horizontal="right" vertical="center" indent="1"/>
    </xf>
    <xf numFmtId="3" fontId="6" fillId="11" borderId="33" xfId="0" applyNumberFormat="1" applyFont="1" applyFill="1" applyBorder="1" applyAlignment="1">
      <alignment horizontal="left" vertical="center" indent="1"/>
    </xf>
    <xf numFmtId="3" fontId="6" fillId="11" borderId="34" xfId="0" applyNumberFormat="1" applyFont="1" applyFill="1" applyBorder="1" applyAlignment="1">
      <alignment horizontal="left" vertical="center" indent="1"/>
    </xf>
    <xf numFmtId="3" fontId="6" fillId="11" borderId="17" xfId="0" applyNumberFormat="1" applyFont="1" applyFill="1" applyBorder="1" applyAlignment="1">
      <alignment horizontal="left" vertical="center" indent="1"/>
    </xf>
    <xf numFmtId="3" fontId="6" fillId="11" borderId="18" xfId="0" applyNumberFormat="1" applyFont="1" applyFill="1" applyBorder="1" applyAlignment="1">
      <alignment horizontal="left" vertical="center" indent="1"/>
    </xf>
    <xf numFmtId="3" fontId="6" fillId="7" borderId="9" xfId="0" applyNumberFormat="1" applyFont="1" applyFill="1" applyBorder="1" applyAlignment="1">
      <alignment horizontal="right" vertical="center" indent="1"/>
    </xf>
    <xf numFmtId="3" fontId="6" fillId="7" borderId="15" xfId="0" applyNumberFormat="1" applyFont="1" applyFill="1" applyBorder="1" applyAlignment="1">
      <alignment horizontal="right" vertical="center" indent="1"/>
    </xf>
    <xf numFmtId="0" fontId="10" fillId="7" borderId="10" xfId="0" applyFont="1" applyFill="1" applyBorder="1" applyAlignment="1">
      <alignment horizontal="center" vertical="center"/>
    </xf>
    <xf numFmtId="0" fontId="10" fillId="7" borderId="10" xfId="0" applyFont="1" applyFill="1" applyBorder="1" applyAlignment="1">
      <alignment horizontal="left" vertical="center" indent="3"/>
    </xf>
    <xf numFmtId="0" fontId="10" fillId="7" borderId="15" xfId="0" applyFont="1" applyFill="1" applyBorder="1" applyAlignment="1">
      <alignment horizontal="center" vertical="center"/>
    </xf>
    <xf numFmtId="0" fontId="29" fillId="7" borderId="9" xfId="0" applyFont="1" applyFill="1" applyBorder="1" applyAlignment="1">
      <alignment horizontal="left" vertical="center" wrapText="1"/>
    </xf>
    <xf numFmtId="0" fontId="29" fillId="7" borderId="15" xfId="0" applyFont="1" applyFill="1" applyBorder="1" applyAlignment="1">
      <alignment horizontal="left" vertical="center" wrapText="1"/>
    </xf>
    <xf numFmtId="0" fontId="10" fillId="0" borderId="29" xfId="0" applyFont="1" applyBorder="1" applyAlignment="1">
      <alignment horizontal="center" vertical="center" wrapText="1"/>
    </xf>
    <xf numFmtId="0" fontId="0" fillId="0" borderId="26" xfId="0" applyBorder="1"/>
    <xf numFmtId="0" fontId="0" fillId="0" borderId="3" xfId="0" applyBorder="1"/>
    <xf numFmtId="0" fontId="5" fillId="11" borderId="34" xfId="0" applyFont="1" applyFill="1" applyBorder="1" applyAlignment="1">
      <alignment vertical="center"/>
    </xf>
    <xf numFmtId="0" fontId="5" fillId="11" borderId="32" xfId="0" applyFont="1" applyFill="1" applyBorder="1" applyAlignment="1">
      <alignment vertical="center"/>
    </xf>
    <xf numFmtId="165" fontId="6" fillId="11" borderId="11" xfId="0" applyNumberFormat="1" applyFont="1" applyFill="1" applyBorder="1" applyAlignment="1">
      <alignment vertical="center"/>
    </xf>
    <xf numFmtId="165" fontId="6" fillId="11" borderId="22" xfId="0" applyNumberFormat="1" applyFont="1" applyFill="1" applyBorder="1" applyAlignment="1">
      <alignment vertical="center"/>
    </xf>
    <xf numFmtId="0" fontId="5" fillId="11" borderId="18" xfId="0" applyFont="1" applyFill="1" applyBorder="1" applyAlignment="1">
      <alignment vertical="center"/>
    </xf>
    <xf numFmtId="3" fontId="6" fillId="11" borderId="18" xfId="0" applyNumberFormat="1" applyFont="1" applyFill="1" applyBorder="1" applyAlignment="1">
      <alignment vertical="center"/>
    </xf>
    <xf numFmtId="165" fontId="6" fillId="11" borderId="16" xfId="0" applyNumberFormat="1" applyFont="1" applyFill="1" applyBorder="1" applyAlignment="1">
      <alignment vertical="center"/>
    </xf>
    <xf numFmtId="3" fontId="6" fillId="11" borderId="32" xfId="0" applyNumberFormat="1" applyFont="1" applyFill="1" applyBorder="1" applyAlignment="1">
      <alignment vertical="center"/>
    </xf>
    <xf numFmtId="165" fontId="6" fillId="11" borderId="19" xfId="0" applyNumberFormat="1" applyFont="1" applyFill="1" applyBorder="1" applyAlignment="1">
      <alignment vertical="center"/>
    </xf>
    <xf numFmtId="0" fontId="5" fillId="7" borderId="12" xfId="0" applyFont="1" applyFill="1" applyBorder="1" applyAlignment="1">
      <alignment horizontal="center" vertical="center"/>
    </xf>
    <xf numFmtId="0" fontId="10" fillId="0" borderId="12" xfId="0" applyFont="1" applyBorder="1" applyAlignment="1">
      <alignment horizontal="center" vertical="center"/>
    </xf>
    <xf numFmtId="166" fontId="7" fillId="6" borderId="22" xfId="0" applyNumberFormat="1" applyFont="1" applyFill="1" applyBorder="1" applyAlignment="1" applyProtection="1">
      <alignment horizontal="right" vertical="center" indent="1"/>
      <protection locked="0"/>
    </xf>
    <xf numFmtId="166" fontId="7" fillId="6" borderId="34" xfId="0" applyNumberFormat="1" applyFont="1" applyFill="1" applyBorder="1" applyAlignment="1" applyProtection="1">
      <alignment horizontal="right" vertical="center" indent="1"/>
      <protection locked="0"/>
    </xf>
    <xf numFmtId="166" fontId="7" fillId="6" borderId="16" xfId="0" applyNumberFormat="1" applyFont="1" applyFill="1" applyBorder="1" applyAlignment="1" applyProtection="1">
      <alignment horizontal="right" vertical="center" indent="1"/>
      <protection locked="0"/>
    </xf>
    <xf numFmtId="166" fontId="7" fillId="6" borderId="18" xfId="0" applyNumberFormat="1" applyFont="1" applyFill="1" applyBorder="1" applyAlignment="1" applyProtection="1">
      <alignment horizontal="right" vertical="center" indent="1"/>
      <protection locked="0"/>
    </xf>
    <xf numFmtId="166" fontId="7" fillId="6" borderId="19" xfId="0" applyNumberFormat="1" applyFont="1" applyFill="1" applyBorder="1" applyAlignment="1" applyProtection="1">
      <alignment horizontal="right" vertical="center" indent="1"/>
      <protection locked="0"/>
    </xf>
    <xf numFmtId="166" fontId="7" fillId="6" borderId="32" xfId="0" applyNumberFormat="1" applyFont="1" applyFill="1" applyBorder="1" applyAlignment="1" applyProtection="1">
      <alignment horizontal="right" vertical="center" indent="1"/>
      <protection locked="0"/>
    </xf>
    <xf numFmtId="166" fontId="6" fillId="11" borderId="22" xfId="0" applyNumberFormat="1" applyFont="1" applyFill="1" applyBorder="1" applyAlignment="1">
      <alignment vertical="center"/>
    </xf>
    <xf numFmtId="166" fontId="6" fillId="11" borderId="16" xfId="0" applyNumberFormat="1" applyFont="1" applyFill="1" applyBorder="1" applyAlignment="1">
      <alignment vertical="center"/>
    </xf>
    <xf numFmtId="166" fontId="6" fillId="11" borderId="19" xfId="0" applyNumberFormat="1" applyFont="1" applyFill="1" applyBorder="1" applyAlignment="1">
      <alignment vertical="center"/>
    </xf>
    <xf numFmtId="166" fontId="7" fillId="11" borderId="12" xfId="0" applyNumberFormat="1" applyFont="1" applyFill="1" applyBorder="1" applyAlignment="1">
      <alignment vertical="center"/>
    </xf>
    <xf numFmtId="0" fontId="17" fillId="7" borderId="33" xfId="0" applyFont="1" applyFill="1" applyBorder="1" applyAlignment="1">
      <alignment vertical="center"/>
    </xf>
    <xf numFmtId="0" fontId="5" fillId="12" borderId="12" xfId="0" applyFont="1" applyFill="1" applyBorder="1" applyAlignment="1" applyProtection="1">
      <alignment horizontal="center" vertical="center"/>
      <protection locked="0"/>
    </xf>
    <xf numFmtId="0" fontId="6" fillId="7" borderId="26" xfId="0" applyFont="1" applyFill="1" applyBorder="1" applyAlignment="1">
      <alignment horizontal="left" vertical="center" indent="1"/>
    </xf>
    <xf numFmtId="0" fontId="6" fillId="7" borderId="24" xfId="0" applyFont="1" applyFill="1" applyBorder="1" applyAlignment="1">
      <alignment horizontal="left" vertical="center" indent="1"/>
    </xf>
    <xf numFmtId="165" fontId="7" fillId="6" borderId="86" xfId="0" applyNumberFormat="1" applyFont="1" applyFill="1" applyBorder="1" applyAlignment="1" applyProtection="1">
      <alignment vertical="center"/>
      <protection locked="0"/>
    </xf>
    <xf numFmtId="0" fontId="1" fillId="7" borderId="18" xfId="0" applyFont="1" applyFill="1" applyBorder="1" applyAlignment="1">
      <alignment horizontal="center" vertical="center"/>
    </xf>
    <xf numFmtId="0" fontId="6" fillId="7" borderId="33" xfId="0" applyFont="1" applyFill="1" applyBorder="1" applyAlignment="1">
      <alignment horizontal="left" vertical="center" indent="1"/>
    </xf>
    <xf numFmtId="0" fontId="6" fillId="7" borderId="17" xfId="0" applyFont="1" applyFill="1" applyBorder="1" applyAlignment="1">
      <alignment horizontal="left" vertical="center" indent="1"/>
    </xf>
    <xf numFmtId="0" fontId="6" fillId="7" borderId="31" xfId="0" applyFont="1" applyFill="1" applyBorder="1" applyAlignment="1">
      <alignment horizontal="left" vertical="center" indent="1"/>
    </xf>
    <xf numFmtId="0" fontId="29" fillId="7" borderId="83" xfId="0" applyFont="1" applyFill="1" applyBorder="1" applyAlignment="1">
      <alignment horizontal="left" vertical="center" wrapText="1"/>
    </xf>
    <xf numFmtId="0" fontId="6" fillId="7" borderId="4" xfId="0" applyFont="1" applyFill="1" applyBorder="1" applyAlignment="1">
      <alignment vertical="center"/>
    </xf>
    <xf numFmtId="0" fontId="1" fillId="7" borderId="4" xfId="0" applyFont="1" applyFill="1" applyBorder="1" applyAlignment="1">
      <alignment horizontal="center" vertical="center"/>
    </xf>
    <xf numFmtId="10" fontId="7" fillId="6" borderId="7" xfId="0" applyNumberFormat="1" applyFont="1" applyFill="1" applyBorder="1" applyAlignment="1" applyProtection="1">
      <alignment horizontal="right" vertical="center" indent="1"/>
      <protection locked="0"/>
    </xf>
    <xf numFmtId="165" fontId="6" fillId="0" borderId="4" xfId="0" applyNumberFormat="1" applyFont="1" applyBorder="1" applyAlignment="1">
      <alignment vertical="center"/>
    </xf>
    <xf numFmtId="0" fontId="1" fillId="7" borderId="10" xfId="0" applyFont="1" applyFill="1" applyBorder="1" applyAlignment="1">
      <alignment horizontal="center" vertical="center"/>
    </xf>
    <xf numFmtId="0" fontId="1" fillId="7" borderId="2" xfId="0" applyFont="1" applyFill="1" applyBorder="1" applyAlignment="1">
      <alignment horizontal="center" vertical="center"/>
    </xf>
    <xf numFmtId="0" fontId="8" fillId="7" borderId="4" xfId="0" applyFont="1" applyFill="1" applyBorder="1" applyAlignment="1">
      <alignment horizontal="center" vertical="center"/>
    </xf>
    <xf numFmtId="0" fontId="9" fillId="7" borderId="35" xfId="0" applyFont="1" applyFill="1" applyBorder="1" applyAlignment="1">
      <alignment horizontal="center"/>
    </xf>
    <xf numFmtId="0" fontId="1" fillId="7" borderId="26" xfId="0" applyFont="1" applyFill="1" applyBorder="1" applyAlignment="1">
      <alignment horizontal="center" vertical="center"/>
    </xf>
    <xf numFmtId="10" fontId="7" fillId="6" borderId="33" xfId="0" applyNumberFormat="1" applyFont="1" applyFill="1" applyBorder="1" applyAlignment="1" applyProtection="1">
      <alignment horizontal="right" vertical="center" indent="1"/>
      <protection locked="0"/>
    </xf>
    <xf numFmtId="10" fontId="7" fillId="6" borderId="31" xfId="0" applyNumberFormat="1" applyFont="1" applyFill="1" applyBorder="1" applyAlignment="1" applyProtection="1">
      <alignment horizontal="right" vertical="center" indent="1"/>
      <protection locked="0"/>
    </xf>
    <xf numFmtId="0" fontId="7" fillId="7" borderId="35" xfId="0" applyFont="1" applyFill="1" applyBorder="1" applyAlignment="1">
      <alignment horizontal="center" vertical="center"/>
    </xf>
    <xf numFmtId="0" fontId="6" fillId="7" borderId="4" xfId="0" applyFont="1" applyFill="1" applyBorder="1" applyAlignment="1">
      <alignment horizontal="left" vertical="center" indent="1"/>
    </xf>
    <xf numFmtId="0" fontId="6" fillId="7" borderId="2" xfId="0" applyFont="1" applyFill="1" applyBorder="1" applyAlignment="1">
      <alignment horizontal="left" vertical="center" indent="1"/>
    </xf>
    <xf numFmtId="0" fontId="0" fillId="7" borderId="0" xfId="0" applyFill="1" applyAlignment="1">
      <alignment horizontal="left" indent="1"/>
    </xf>
    <xf numFmtId="165" fontId="78" fillId="0" borderId="0" xfId="0" applyNumberFormat="1" applyFont="1"/>
    <xf numFmtId="169" fontId="0" fillId="0" borderId="0" xfId="0" applyNumberFormat="1"/>
    <xf numFmtId="0" fontId="25" fillId="7" borderId="5" xfId="0" applyFont="1" applyFill="1" applyBorder="1" applyAlignment="1">
      <alignment vertical="center"/>
    </xf>
    <xf numFmtId="0" fontId="1" fillId="11" borderId="34" xfId="0" applyFont="1" applyFill="1" applyBorder="1" applyAlignment="1">
      <alignment horizontal="left" vertical="center" indent="1"/>
    </xf>
    <xf numFmtId="0" fontId="1" fillId="11" borderId="18" xfId="0" applyFont="1" applyFill="1" applyBorder="1" applyAlignment="1">
      <alignment horizontal="left" vertical="center" indent="1"/>
    </xf>
    <xf numFmtId="0" fontId="5" fillId="7" borderId="6" xfId="0" applyFont="1" applyFill="1" applyBorder="1" applyAlignment="1">
      <alignment horizontal="center" vertical="center"/>
    </xf>
    <xf numFmtId="0" fontId="10" fillId="7" borderId="6" xfId="0" applyFont="1" applyFill="1" applyBorder="1" applyAlignment="1">
      <alignment vertical="center"/>
    </xf>
    <xf numFmtId="0" fontId="10" fillId="7" borderId="28" xfId="0" applyFont="1" applyFill="1" applyBorder="1" applyAlignment="1">
      <alignment horizontal="left" vertical="center" indent="1"/>
    </xf>
    <xf numFmtId="0" fontId="10" fillId="7" borderId="0" xfId="0" applyFont="1" applyFill="1" applyAlignment="1">
      <alignment horizontal="center" vertical="center"/>
    </xf>
    <xf numFmtId="166" fontId="0" fillId="0" borderId="0" xfId="0" applyNumberFormat="1"/>
    <xf numFmtId="10" fontId="0" fillId="0" borderId="0" xfId="0" applyNumberFormat="1"/>
    <xf numFmtId="0" fontId="5" fillId="7" borderId="13" xfId="0" applyFont="1" applyFill="1" applyBorder="1" applyAlignment="1">
      <alignment horizontal="left" vertical="center" indent="2"/>
    </xf>
    <xf numFmtId="0" fontId="11" fillId="7" borderId="33" xfId="0" applyFont="1" applyFill="1" applyBorder="1" applyAlignment="1">
      <alignment vertical="center"/>
    </xf>
    <xf numFmtId="0" fontId="2" fillId="7" borderId="26" xfId="0" applyFont="1" applyFill="1" applyBorder="1" applyAlignment="1">
      <alignment vertical="center"/>
    </xf>
    <xf numFmtId="0" fontId="18" fillId="7" borderId="26" xfId="0" applyFont="1" applyFill="1" applyBorder="1" applyAlignment="1">
      <alignment vertical="center"/>
    </xf>
    <xf numFmtId="0" fontId="44" fillId="11" borderId="0" xfId="0" applyFont="1" applyFill="1" applyProtection="1">
      <protection hidden="1"/>
    </xf>
    <xf numFmtId="0" fontId="22" fillId="7" borderId="0" xfId="0" applyFont="1" applyFill="1"/>
    <xf numFmtId="3" fontId="28" fillId="7" borderId="2" xfId="0" applyNumberFormat="1" applyFont="1" applyFill="1" applyBorder="1"/>
    <xf numFmtId="3" fontId="20" fillId="7" borderId="2" xfId="0" applyNumberFormat="1" applyFont="1" applyFill="1" applyBorder="1"/>
    <xf numFmtId="3" fontId="20" fillId="7" borderId="32" xfId="0" applyNumberFormat="1" applyFont="1" applyFill="1" applyBorder="1" applyAlignment="1">
      <alignment horizontal="center"/>
    </xf>
    <xf numFmtId="0" fontId="10" fillId="7" borderId="9" xfId="0" applyFont="1" applyFill="1" applyBorder="1" applyAlignment="1">
      <alignment horizontal="center" vertical="center" wrapText="1"/>
    </xf>
    <xf numFmtId="0" fontId="17" fillId="11" borderId="33" xfId="0" applyFont="1" applyFill="1" applyBorder="1" applyAlignment="1">
      <alignment horizontal="left" vertical="center" indent="1"/>
    </xf>
    <xf numFmtId="0" fontId="17" fillId="11" borderId="17" xfId="0" applyFont="1" applyFill="1" applyBorder="1" applyAlignment="1">
      <alignment horizontal="left" vertical="center" indent="1"/>
    </xf>
    <xf numFmtId="0" fontId="17" fillId="11" borderId="31" xfId="0" applyFont="1" applyFill="1" applyBorder="1" applyAlignment="1">
      <alignment horizontal="left" vertical="center" indent="1"/>
    </xf>
    <xf numFmtId="0" fontId="5" fillId="7" borderId="0" xfId="0" applyFont="1" applyFill="1" applyAlignment="1">
      <alignment horizontal="right" indent="1"/>
    </xf>
    <xf numFmtId="0" fontId="17" fillId="11" borderId="39" xfId="0" applyFont="1" applyFill="1" applyBorder="1" applyAlignment="1">
      <alignment horizontal="left" vertical="center" indent="1"/>
    </xf>
    <xf numFmtId="0" fontId="1" fillId="11" borderId="38" xfId="0" applyFont="1" applyFill="1" applyBorder="1" applyAlignment="1">
      <alignment horizontal="left" vertical="center" indent="1"/>
    </xf>
    <xf numFmtId="3" fontId="6" fillId="11" borderId="86" xfId="0" applyNumberFormat="1" applyFont="1" applyFill="1" applyBorder="1" applyAlignment="1">
      <alignment vertical="center"/>
    </xf>
    <xf numFmtId="165" fontId="6" fillId="11" borderId="86" xfId="0" applyNumberFormat="1" applyFont="1" applyFill="1" applyBorder="1" applyAlignment="1">
      <alignment vertical="center"/>
    </xf>
    <xf numFmtId="3" fontId="6" fillId="11" borderId="39" xfId="0" applyNumberFormat="1" applyFont="1" applyFill="1" applyBorder="1" applyAlignment="1">
      <alignment horizontal="left" vertical="center" indent="1"/>
    </xf>
    <xf numFmtId="3" fontId="6" fillId="11" borderId="38" xfId="0" applyNumberFormat="1" applyFont="1" applyFill="1" applyBorder="1" applyAlignment="1">
      <alignment horizontal="left" vertical="center" indent="1"/>
    </xf>
    <xf numFmtId="0" fontId="25" fillId="7" borderId="9" xfId="0" applyFont="1" applyFill="1" applyBorder="1" applyAlignment="1">
      <alignment vertical="center"/>
    </xf>
    <xf numFmtId="0" fontId="52" fillId="0" borderId="87" xfId="0" applyFont="1" applyBorder="1"/>
    <xf numFmtId="0" fontId="6" fillId="0" borderId="90" xfId="0" applyFont="1" applyBorder="1"/>
    <xf numFmtId="165" fontId="0" fillId="0" borderId="88" xfId="0" applyNumberFormat="1" applyBorder="1"/>
    <xf numFmtId="0" fontId="0" fillId="0" borderId="89" xfId="0" applyBorder="1"/>
    <xf numFmtId="165" fontId="7" fillId="11" borderId="12" xfId="0" applyNumberFormat="1" applyFont="1" applyFill="1" applyBorder="1" applyAlignment="1">
      <alignment horizontal="right" vertical="center" indent="1"/>
    </xf>
    <xf numFmtId="165" fontId="7" fillId="6" borderId="12" xfId="0" applyNumberFormat="1" applyFont="1" applyFill="1" applyBorder="1" applyAlignment="1" applyProtection="1">
      <alignment horizontal="right" vertical="center" indent="1"/>
      <protection locked="0"/>
    </xf>
    <xf numFmtId="165" fontId="7" fillId="6" borderId="65" xfId="0" applyNumberFormat="1" applyFont="1" applyFill="1" applyBorder="1" applyAlignment="1" applyProtection="1">
      <alignment horizontal="right" vertical="center" indent="1"/>
      <protection locked="0"/>
    </xf>
    <xf numFmtId="165" fontId="7" fillId="6" borderId="16" xfId="0" applyNumberFormat="1" applyFont="1" applyFill="1" applyBorder="1" applyAlignment="1" applyProtection="1">
      <alignment horizontal="right" vertical="center" indent="1"/>
      <protection locked="0"/>
    </xf>
    <xf numFmtId="165" fontId="7" fillId="6" borderId="19" xfId="0" applyNumberFormat="1" applyFont="1" applyFill="1" applyBorder="1" applyAlignment="1" applyProtection="1">
      <alignment horizontal="right" vertical="center" indent="1"/>
      <protection locked="0"/>
    </xf>
    <xf numFmtId="165" fontId="7" fillId="11" borderId="14" xfId="0" applyNumberFormat="1" applyFont="1" applyFill="1" applyBorder="1" applyAlignment="1">
      <alignment horizontal="right" vertical="center" indent="1"/>
    </xf>
    <xf numFmtId="0" fontId="7" fillId="7" borderId="0" xfId="0" applyFont="1" applyFill="1" applyAlignment="1">
      <alignment horizontal="left" vertical="center" indent="2"/>
    </xf>
    <xf numFmtId="0" fontId="5" fillId="7" borderId="0" xfId="0" applyFont="1" applyFill="1" applyAlignment="1">
      <alignment horizontal="left" vertical="center"/>
    </xf>
    <xf numFmtId="0" fontId="7" fillId="7" borderId="0" xfId="0" applyFont="1" applyFill="1" applyAlignment="1">
      <alignment horizontal="center"/>
    </xf>
    <xf numFmtId="0" fontId="6" fillId="7" borderId="0" xfId="0" applyFont="1" applyFill="1" applyAlignment="1">
      <alignment horizontal="center"/>
    </xf>
    <xf numFmtId="0" fontId="17" fillId="8" borderId="15" xfId="0" applyFont="1" applyFill="1" applyBorder="1" applyAlignment="1">
      <alignment vertical="center"/>
    </xf>
    <xf numFmtId="165" fontId="5" fillId="11" borderId="22" xfId="0" applyNumberFormat="1" applyFont="1" applyFill="1" applyBorder="1" applyAlignment="1">
      <alignment horizontal="right" vertical="center" indent="1"/>
    </xf>
    <xf numFmtId="165" fontId="5" fillId="11" borderId="16" xfId="0" applyNumberFormat="1" applyFont="1" applyFill="1" applyBorder="1" applyAlignment="1">
      <alignment horizontal="right" vertical="center" indent="1"/>
    </xf>
    <xf numFmtId="165" fontId="5" fillId="11" borderId="19" xfId="0" applyNumberFormat="1" applyFont="1" applyFill="1" applyBorder="1" applyAlignment="1">
      <alignment horizontal="right" vertical="center" indent="1"/>
    </xf>
    <xf numFmtId="0" fontId="19" fillId="7" borderId="0" xfId="0" applyFont="1" applyFill="1" applyAlignment="1">
      <alignment vertical="center"/>
    </xf>
    <xf numFmtId="0" fontId="0" fillId="0" borderId="13" xfId="0" applyBorder="1"/>
    <xf numFmtId="0" fontId="0" fillId="0" borderId="0" xfId="0" applyAlignment="1">
      <alignment horizontal="left" indent="1"/>
    </xf>
    <xf numFmtId="0" fontId="7" fillId="0" borderId="0" xfId="0" quotePrefix="1" applyFont="1" applyAlignment="1">
      <alignment horizontal="center" vertical="center"/>
    </xf>
    <xf numFmtId="0" fontId="5" fillId="7" borderId="13" xfId="0" applyFont="1" applyFill="1" applyBorder="1" applyAlignment="1">
      <alignment horizontal="left" vertical="center" indent="3"/>
    </xf>
    <xf numFmtId="0" fontId="5" fillId="7" borderId="13" xfId="0" applyFont="1" applyFill="1" applyBorder="1" applyAlignment="1">
      <alignment vertical="center"/>
    </xf>
    <xf numFmtId="3" fontId="21" fillId="7" borderId="0" xfId="0" applyNumberFormat="1" applyFont="1" applyFill="1"/>
    <xf numFmtId="0" fontId="6" fillId="7" borderId="17" xfId="0" applyFont="1" applyFill="1" applyBorder="1" applyAlignment="1">
      <alignment vertical="center"/>
    </xf>
    <xf numFmtId="0" fontId="6" fillId="7" borderId="39" xfId="0" applyFont="1" applyFill="1" applyBorder="1" applyAlignment="1">
      <alignment vertical="center"/>
    </xf>
    <xf numFmtId="0" fontId="29" fillId="7" borderId="83" xfId="0" applyFont="1" applyFill="1" applyBorder="1" applyAlignment="1">
      <alignment horizontal="left" vertical="center"/>
    </xf>
    <xf numFmtId="0" fontId="0" fillId="7" borderId="18" xfId="0" applyFill="1" applyBorder="1" applyAlignment="1">
      <alignment horizontal="left" vertical="center"/>
    </xf>
    <xf numFmtId="0" fontId="5" fillId="7" borderId="26" xfId="0" applyFont="1" applyFill="1" applyBorder="1" applyAlignment="1">
      <alignment vertical="center"/>
    </xf>
    <xf numFmtId="0" fontId="10" fillId="7" borderId="0" xfId="0" applyFont="1" applyFill="1" applyAlignment="1">
      <alignment horizontal="center" wrapText="1"/>
    </xf>
    <xf numFmtId="0" fontId="7" fillId="7" borderId="0" xfId="0" applyFont="1" applyFill="1" applyAlignment="1">
      <alignment horizontal="center" vertical="center"/>
    </xf>
    <xf numFmtId="0" fontId="7" fillId="7" borderId="0" xfId="0" applyFont="1" applyFill="1" applyAlignment="1">
      <alignment vertical="center" wrapText="1"/>
    </xf>
    <xf numFmtId="0" fontId="6" fillId="7" borderId="0" xfId="0" applyFont="1" applyFill="1" applyAlignment="1">
      <alignment wrapText="1"/>
    </xf>
    <xf numFmtId="0" fontId="6" fillId="7" borderId="11" xfId="0" applyFont="1" applyFill="1" applyBorder="1" applyAlignment="1">
      <alignment horizontal="center" vertical="center" textRotation="90"/>
    </xf>
    <xf numFmtId="0" fontId="6" fillId="0" borderId="0" xfId="0" applyFont="1" applyAlignment="1">
      <alignment wrapText="1"/>
    </xf>
    <xf numFmtId="0" fontId="1" fillId="7" borderId="70" xfId="0" applyFont="1" applyFill="1" applyBorder="1" applyAlignment="1">
      <alignment vertical="center" wrapText="1"/>
    </xf>
    <xf numFmtId="0" fontId="7" fillId="7" borderId="70" xfId="0" applyFont="1" applyFill="1" applyBorder="1" applyAlignment="1">
      <alignment horizontal="center" vertical="center"/>
    </xf>
    <xf numFmtId="0" fontId="29" fillId="7" borderId="17" xfId="0" applyFont="1" applyFill="1" applyBorder="1" applyAlignment="1">
      <alignment horizontal="left" vertical="center" wrapText="1"/>
    </xf>
    <xf numFmtId="0" fontId="0" fillId="7" borderId="18" xfId="0" applyFill="1" applyBorder="1" applyAlignment="1">
      <alignment horizontal="left" vertical="center" wrapText="1"/>
    </xf>
    <xf numFmtId="0" fontId="29" fillId="7" borderId="33" xfId="0" applyFont="1" applyFill="1" applyBorder="1" applyAlignment="1">
      <alignment horizontal="left" vertical="center" wrapText="1"/>
    </xf>
    <xf numFmtId="0" fontId="29" fillId="7" borderId="31" xfId="0" applyFont="1" applyFill="1" applyBorder="1" applyAlignment="1">
      <alignment horizontal="left" vertical="center" wrapText="1"/>
    </xf>
    <xf numFmtId="0" fontId="0" fillId="0" borderId="27" xfId="0" applyBorder="1"/>
    <xf numFmtId="0" fontId="0" fillId="0" borderId="28" xfId="0" applyBorder="1"/>
    <xf numFmtId="0" fontId="0" fillId="0" borderId="29" xfId="0" applyBorder="1"/>
    <xf numFmtId="0" fontId="6" fillId="0" borderId="5" xfId="0" applyFont="1" applyBorder="1"/>
    <xf numFmtId="0" fontId="6" fillId="0" borderId="6" xfId="0" applyFont="1" applyBorder="1" applyProtection="1">
      <protection hidden="1"/>
    </xf>
    <xf numFmtId="0" fontId="6" fillId="0" borderId="6" xfId="0" applyFont="1" applyBorder="1"/>
    <xf numFmtId="0" fontId="6" fillId="0" borderId="13" xfId="0" applyFont="1" applyBorder="1"/>
    <xf numFmtId="0" fontId="6" fillId="0" borderId="7" xfId="0" applyFont="1" applyBorder="1"/>
    <xf numFmtId="0" fontId="6" fillId="0" borderId="8" xfId="0" applyFont="1" applyBorder="1" applyProtection="1">
      <protection hidden="1"/>
    </xf>
    <xf numFmtId="0" fontId="6" fillId="0" borderId="8" xfId="0" applyFont="1" applyBorder="1"/>
    <xf numFmtId="0" fontId="26" fillId="7" borderId="0" xfId="0" applyFont="1" applyFill="1"/>
    <xf numFmtId="0" fontId="42" fillId="13" borderId="0" xfId="0" applyFont="1" applyFill="1" applyProtection="1">
      <protection hidden="1"/>
    </xf>
    <xf numFmtId="0" fontId="42" fillId="13" borderId="0" xfId="0" applyFont="1" applyFill="1"/>
    <xf numFmtId="0" fontId="7" fillId="7" borderId="9" xfId="0" applyFont="1" applyFill="1" applyBorder="1" applyAlignment="1">
      <alignment horizontal="left" vertical="center" indent="1"/>
    </xf>
    <xf numFmtId="10" fontId="60" fillId="7" borderId="12" xfId="0" applyNumberFormat="1" applyFont="1" applyFill="1" applyBorder="1" applyAlignment="1">
      <alignment horizontal="right" vertical="center" indent="1"/>
    </xf>
    <xf numFmtId="0" fontId="6" fillId="13" borderId="0" xfId="0" applyFont="1" applyFill="1"/>
    <xf numFmtId="0" fontId="34" fillId="0" borderId="0" xfId="0" applyFont="1"/>
    <xf numFmtId="0" fontId="10" fillId="7" borderId="28" xfId="0" applyFont="1" applyFill="1" applyBorder="1" applyAlignment="1">
      <alignment horizontal="right" vertical="center" indent="1"/>
    </xf>
    <xf numFmtId="1" fontId="5" fillId="11" borderId="12" xfId="0" applyNumberFormat="1" applyFont="1" applyFill="1" applyBorder="1" applyAlignment="1">
      <alignment horizontal="center" vertical="center"/>
    </xf>
    <xf numFmtId="0" fontId="17" fillId="7" borderId="0" xfId="0" applyFont="1" applyFill="1" applyAlignment="1">
      <alignment horizontal="center" vertical="center"/>
    </xf>
    <xf numFmtId="165" fontId="6" fillId="0" borderId="33" xfId="0" applyNumberFormat="1" applyFont="1" applyBorder="1" applyAlignment="1">
      <alignment vertical="center"/>
    </xf>
    <xf numFmtId="165" fontId="6" fillId="0" borderId="17" xfId="0" applyNumberFormat="1" applyFont="1" applyBorder="1" applyAlignment="1">
      <alignment vertical="center"/>
    </xf>
    <xf numFmtId="165" fontId="6" fillId="0" borderId="5" xfId="0" applyNumberFormat="1" applyFont="1" applyBorder="1" applyAlignment="1">
      <alignment vertical="center"/>
    </xf>
    <xf numFmtId="165" fontId="6" fillId="0" borderId="31" xfId="0" applyNumberFormat="1" applyFont="1" applyBorder="1" applyAlignment="1">
      <alignment vertical="center"/>
    </xf>
    <xf numFmtId="165" fontId="6" fillId="0" borderId="72" xfId="0" applyNumberFormat="1" applyFont="1" applyBorder="1" applyAlignment="1">
      <alignment vertical="center"/>
    </xf>
    <xf numFmtId="0" fontId="29" fillId="7" borderId="85" xfId="0" applyFont="1" applyFill="1" applyBorder="1" applyAlignment="1">
      <alignment horizontal="left" vertical="center"/>
    </xf>
    <xf numFmtId="9" fontId="6" fillId="0" borderId="0" xfId="0" applyNumberFormat="1" applyFont="1"/>
    <xf numFmtId="9" fontId="52" fillId="0" borderId="0" xfId="0" applyNumberFormat="1" applyFont="1"/>
    <xf numFmtId="0" fontId="52" fillId="0" borderId="14" xfId="0" applyFont="1" applyBorder="1"/>
    <xf numFmtId="0" fontId="52" fillId="0" borderId="27" xfId="0" applyFont="1" applyBorder="1"/>
    <xf numFmtId="165" fontId="52" fillId="0" borderId="29" xfId="0" applyNumberFormat="1" applyFont="1" applyBorder="1"/>
    <xf numFmtId="0" fontId="52" fillId="0" borderId="41" xfId="0" applyFont="1" applyBorder="1"/>
    <xf numFmtId="0" fontId="52" fillId="0" borderId="11" xfId="0" applyFont="1" applyBorder="1"/>
    <xf numFmtId="165" fontId="7" fillId="11" borderId="11" xfId="0" applyNumberFormat="1" applyFont="1" applyFill="1" applyBorder="1" applyAlignment="1">
      <alignment vertical="center"/>
    </xf>
    <xf numFmtId="0" fontId="1" fillId="7" borderId="15" xfId="0" applyFont="1" applyFill="1" applyBorder="1" applyAlignment="1">
      <alignment horizontal="center" vertical="center"/>
    </xf>
    <xf numFmtId="10" fontId="60" fillId="7" borderId="9" xfId="0" applyNumberFormat="1" applyFont="1" applyFill="1" applyBorder="1" applyAlignment="1" applyProtection="1">
      <alignment horizontal="right" vertical="center" indent="1"/>
      <protection locked="0"/>
    </xf>
    <xf numFmtId="0" fontId="29" fillId="7" borderId="10" xfId="0" applyFont="1" applyFill="1" applyBorder="1" applyAlignment="1">
      <alignment horizontal="left" vertical="center" indent="1"/>
    </xf>
    <xf numFmtId="0" fontId="8" fillId="7" borderId="15" xfId="0" applyFont="1" applyFill="1" applyBorder="1" applyAlignment="1">
      <alignment horizontal="center" vertical="center"/>
    </xf>
    <xf numFmtId="0" fontId="8" fillId="0" borderId="2" xfId="0" applyFont="1" applyBorder="1" applyAlignment="1">
      <alignment horizontal="center" vertical="center"/>
    </xf>
    <xf numFmtId="0" fontId="18" fillId="7" borderId="8" xfId="0" quotePrefix="1" applyFont="1" applyFill="1" applyBorder="1" applyAlignment="1">
      <alignment vertical="top"/>
    </xf>
    <xf numFmtId="0" fontId="19" fillId="7" borderId="8" xfId="0" quotePrefix="1" applyFont="1" applyFill="1" applyBorder="1" applyAlignment="1">
      <alignment vertical="top"/>
    </xf>
    <xf numFmtId="0" fontId="57" fillId="0" borderId="0" xfId="0" applyFont="1" applyAlignment="1">
      <alignment vertical="center" wrapText="1"/>
    </xf>
    <xf numFmtId="165" fontId="2" fillId="7" borderId="0" xfId="0" applyNumberFormat="1" applyFont="1" applyFill="1" applyAlignment="1">
      <alignment horizontal="center" vertical="center"/>
    </xf>
    <xf numFmtId="0" fontId="5" fillId="7" borderId="6" xfId="0" applyFont="1" applyFill="1" applyBorder="1" applyAlignment="1">
      <alignment horizontal="right" vertical="center" indent="1"/>
    </xf>
    <xf numFmtId="0" fontId="58" fillId="0" borderId="0" xfId="0" applyFont="1" applyAlignment="1" applyProtection="1">
      <alignment horizontal="left" vertical="center"/>
      <protection hidden="1"/>
    </xf>
    <xf numFmtId="0" fontId="7" fillId="0" borderId="0" xfId="0" applyFont="1" applyAlignment="1">
      <alignment horizontal="left" vertical="center" indent="1"/>
    </xf>
    <xf numFmtId="0" fontId="8" fillId="0" borderId="0" xfId="0" applyFont="1" applyAlignment="1">
      <alignment horizontal="left" vertical="center" wrapText="1"/>
    </xf>
    <xf numFmtId="0" fontId="0" fillId="0" borderId="0" xfId="0" applyAlignment="1">
      <alignment horizontal="left" vertical="center" wrapText="1"/>
    </xf>
    <xf numFmtId="0" fontId="2" fillId="7" borderId="0" xfId="0" applyFont="1" applyFill="1" applyAlignment="1">
      <alignment horizontal="center" vertical="center"/>
    </xf>
    <xf numFmtId="9" fontId="5" fillId="7" borderId="0" xfId="0" applyNumberFormat="1" applyFont="1" applyFill="1" applyAlignment="1">
      <alignment horizontal="center" vertical="center"/>
    </xf>
    <xf numFmtId="165" fontId="28" fillId="7" borderId="0" xfId="0" applyNumberFormat="1" applyFont="1" applyFill="1" applyProtection="1">
      <protection locked="0"/>
    </xf>
    <xf numFmtId="0" fontId="28" fillId="7" borderId="0" xfId="0" applyFont="1" applyFill="1" applyProtection="1">
      <protection locked="0"/>
    </xf>
    <xf numFmtId="0" fontId="1" fillId="7" borderId="85" xfId="0" applyFont="1" applyFill="1" applyBorder="1" applyAlignment="1">
      <alignment vertical="center" wrapText="1"/>
    </xf>
    <xf numFmtId="0" fontId="1" fillId="7" borderId="0" xfId="0" applyFont="1" applyFill="1" applyAlignment="1">
      <alignment vertical="center" wrapText="1"/>
    </xf>
    <xf numFmtId="0" fontId="1" fillId="7" borderId="84" xfId="0" applyFont="1" applyFill="1" applyBorder="1" applyAlignment="1">
      <alignment vertical="center" wrapText="1"/>
    </xf>
    <xf numFmtId="0" fontId="1" fillId="7" borderId="83" xfId="0" applyFont="1" applyFill="1" applyBorder="1" applyAlignment="1">
      <alignment vertical="center" wrapText="1"/>
    </xf>
    <xf numFmtId="0" fontId="0" fillId="7" borderId="13" xfId="0" applyFill="1" applyBorder="1" applyAlignment="1">
      <alignment horizontal="center" vertical="center"/>
    </xf>
    <xf numFmtId="0" fontId="1" fillId="7" borderId="13" xfId="0" applyFont="1" applyFill="1" applyBorder="1" applyAlignment="1">
      <alignment vertical="center" wrapText="1"/>
    </xf>
    <xf numFmtId="0" fontId="0" fillId="7" borderId="13" xfId="0" applyFill="1" applyBorder="1" applyAlignment="1">
      <alignment wrapText="1"/>
    </xf>
    <xf numFmtId="0" fontId="14" fillId="7" borderId="0" xfId="0" applyFont="1" applyFill="1" applyAlignment="1">
      <alignment horizontal="center" vertical="center"/>
    </xf>
    <xf numFmtId="0" fontId="1" fillId="0" borderId="0" xfId="2" applyNumberFormat="1"/>
    <xf numFmtId="0" fontId="1" fillId="0" borderId="0" xfId="2" applyNumberFormat="1" applyProtection="1">
      <protection locked="0"/>
    </xf>
    <xf numFmtId="0" fontId="6" fillId="0" borderId="0" xfId="2" applyNumberFormat="1" applyFont="1"/>
    <xf numFmtId="0" fontId="7" fillId="0" borderId="0" xfId="2" applyNumberFormat="1" applyFont="1"/>
    <xf numFmtId="3" fontId="6" fillId="0" borderId="0" xfId="2" applyNumberFormat="1" applyFont="1"/>
    <xf numFmtId="165" fontId="6" fillId="0" borderId="0" xfId="2" applyFont="1"/>
    <xf numFmtId="0" fontId="7" fillId="0" borderId="0" xfId="2" applyNumberFormat="1" applyFont="1" applyProtection="1">
      <protection locked="0"/>
    </xf>
    <xf numFmtId="0" fontId="17" fillId="0" borderId="0" xfId="2" applyNumberFormat="1" applyFont="1" applyAlignment="1" applyProtection="1">
      <alignment horizontal="right"/>
      <protection locked="0"/>
    </xf>
    <xf numFmtId="0" fontId="6" fillId="0" borderId="101" xfId="2" applyNumberFormat="1" applyFont="1" applyBorder="1"/>
    <xf numFmtId="0" fontId="83" fillId="0" borderId="0" xfId="2" applyNumberFormat="1" applyFont="1" applyProtection="1">
      <protection locked="0"/>
    </xf>
    <xf numFmtId="165" fontId="1" fillId="0" borderId="0" xfId="2"/>
    <xf numFmtId="0" fontId="7" fillId="0" borderId="97" xfId="0" applyFont="1" applyBorder="1" applyAlignment="1">
      <alignment horizontal="right"/>
    </xf>
    <xf numFmtId="0" fontId="6" fillId="0" borderId="98" xfId="0" applyFont="1" applyBorder="1"/>
    <xf numFmtId="0" fontId="7" fillId="0" borderId="98" xfId="0" applyFont="1" applyBorder="1"/>
    <xf numFmtId="0" fontId="7" fillId="0" borderId="98" xfId="0" applyFont="1" applyBorder="1" applyAlignment="1">
      <alignment horizontal="right"/>
    </xf>
    <xf numFmtId="49" fontId="79" fillId="0" borderId="98" xfId="0" applyNumberFormat="1" applyFont="1" applyBorder="1" applyAlignment="1">
      <alignment horizontal="right"/>
    </xf>
    <xf numFmtId="49" fontId="80" fillId="0" borderId="98" xfId="0" applyNumberFormat="1" applyFont="1" applyBorder="1" applyAlignment="1">
      <alignment horizontal="right"/>
    </xf>
    <xf numFmtId="0" fontId="6" fillId="0" borderId="99" xfId="0" applyFont="1" applyBorder="1"/>
    <xf numFmtId="49" fontId="80" fillId="0" borderId="99" xfId="0" applyNumberFormat="1" applyFont="1" applyBorder="1" applyAlignment="1">
      <alignment horizontal="right"/>
    </xf>
    <xf numFmtId="49" fontId="80" fillId="0" borderId="0" xfId="0" applyNumberFormat="1" applyFont="1" applyAlignment="1">
      <alignment horizontal="right"/>
    </xf>
    <xf numFmtId="3" fontId="6" fillId="0" borderId="0" xfId="0" applyNumberFormat="1" applyFont="1"/>
    <xf numFmtId="165" fontId="7" fillId="20" borderId="12" xfId="0" applyNumberFormat="1" applyFont="1" applyFill="1" applyBorder="1"/>
    <xf numFmtId="49" fontId="6" fillId="0" borderId="0" xfId="0" applyNumberFormat="1" applyFont="1" applyAlignment="1">
      <alignment horizontal="left"/>
    </xf>
    <xf numFmtId="10" fontId="6" fillId="0" borderId="0" xfId="0" applyNumberFormat="1" applyFont="1"/>
    <xf numFmtId="165" fontId="6" fillId="0" borderId="0" xfId="0" applyNumberFormat="1" applyFont="1"/>
    <xf numFmtId="10" fontId="6" fillId="0" borderId="2" xfId="0" applyNumberFormat="1" applyFont="1" applyBorder="1"/>
    <xf numFmtId="0" fontId="15" fillId="0" borderId="0" xfId="0" applyFont="1"/>
    <xf numFmtId="10" fontId="6" fillId="0" borderId="100" xfId="0" applyNumberFormat="1" applyFont="1" applyBorder="1"/>
    <xf numFmtId="165" fontId="6" fillId="0" borderId="100" xfId="0" applyNumberFormat="1" applyFont="1" applyBorder="1"/>
    <xf numFmtId="0" fontId="9" fillId="0" borderId="0" xfId="0" applyFont="1"/>
    <xf numFmtId="49" fontId="6" fillId="0" borderId="0" xfId="0" applyNumberFormat="1" applyFont="1"/>
    <xf numFmtId="3" fontId="7" fillId="21" borderId="0" xfId="0" applyNumberFormat="1" applyFont="1" applyFill="1"/>
    <xf numFmtId="5" fontId="6" fillId="0" borderId="0" xfId="0" applyNumberFormat="1" applyFont="1"/>
    <xf numFmtId="3" fontId="7" fillId="0" borderId="0" xfId="0" applyNumberFormat="1" applyFont="1"/>
    <xf numFmtId="164" fontId="6" fillId="0" borderId="0" xfId="0" applyNumberFormat="1" applyFont="1"/>
    <xf numFmtId="10" fontId="6" fillId="0" borderId="101" xfId="0" applyNumberFormat="1" applyFont="1" applyBorder="1"/>
    <xf numFmtId="0" fontId="6" fillId="0" borderId="100" xfId="0" applyFont="1" applyBorder="1"/>
    <xf numFmtId="10" fontId="0" fillId="0" borderId="0" xfId="0" applyNumberFormat="1" applyProtection="1">
      <protection locked="0"/>
    </xf>
    <xf numFmtId="0" fontId="18" fillId="0" borderId="0" xfId="0" applyFont="1"/>
    <xf numFmtId="165" fontId="6" fillId="0" borderId="2" xfId="0" applyNumberFormat="1" applyFont="1" applyBorder="1"/>
    <xf numFmtId="0" fontId="6" fillId="0" borderId="2" xfId="0" applyFont="1" applyBorder="1"/>
    <xf numFmtId="165" fontId="6" fillId="0" borderId="98" xfId="0" applyNumberFormat="1" applyFont="1" applyBorder="1"/>
    <xf numFmtId="0" fontId="81" fillId="0" borderId="98" xfId="0" applyFont="1" applyBorder="1" applyAlignment="1">
      <alignment horizontal="right"/>
    </xf>
    <xf numFmtId="0" fontId="81" fillId="0" borderId="0" xfId="0" applyFont="1" applyAlignment="1">
      <alignment horizontal="right"/>
    </xf>
    <xf numFmtId="0" fontId="7" fillId="0" borderId="0" xfId="0" applyFont="1" applyProtection="1">
      <protection locked="0"/>
    </xf>
    <xf numFmtId="0" fontId="17" fillId="0" borderId="0" xfId="0" applyFont="1" applyAlignment="1" applyProtection="1">
      <alignment horizontal="right"/>
      <protection locked="0"/>
    </xf>
    <xf numFmtId="0" fontId="6" fillId="0" borderId="101" xfId="0" applyFont="1" applyBorder="1"/>
    <xf numFmtId="0" fontId="6" fillId="0" borderId="4" xfId="0" applyFont="1" applyBorder="1"/>
    <xf numFmtId="165" fontId="7" fillId="0" borderId="2" xfId="0" applyNumberFormat="1" applyFont="1" applyBorder="1"/>
    <xf numFmtId="0" fontId="2" fillId="0" borderId="0" xfId="0" applyFont="1" applyAlignment="1">
      <alignment horizontal="center"/>
    </xf>
    <xf numFmtId="0" fontId="82" fillId="0" borderId="0" xfId="0" applyFont="1" applyAlignment="1">
      <alignment horizontal="left"/>
    </xf>
    <xf numFmtId="0" fontId="82" fillId="0" borderId="0" xfId="2" applyNumberFormat="1" applyFont="1" applyAlignment="1">
      <alignment horizontal="left"/>
    </xf>
    <xf numFmtId="0" fontId="7" fillId="13" borderId="98" xfId="0" applyFont="1" applyFill="1" applyBorder="1"/>
    <xf numFmtId="0" fontId="7" fillId="13" borderId="98" xfId="0" applyFont="1" applyFill="1" applyBorder="1" applyAlignment="1">
      <alignment horizontal="right"/>
    </xf>
    <xf numFmtId="49" fontId="79" fillId="13" borderId="98" xfId="0" applyNumberFormat="1" applyFont="1" applyFill="1" applyBorder="1" applyAlignment="1">
      <alignment horizontal="right"/>
    </xf>
    <xf numFmtId="49" fontId="80" fillId="13" borderId="98" xfId="0" applyNumberFormat="1" applyFont="1" applyFill="1" applyBorder="1" applyAlignment="1">
      <alignment horizontal="right"/>
    </xf>
    <xf numFmtId="165" fontId="7" fillId="0" borderId="0" xfId="0" applyNumberFormat="1" applyFont="1"/>
    <xf numFmtId="0" fontId="7" fillId="0" borderId="0" xfId="0" applyFont="1" applyAlignment="1">
      <alignment horizontal="right"/>
    </xf>
    <xf numFmtId="49" fontId="79" fillId="0" borderId="0" xfId="0" applyNumberFormat="1" applyFont="1" applyAlignment="1">
      <alignment horizontal="right"/>
    </xf>
    <xf numFmtId="0" fontId="1" fillId="0" borderId="0" xfId="0" applyFont="1" applyProtection="1">
      <protection locked="0"/>
    </xf>
    <xf numFmtId="3" fontId="1" fillId="0" borderId="0" xfId="2" applyNumberFormat="1" applyProtection="1">
      <protection locked="0"/>
    </xf>
    <xf numFmtId="3" fontId="1" fillId="0" borderId="0" xfId="0" applyNumberFormat="1" applyFont="1" applyProtection="1">
      <protection locked="0"/>
    </xf>
    <xf numFmtId="165" fontId="1" fillId="0" borderId="0" xfId="0" applyNumberFormat="1" applyFont="1"/>
    <xf numFmtId="165" fontId="11" fillId="7" borderId="0" xfId="2" applyFont="1" applyFill="1" applyAlignment="1">
      <alignment vertical="center"/>
    </xf>
    <xf numFmtId="165" fontId="1" fillId="7" borderId="0" xfId="2" applyFill="1"/>
    <xf numFmtId="165" fontId="7" fillId="7" borderId="72" xfId="2" applyFont="1" applyFill="1" applyBorder="1" applyAlignment="1">
      <alignment horizontal="center" vertical="center" wrapText="1"/>
    </xf>
    <xf numFmtId="165" fontId="7" fillId="7" borderId="73" xfId="2" applyFont="1" applyFill="1" applyBorder="1" applyAlignment="1">
      <alignment horizontal="center" vertical="center" wrapText="1"/>
    </xf>
    <xf numFmtId="165" fontId="7" fillId="7" borderId="73" xfId="2" applyFont="1" applyFill="1" applyBorder="1" applyAlignment="1">
      <alignment horizontal="center" vertical="center"/>
    </xf>
    <xf numFmtId="165" fontId="7" fillId="7" borderId="73" xfId="2" applyFont="1" applyFill="1" applyBorder="1" applyAlignment="1">
      <alignment horizontal="left" vertical="center"/>
    </xf>
    <xf numFmtId="165" fontId="7" fillId="7" borderId="20" xfId="2" applyFont="1" applyFill="1" applyBorder="1" applyAlignment="1">
      <alignment horizontal="center" vertical="center"/>
    </xf>
    <xf numFmtId="165" fontId="7" fillId="7" borderId="74" xfId="2" applyFont="1" applyFill="1" applyBorder="1" applyAlignment="1">
      <alignment vertical="center"/>
    </xf>
    <xf numFmtId="165" fontId="1" fillId="7" borderId="23" xfId="2" applyFill="1" applyBorder="1" applyAlignment="1">
      <alignment vertical="center" wrapText="1"/>
    </xf>
    <xf numFmtId="165" fontId="7" fillId="7" borderId="75" xfId="2" applyFont="1" applyFill="1" applyBorder="1" applyAlignment="1">
      <alignment vertical="center"/>
    </xf>
    <xf numFmtId="165" fontId="7" fillId="7" borderId="76" xfId="2" applyFont="1" applyFill="1" applyBorder="1" applyAlignment="1">
      <alignment vertical="center" wrapText="1"/>
    </xf>
    <xf numFmtId="165" fontId="17" fillId="7" borderId="76" xfId="2" applyFont="1" applyFill="1" applyBorder="1" applyAlignment="1">
      <alignment vertical="center" wrapText="1"/>
    </xf>
    <xf numFmtId="165" fontId="1" fillId="7" borderId="42" xfId="2" applyFill="1" applyBorder="1" applyAlignment="1">
      <alignment vertical="center" wrapText="1"/>
    </xf>
    <xf numFmtId="0" fontId="52" fillId="0" borderId="102" xfId="0" applyFont="1" applyBorder="1"/>
    <xf numFmtId="165" fontId="60" fillId="7" borderId="9" xfId="0" applyNumberFormat="1" applyFont="1" applyFill="1" applyBorder="1" applyAlignment="1" applyProtection="1">
      <alignment vertical="center"/>
      <protection locked="0"/>
    </xf>
    <xf numFmtId="0" fontId="6" fillId="0" borderId="82" xfId="0" applyFont="1" applyBorder="1" applyAlignment="1" applyProtection="1">
      <alignment wrapText="1"/>
      <protection hidden="1"/>
    </xf>
    <xf numFmtId="0" fontId="6" fillId="0" borderId="82" xfId="0" applyFont="1" applyBorder="1" applyProtection="1">
      <protection hidden="1"/>
    </xf>
    <xf numFmtId="0" fontId="6" fillId="0" borderId="81" xfId="0" applyFont="1" applyBorder="1" applyAlignment="1" applyProtection="1">
      <alignment wrapText="1"/>
      <protection hidden="1"/>
    </xf>
    <xf numFmtId="0" fontId="6" fillId="0" borderId="81" xfId="0" applyFont="1" applyBorder="1" applyProtection="1">
      <protection hidden="1"/>
    </xf>
    <xf numFmtId="0" fontId="1" fillId="0" borderId="0" xfId="2" applyNumberFormat="1" applyAlignment="1" applyProtection="1">
      <alignment wrapText="1"/>
      <protection locked="0"/>
    </xf>
    <xf numFmtId="0" fontId="1" fillId="0" borderId="104" xfId="2" applyNumberFormat="1" applyBorder="1"/>
    <xf numFmtId="3" fontId="17" fillId="0" borderId="0" xfId="2" applyNumberFormat="1" applyFont="1"/>
    <xf numFmtId="0" fontId="17" fillId="0" borderId="0" xfId="2" applyNumberFormat="1" applyFont="1"/>
    <xf numFmtId="0" fontId="17" fillId="0" borderId="104" xfId="2" applyNumberFormat="1" applyFont="1" applyBorder="1"/>
    <xf numFmtId="165" fontId="17" fillId="0" borderId="0" xfId="2" applyFont="1"/>
    <xf numFmtId="165" fontId="17" fillId="0" borderId="0" xfId="0" applyNumberFormat="1" applyFont="1"/>
    <xf numFmtId="0" fontId="17" fillId="0" borderId="82" xfId="2" applyNumberFormat="1" applyFont="1" applyBorder="1"/>
    <xf numFmtId="0" fontId="17" fillId="0" borderId="88" xfId="2" applyNumberFormat="1" applyFont="1" applyBorder="1"/>
    <xf numFmtId="0" fontId="17" fillId="0" borderId="81" xfId="2" applyNumberFormat="1" applyFont="1" applyBorder="1"/>
    <xf numFmtId="0" fontId="17" fillId="0" borderId="89" xfId="2" applyNumberFormat="1" applyFont="1" applyBorder="1"/>
    <xf numFmtId="165" fontId="17" fillId="0" borderId="104" xfId="0" applyNumberFormat="1" applyFont="1" applyBorder="1"/>
    <xf numFmtId="0" fontId="1" fillId="0" borderId="5" xfId="2" applyNumberFormat="1" applyBorder="1"/>
    <xf numFmtId="0" fontId="1" fillId="0" borderId="6" xfId="2" applyNumberFormat="1" applyBorder="1"/>
    <xf numFmtId="0" fontId="1" fillId="0" borderId="27" xfId="2" applyNumberFormat="1" applyBorder="1"/>
    <xf numFmtId="0" fontId="17" fillId="0" borderId="28" xfId="2" applyNumberFormat="1" applyFont="1" applyBorder="1"/>
    <xf numFmtId="0" fontId="1" fillId="0" borderId="13" xfId="2" applyNumberFormat="1" applyBorder="1"/>
    <xf numFmtId="3" fontId="17" fillId="0" borderId="13" xfId="0" applyNumberFormat="1" applyFont="1" applyBorder="1"/>
    <xf numFmtId="0" fontId="17" fillId="0" borderId="4" xfId="0" applyFont="1" applyBorder="1"/>
    <xf numFmtId="0" fontId="5" fillId="0" borderId="28" xfId="2" applyNumberFormat="1" applyFont="1" applyBorder="1" applyAlignment="1">
      <alignment wrapText="1"/>
    </xf>
    <xf numFmtId="0" fontId="17" fillId="0" borderId="13" xfId="0" applyFont="1" applyBorder="1"/>
    <xf numFmtId="0" fontId="17" fillId="0" borderId="107" xfId="0" applyFont="1" applyBorder="1"/>
    <xf numFmtId="0" fontId="17" fillId="0" borderId="108" xfId="2" applyNumberFormat="1" applyFont="1" applyBorder="1"/>
    <xf numFmtId="0" fontId="17" fillId="0" borderId="107" xfId="2" applyNumberFormat="1" applyFont="1" applyBorder="1"/>
    <xf numFmtId="0" fontId="5" fillId="0" borderId="107" xfId="0" applyFont="1" applyBorder="1"/>
    <xf numFmtId="0" fontId="17" fillId="0" borderId="35" xfId="0" applyFont="1" applyBorder="1"/>
    <xf numFmtId="3" fontId="5" fillId="0" borderId="13" xfId="0" applyNumberFormat="1" applyFont="1" applyBorder="1"/>
    <xf numFmtId="0" fontId="17" fillId="7" borderId="107" xfId="0" applyFont="1" applyFill="1" applyBorder="1" applyAlignment="1">
      <alignment horizontal="left" vertical="center" indent="1"/>
    </xf>
    <xf numFmtId="0" fontId="17" fillId="7" borderId="107" xfId="0" applyFont="1" applyFill="1" applyBorder="1" applyAlignment="1">
      <alignment vertical="center"/>
    </xf>
    <xf numFmtId="0" fontId="17" fillId="7" borderId="7" xfId="0" applyFont="1" applyFill="1" applyBorder="1" applyAlignment="1">
      <alignment vertical="center"/>
    </xf>
    <xf numFmtId="0" fontId="17" fillId="0" borderId="104" xfId="2" applyNumberFormat="1" applyFont="1" applyBorder="1" applyAlignment="1">
      <alignment wrapText="1"/>
    </xf>
    <xf numFmtId="0" fontId="17" fillId="0" borderId="108" xfId="2" applyNumberFormat="1" applyFont="1" applyBorder="1" applyAlignment="1">
      <alignment wrapText="1"/>
    </xf>
    <xf numFmtId="165" fontId="17" fillId="0" borderId="107" xfId="0" applyNumberFormat="1" applyFont="1" applyBorder="1"/>
    <xf numFmtId="0" fontId="1" fillId="0" borderId="26" xfId="2" applyNumberFormat="1" applyBorder="1"/>
    <xf numFmtId="0" fontId="1" fillId="0" borderId="34" xfId="2" applyNumberFormat="1" applyBorder="1"/>
    <xf numFmtId="0" fontId="17" fillId="0" borderId="111" xfId="2" applyNumberFormat="1" applyFont="1" applyBorder="1" applyAlignment="1">
      <alignment wrapText="1"/>
    </xf>
    <xf numFmtId="0" fontId="5" fillId="0" borderId="82" xfId="2" applyNumberFormat="1" applyFont="1" applyBorder="1" applyAlignment="1">
      <alignment wrapText="1"/>
    </xf>
    <xf numFmtId="3" fontId="17" fillId="0" borderId="82" xfId="2" applyNumberFormat="1" applyFont="1" applyBorder="1"/>
    <xf numFmtId="0" fontId="1" fillId="0" borderId="82" xfId="2" applyNumberFormat="1" applyBorder="1"/>
    <xf numFmtId="0" fontId="17" fillId="0" borderId="111" xfId="2" applyNumberFormat="1" applyFont="1" applyBorder="1"/>
    <xf numFmtId="165" fontId="17" fillId="0" borderId="112" xfId="0" applyNumberFormat="1" applyFont="1" applyBorder="1"/>
    <xf numFmtId="0" fontId="5" fillId="0" borderId="105" xfId="2" applyNumberFormat="1" applyFont="1" applyBorder="1" applyAlignment="1">
      <alignment wrapText="1"/>
    </xf>
    <xf numFmtId="0" fontId="5" fillId="0" borderId="106" xfId="2" applyNumberFormat="1" applyFont="1" applyBorder="1" applyAlignment="1">
      <alignment wrapText="1"/>
    </xf>
    <xf numFmtId="10" fontId="17" fillId="0" borderId="82" xfId="2" applyNumberFormat="1" applyFont="1" applyBorder="1"/>
    <xf numFmtId="10" fontId="17" fillId="0" borderId="82" xfId="0" applyNumberFormat="1" applyFont="1" applyBorder="1"/>
    <xf numFmtId="10" fontId="1" fillId="0" borderId="82" xfId="2" applyNumberFormat="1" applyBorder="1"/>
    <xf numFmtId="0" fontId="1" fillId="0" borderId="81" xfId="2" applyNumberFormat="1" applyBorder="1"/>
    <xf numFmtId="10" fontId="17" fillId="0" borderId="111" xfId="0" applyNumberFormat="1" applyFont="1" applyBorder="1"/>
    <xf numFmtId="0" fontId="17" fillId="0" borderId="114" xfId="2" applyNumberFormat="1" applyFont="1" applyBorder="1"/>
    <xf numFmtId="10" fontId="17" fillId="0" borderId="111" xfId="2" applyNumberFormat="1" applyFont="1" applyBorder="1"/>
    <xf numFmtId="165" fontId="17" fillId="0" borderId="114" xfId="0" applyNumberFormat="1" applyFont="1" applyBorder="1"/>
    <xf numFmtId="10" fontId="5" fillId="0" borderId="111" xfId="0" applyNumberFormat="1" applyFont="1" applyBorder="1"/>
    <xf numFmtId="165" fontId="5" fillId="0" borderId="114" xfId="0" applyNumberFormat="1" applyFont="1" applyBorder="1"/>
    <xf numFmtId="10" fontId="17" fillId="0" borderId="88" xfId="2" applyNumberFormat="1" applyFont="1" applyBorder="1"/>
    <xf numFmtId="10" fontId="17" fillId="0" borderId="112" xfId="0" applyNumberFormat="1" applyFont="1" applyBorder="1"/>
    <xf numFmtId="165" fontId="17" fillId="0" borderId="115" xfId="0" applyNumberFormat="1" applyFont="1" applyBorder="1"/>
    <xf numFmtId="165" fontId="17" fillId="0" borderId="111" xfId="0" applyNumberFormat="1" applyFont="1" applyBorder="1"/>
    <xf numFmtId="0" fontId="5" fillId="0" borderId="81" xfId="2" applyNumberFormat="1" applyFont="1" applyBorder="1" applyAlignment="1">
      <alignment wrapText="1"/>
    </xf>
    <xf numFmtId="3" fontId="17" fillId="0" borderId="81" xfId="2" applyNumberFormat="1" applyFont="1" applyBorder="1"/>
    <xf numFmtId="165" fontId="17" fillId="0" borderId="81" xfId="0" applyNumberFormat="1" applyFont="1" applyBorder="1"/>
    <xf numFmtId="165" fontId="17" fillId="0" borderId="114" xfId="2" applyFont="1" applyBorder="1"/>
    <xf numFmtId="0" fontId="0" fillId="0" borderId="111" xfId="0" applyBorder="1"/>
    <xf numFmtId="165" fontId="17" fillId="0" borderId="81" xfId="2" applyFont="1" applyBorder="1"/>
    <xf numFmtId="165" fontId="5" fillId="0" borderId="114" xfId="2" applyFont="1" applyBorder="1"/>
    <xf numFmtId="165" fontId="17" fillId="0" borderId="82" xfId="0" applyNumberFormat="1" applyFont="1" applyBorder="1"/>
    <xf numFmtId="165" fontId="5" fillId="0" borderId="111" xfId="0" applyNumberFormat="1" applyFont="1" applyBorder="1"/>
    <xf numFmtId="165" fontId="17" fillId="0" borderId="111" xfId="2" applyFont="1" applyBorder="1"/>
    <xf numFmtId="0" fontId="0" fillId="0" borderId="88" xfId="0" applyBorder="1"/>
    <xf numFmtId="3" fontId="17" fillId="0" borderId="89" xfId="2" applyNumberFormat="1" applyFont="1" applyBorder="1"/>
    <xf numFmtId="0" fontId="0" fillId="0" borderId="85" xfId="0" applyBorder="1"/>
    <xf numFmtId="0" fontId="0" fillId="0" borderId="96" xfId="0" applyBorder="1"/>
    <xf numFmtId="0" fontId="6" fillId="0" borderId="26" xfId="0" applyFont="1" applyBorder="1"/>
    <xf numFmtId="5" fontId="17" fillId="0" borderId="107" xfId="0" applyNumberFormat="1" applyFont="1" applyBorder="1"/>
    <xf numFmtId="0" fontId="0" fillId="0" borderId="67" xfId="0" applyBorder="1"/>
    <xf numFmtId="0" fontId="0" fillId="0" borderId="114" xfId="0" applyBorder="1"/>
    <xf numFmtId="0" fontId="1" fillId="0" borderId="114" xfId="2" applyNumberFormat="1" applyBorder="1"/>
    <xf numFmtId="0" fontId="1" fillId="0" borderId="111" xfId="2" applyNumberFormat="1" applyBorder="1"/>
    <xf numFmtId="165" fontId="17" fillId="0" borderId="68" xfId="0" applyNumberFormat="1" applyFont="1" applyBorder="1"/>
    <xf numFmtId="165" fontId="17" fillId="0" borderId="91" xfId="0" applyNumberFormat="1" applyFont="1" applyBorder="1"/>
    <xf numFmtId="10" fontId="17" fillId="0" borderId="91" xfId="0" applyNumberFormat="1" applyFont="1" applyBorder="1"/>
    <xf numFmtId="165" fontId="17" fillId="0" borderId="29" xfId="0" applyNumberFormat="1" applyFont="1" applyBorder="1"/>
    <xf numFmtId="0" fontId="17" fillId="0" borderId="115" xfId="2" applyNumberFormat="1" applyFont="1" applyBorder="1"/>
    <xf numFmtId="0" fontId="17" fillId="0" borderId="112" xfId="2" applyNumberFormat="1" applyFont="1" applyBorder="1"/>
    <xf numFmtId="0" fontId="17" fillId="0" borderId="109" xfId="2" applyNumberFormat="1" applyFont="1" applyBorder="1"/>
    <xf numFmtId="165" fontId="5" fillId="0" borderId="66" xfId="0" applyNumberFormat="1" applyFont="1" applyBorder="1"/>
    <xf numFmtId="165" fontId="17" fillId="0" borderId="117" xfId="0" applyNumberFormat="1" applyFont="1" applyBorder="1"/>
    <xf numFmtId="165" fontId="17" fillId="0" borderId="102" xfId="0" applyNumberFormat="1" applyFont="1" applyBorder="1"/>
    <xf numFmtId="165" fontId="17" fillId="0" borderId="118" xfId="0" applyNumberFormat="1" applyFont="1" applyBorder="1"/>
    <xf numFmtId="0" fontId="5" fillId="0" borderId="92" xfId="2" applyNumberFormat="1" applyFont="1" applyBorder="1" applyAlignment="1">
      <alignment wrapText="1"/>
    </xf>
    <xf numFmtId="0" fontId="5" fillId="0" borderId="93" xfId="2" applyNumberFormat="1" applyFont="1" applyBorder="1" applyAlignment="1">
      <alignment wrapText="1"/>
    </xf>
    <xf numFmtId="0" fontId="5" fillId="0" borderId="94" xfId="2" applyNumberFormat="1" applyFont="1" applyBorder="1" applyAlignment="1">
      <alignment wrapText="1"/>
    </xf>
    <xf numFmtId="3" fontId="17" fillId="0" borderId="92" xfId="2" applyNumberFormat="1" applyFont="1" applyBorder="1"/>
    <xf numFmtId="3" fontId="17" fillId="0" borderId="93" xfId="2" applyNumberFormat="1" applyFont="1" applyBorder="1"/>
    <xf numFmtId="3" fontId="17" fillId="0" borderId="94" xfId="2" applyNumberFormat="1" applyFont="1" applyBorder="1"/>
    <xf numFmtId="3" fontId="17" fillId="0" borderId="117" xfId="2" applyNumberFormat="1" applyFont="1" applyBorder="1"/>
    <xf numFmtId="3" fontId="17" fillId="0" borderId="102" xfId="2" applyNumberFormat="1" applyFont="1" applyBorder="1"/>
    <xf numFmtId="3" fontId="17" fillId="0" borderId="118" xfId="2" applyNumberFormat="1" applyFont="1" applyBorder="1"/>
    <xf numFmtId="3" fontId="5" fillId="0" borderId="117" xfId="2" applyNumberFormat="1" applyFont="1" applyBorder="1"/>
    <xf numFmtId="3" fontId="5" fillId="0" borderId="102" xfId="2" applyNumberFormat="1" applyFont="1" applyBorder="1"/>
    <xf numFmtId="3" fontId="5" fillId="0" borderId="118" xfId="2" applyNumberFormat="1" applyFont="1" applyBorder="1"/>
    <xf numFmtId="3" fontId="17" fillId="0" borderId="75" xfId="2" applyNumberFormat="1" applyFont="1" applyBorder="1"/>
    <xf numFmtId="3" fontId="17" fillId="0" borderId="113" xfId="2" applyNumberFormat="1" applyFont="1" applyBorder="1"/>
    <xf numFmtId="3" fontId="17" fillId="0" borderId="110" xfId="2" applyNumberFormat="1" applyFont="1" applyBorder="1"/>
    <xf numFmtId="3" fontId="17" fillId="0" borderId="79" xfId="2" applyNumberFormat="1" applyFont="1" applyBorder="1"/>
    <xf numFmtId="3" fontId="17" fillId="0" borderId="80" xfId="2" applyNumberFormat="1" applyFont="1" applyBorder="1"/>
    <xf numFmtId="3" fontId="17" fillId="0" borderId="95" xfId="2" applyNumberFormat="1" applyFont="1" applyBorder="1"/>
    <xf numFmtId="0" fontId="5" fillId="0" borderId="119" xfId="2" applyNumberFormat="1" applyFont="1" applyBorder="1"/>
    <xf numFmtId="0" fontId="5" fillId="0" borderId="103" xfId="2" applyNumberFormat="1" applyFont="1" applyBorder="1"/>
    <xf numFmtId="0" fontId="5" fillId="0" borderId="120" xfId="2" applyNumberFormat="1" applyFont="1" applyBorder="1"/>
    <xf numFmtId="165" fontId="5" fillId="0" borderId="70" xfId="0" applyNumberFormat="1" applyFont="1" applyBorder="1"/>
    <xf numFmtId="165" fontId="6" fillId="0" borderId="7" xfId="0" applyNumberFormat="1" applyFont="1" applyBorder="1"/>
    <xf numFmtId="0" fontId="1" fillId="0" borderId="8" xfId="2" applyNumberFormat="1" applyBorder="1"/>
    <xf numFmtId="0" fontId="17" fillId="0" borderId="8" xfId="2" applyNumberFormat="1" applyFont="1" applyBorder="1"/>
    <xf numFmtId="0" fontId="17" fillId="0" borderId="29" xfId="2" applyNumberFormat="1" applyFont="1" applyBorder="1"/>
    <xf numFmtId="0" fontId="17" fillId="0" borderId="7" xfId="2" applyNumberFormat="1" applyFont="1" applyBorder="1"/>
    <xf numFmtId="165" fontId="6" fillId="0" borderId="91" xfId="0" applyNumberFormat="1" applyFont="1" applyBorder="1"/>
    <xf numFmtId="0" fontId="17" fillId="0" borderId="68" xfId="2" applyNumberFormat="1" applyFont="1" applyBorder="1"/>
    <xf numFmtId="165" fontId="17" fillId="0" borderId="4" xfId="0" applyNumberFormat="1" applyFont="1" applyBorder="1" applyAlignment="1">
      <alignment horizontal="right" indent="1"/>
    </xf>
    <xf numFmtId="0" fontId="17" fillId="0" borderId="88" xfId="0" applyFont="1" applyBorder="1"/>
    <xf numFmtId="0" fontId="1" fillId="0" borderId="35" xfId="2" applyNumberFormat="1" applyBorder="1" applyProtection="1">
      <protection locked="0"/>
    </xf>
    <xf numFmtId="165" fontId="17" fillId="0" borderId="89" xfId="0" applyNumberFormat="1" applyFont="1" applyBorder="1" applyAlignment="1">
      <alignment horizontal="right" indent="1"/>
    </xf>
    <xf numFmtId="165" fontId="17" fillId="0" borderId="36" xfId="0" applyNumberFormat="1" applyFont="1" applyBorder="1"/>
    <xf numFmtId="165" fontId="17" fillId="0" borderId="104" xfId="0" applyNumberFormat="1" applyFont="1" applyBorder="1" applyAlignment="1">
      <alignment horizontal="right" indent="1"/>
    </xf>
    <xf numFmtId="0" fontId="1" fillId="0" borderId="107" xfId="2" applyNumberFormat="1" applyBorder="1" applyProtection="1">
      <protection locked="0"/>
    </xf>
    <xf numFmtId="165" fontId="17" fillId="0" borderId="114" xfId="0" applyNumberFormat="1" applyFont="1" applyBorder="1" applyAlignment="1">
      <alignment horizontal="right" indent="1"/>
    </xf>
    <xf numFmtId="165" fontId="17" fillId="0" borderId="108" xfId="0" applyNumberFormat="1" applyFont="1" applyBorder="1"/>
    <xf numFmtId="165" fontId="17" fillId="0" borderId="116" xfId="0" applyNumberFormat="1" applyFont="1" applyBorder="1"/>
    <xf numFmtId="0" fontId="1" fillId="0" borderId="100" xfId="2" applyNumberFormat="1" applyBorder="1" applyProtection="1">
      <protection locked="0"/>
    </xf>
    <xf numFmtId="0" fontId="1" fillId="0" borderId="105" xfId="2" applyNumberFormat="1" applyBorder="1" applyProtection="1">
      <protection locked="0"/>
    </xf>
    <xf numFmtId="0" fontId="1" fillId="0" borderId="116" xfId="2" applyNumberFormat="1" applyBorder="1" applyProtection="1">
      <protection locked="0"/>
    </xf>
    <xf numFmtId="0" fontId="1" fillId="0" borderId="100" xfId="2" applyNumberFormat="1" applyBorder="1"/>
    <xf numFmtId="165" fontId="17" fillId="0" borderId="106" xfId="0" applyNumberFormat="1" applyFont="1" applyBorder="1" applyAlignment="1">
      <alignment horizontal="right" indent="1"/>
    </xf>
    <xf numFmtId="165" fontId="17" fillId="0" borderId="121" xfId="0" applyNumberFormat="1" applyFont="1" applyBorder="1"/>
    <xf numFmtId="165" fontId="17" fillId="0" borderId="33" xfId="0" applyNumberFormat="1" applyFont="1" applyBorder="1"/>
    <xf numFmtId="0" fontId="5" fillId="0" borderId="26" xfId="0" applyFont="1" applyBorder="1" applyAlignment="1">
      <alignment horizontal="right" indent="1"/>
    </xf>
    <xf numFmtId="0" fontId="17" fillId="0" borderId="85" xfId="0" applyFont="1" applyBorder="1"/>
    <xf numFmtId="0" fontId="1" fillId="0" borderId="33" xfId="2" applyNumberFormat="1" applyBorder="1" applyProtection="1">
      <protection locked="0"/>
    </xf>
    <xf numFmtId="166" fontId="17" fillId="0" borderId="26" xfId="0" applyNumberFormat="1" applyFont="1" applyBorder="1"/>
    <xf numFmtId="0" fontId="5" fillId="0" borderId="96" xfId="0" applyFont="1" applyBorder="1" applyAlignment="1">
      <alignment horizontal="right" indent="1"/>
    </xf>
    <xf numFmtId="0" fontId="17" fillId="0" borderId="81" xfId="2" quotePrefix="1" applyNumberFormat="1" applyFont="1" applyBorder="1"/>
    <xf numFmtId="0" fontId="17" fillId="0" borderId="92" xfId="2" applyNumberFormat="1" applyFont="1" applyBorder="1"/>
    <xf numFmtId="0" fontId="17" fillId="0" borderId="93" xfId="2" applyNumberFormat="1" applyFont="1" applyBorder="1"/>
    <xf numFmtId="0" fontId="17" fillId="0" borderId="94" xfId="2" applyNumberFormat="1" applyFont="1" applyBorder="1"/>
    <xf numFmtId="0" fontId="1" fillId="0" borderId="28" xfId="2" applyNumberFormat="1" applyBorder="1"/>
    <xf numFmtId="0" fontId="1" fillId="0" borderId="92" xfId="2" applyNumberFormat="1" applyBorder="1"/>
    <xf numFmtId="0" fontId="1" fillId="0" borderId="93" xfId="2" applyNumberFormat="1" applyBorder="1"/>
    <xf numFmtId="0" fontId="1" fillId="0" borderId="94" xfId="2" applyNumberFormat="1" applyBorder="1"/>
    <xf numFmtId="3" fontId="17" fillId="0" borderId="117" xfId="0" applyNumberFormat="1" applyFont="1" applyBorder="1"/>
    <xf numFmtId="3" fontId="17" fillId="0" borderId="102" xfId="0" applyNumberFormat="1" applyFont="1" applyBorder="1"/>
    <xf numFmtId="3" fontId="17" fillId="0" borderId="118" xfId="0" applyNumberFormat="1" applyFont="1" applyBorder="1"/>
    <xf numFmtId="0" fontId="17" fillId="0" borderId="9" xfId="2" applyNumberFormat="1" applyFont="1" applyBorder="1"/>
    <xf numFmtId="0" fontId="1" fillId="0" borderId="15" xfId="2" applyNumberFormat="1" applyBorder="1"/>
    <xf numFmtId="0" fontId="6" fillId="0" borderId="33" xfId="0" applyFont="1" applyBorder="1"/>
    <xf numFmtId="0" fontId="6" fillId="0" borderId="85" xfId="0" applyFont="1" applyBorder="1"/>
    <xf numFmtId="0" fontId="6" fillId="0" borderId="17" xfId="0" applyFont="1" applyBorder="1"/>
    <xf numFmtId="0" fontId="6" fillId="0" borderId="83" xfId="0" applyFont="1" applyBorder="1"/>
    <xf numFmtId="0" fontId="1" fillId="0" borderId="3" xfId="2" applyNumberFormat="1" applyBorder="1"/>
    <xf numFmtId="0" fontId="1" fillId="0" borderId="18" xfId="2" applyNumberFormat="1" applyBorder="1"/>
    <xf numFmtId="0" fontId="6" fillId="0" borderId="31" xfId="0" applyFont="1" applyBorder="1"/>
    <xf numFmtId="0" fontId="6" fillId="0" borderId="84" xfId="0" applyFont="1" applyBorder="1"/>
    <xf numFmtId="0" fontId="1" fillId="0" borderId="24" xfId="2" applyNumberFormat="1" applyBorder="1"/>
    <xf numFmtId="0" fontId="1" fillId="0" borderId="32" xfId="2" applyNumberFormat="1" applyBorder="1"/>
    <xf numFmtId="165" fontId="7" fillId="7" borderId="1" xfId="2" applyFont="1" applyFill="1" applyBorder="1" applyAlignment="1">
      <alignment vertical="center" wrapText="1"/>
    </xf>
    <xf numFmtId="165" fontId="7" fillId="7" borderId="1" xfId="2" applyFont="1" applyFill="1" applyBorder="1" applyAlignment="1">
      <alignment vertical="center"/>
    </xf>
    <xf numFmtId="165" fontId="17" fillId="7" borderId="1" xfId="2" applyFont="1" applyFill="1" applyBorder="1" applyAlignment="1">
      <alignment vertical="center" wrapText="1"/>
    </xf>
    <xf numFmtId="165" fontId="17" fillId="22" borderId="114" xfId="0" applyNumberFormat="1" applyFont="1" applyFill="1" applyBorder="1"/>
    <xf numFmtId="165" fontId="17" fillId="0" borderId="117" xfId="2" applyFont="1" applyBorder="1"/>
    <xf numFmtId="165" fontId="17" fillId="0" borderId="102" xfId="2" applyFont="1" applyBorder="1"/>
    <xf numFmtId="165" fontId="17" fillId="0" borderId="118" xfId="2" applyFont="1" applyBorder="1"/>
    <xf numFmtId="165" fontId="17" fillId="0" borderId="92" xfId="2" applyFont="1" applyBorder="1"/>
    <xf numFmtId="165" fontId="17" fillId="0" borderId="93" xfId="2" applyFont="1" applyBorder="1"/>
    <xf numFmtId="165" fontId="17" fillId="0" borderId="94" xfId="2" applyFont="1" applyBorder="1"/>
    <xf numFmtId="165" fontId="5" fillId="0" borderId="117" xfId="2" applyFont="1" applyBorder="1"/>
    <xf numFmtId="165" fontId="5" fillId="0" borderId="102" xfId="2" applyFont="1" applyBorder="1"/>
    <xf numFmtId="165" fontId="5" fillId="0" borderId="118" xfId="2" applyFont="1" applyBorder="1"/>
    <xf numFmtId="165" fontId="17" fillId="0" borderId="75" xfId="2" applyFont="1" applyBorder="1"/>
    <xf numFmtId="165" fontId="17" fillId="0" borderId="113" xfId="2" applyFont="1" applyBorder="1"/>
    <xf numFmtId="165" fontId="17" fillId="0" borderId="110" xfId="2" applyFont="1" applyBorder="1"/>
    <xf numFmtId="165" fontId="17" fillId="0" borderId="79" xfId="2" applyFont="1" applyBorder="1"/>
    <xf numFmtId="165" fontId="17" fillId="0" borderId="80" xfId="2" applyFont="1" applyBorder="1"/>
    <xf numFmtId="165" fontId="17" fillId="0" borderId="95" xfId="2" applyFont="1" applyBorder="1"/>
    <xf numFmtId="0" fontId="1" fillId="0" borderId="33" xfId="2" applyNumberFormat="1" applyBorder="1"/>
    <xf numFmtId="0" fontId="1" fillId="0" borderId="35" xfId="2" applyNumberFormat="1" applyBorder="1"/>
    <xf numFmtId="0" fontId="1" fillId="0" borderId="107" xfId="2" applyNumberFormat="1" applyBorder="1"/>
    <xf numFmtId="0" fontId="1" fillId="0" borderId="105" xfId="2" applyNumberFormat="1" applyBorder="1"/>
    <xf numFmtId="0" fontId="1" fillId="0" borderId="116" xfId="2" applyNumberFormat="1" applyBorder="1"/>
    <xf numFmtId="0" fontId="0" fillId="0" borderId="15" xfId="0" applyBorder="1"/>
    <xf numFmtId="0" fontId="17" fillId="7" borderId="2" xfId="0" applyFont="1" applyFill="1" applyBorder="1" applyAlignment="1">
      <alignment vertical="center"/>
    </xf>
    <xf numFmtId="0" fontId="0" fillId="7" borderId="15" xfId="0" applyFill="1" applyBorder="1" applyAlignment="1">
      <alignment horizontal="left" vertical="center" wrapText="1"/>
    </xf>
    <xf numFmtId="0" fontId="17" fillId="0" borderId="7" xfId="0" applyFont="1" applyBorder="1" applyAlignment="1">
      <alignment horizontal="center" vertical="center" textRotation="90" wrapText="1"/>
    </xf>
    <xf numFmtId="0" fontId="0" fillId="0" borderId="34" xfId="0" applyBorder="1" applyAlignment="1">
      <alignment horizontal="left" vertical="center" wrapText="1"/>
    </xf>
    <xf numFmtId="0" fontId="0" fillId="0" borderId="28" xfId="0" applyBorder="1" applyAlignment="1">
      <alignment horizontal="left" vertical="center" wrapText="1"/>
    </xf>
    <xf numFmtId="165" fontId="34" fillId="7" borderId="0" xfId="0" applyNumberFormat="1" applyFont="1" applyFill="1" applyProtection="1">
      <protection locked="0"/>
    </xf>
    <xf numFmtId="165" fontId="61" fillId="7" borderId="0" xfId="0" applyNumberFormat="1" applyFont="1" applyFill="1" applyProtection="1">
      <protection locked="0"/>
    </xf>
    <xf numFmtId="165" fontId="0" fillId="7" borderId="0" xfId="0" applyNumberFormat="1" applyFill="1"/>
    <xf numFmtId="0" fontId="61" fillId="7" borderId="0" xfId="0" applyFont="1" applyFill="1"/>
    <xf numFmtId="0" fontId="0" fillId="23" borderId="0" xfId="0" applyFill="1" applyAlignment="1">
      <alignment vertical="center"/>
    </xf>
    <xf numFmtId="0" fontId="84" fillId="0" borderId="0" xfId="0" applyFont="1" applyAlignment="1">
      <alignment vertical="center"/>
    </xf>
    <xf numFmtId="0" fontId="4" fillId="7" borderId="0" xfId="0" applyFont="1" applyFill="1" applyAlignment="1">
      <alignment horizontal="right" vertical="center"/>
    </xf>
    <xf numFmtId="0" fontId="13" fillId="0" borderId="0" xfId="0" applyFont="1" applyAlignment="1">
      <alignment vertical="center"/>
    </xf>
    <xf numFmtId="0" fontId="10" fillId="7" borderId="10" xfId="0" applyFont="1" applyFill="1" applyBorder="1" applyAlignment="1">
      <alignment horizontal="right" vertical="center" indent="1"/>
    </xf>
    <xf numFmtId="0" fontId="7" fillId="7" borderId="9" xfId="0" applyFont="1" applyFill="1" applyBorder="1" applyAlignment="1">
      <alignment horizontal="center" vertical="center"/>
    </xf>
    <xf numFmtId="0" fontId="29" fillId="0" borderId="13" xfId="0" applyFont="1" applyBorder="1" applyAlignment="1">
      <alignment horizontal="left" vertical="center" wrapText="1"/>
    </xf>
    <xf numFmtId="165" fontId="7" fillId="11" borderId="14" xfId="0" applyNumberFormat="1" applyFont="1" applyFill="1" applyBorder="1" applyAlignment="1">
      <alignment vertical="center"/>
    </xf>
    <xf numFmtId="0" fontId="52" fillId="0" borderId="13" xfId="0" applyFont="1" applyBorder="1"/>
    <xf numFmtId="0" fontId="17" fillId="0" borderId="13" xfId="0" applyFont="1" applyBorder="1" applyAlignment="1">
      <alignment horizontal="center" vertical="center" textRotation="90" wrapText="1"/>
    </xf>
    <xf numFmtId="0" fontId="17" fillId="0" borderId="0" xfId="0" applyFont="1" applyAlignment="1">
      <alignment horizontal="center" vertical="center" textRotation="90" wrapText="1"/>
    </xf>
    <xf numFmtId="0" fontId="6" fillId="7" borderId="100" xfId="0" applyFont="1" applyFill="1" applyBorder="1" applyAlignment="1">
      <alignment horizontal="left" vertical="center" indent="1"/>
    </xf>
    <xf numFmtId="0" fontId="1" fillId="7" borderId="100" xfId="0" applyFont="1" applyFill="1" applyBorder="1" applyAlignment="1">
      <alignment horizontal="center" vertical="center"/>
    </xf>
    <xf numFmtId="10" fontId="60" fillId="7" borderId="5" xfId="0" applyNumberFormat="1" applyFont="1" applyFill="1" applyBorder="1" applyAlignment="1">
      <alignment horizontal="right" vertical="center" indent="1"/>
    </xf>
    <xf numFmtId="0" fontId="0" fillId="7" borderId="41" xfId="0" applyFill="1" applyBorder="1"/>
    <xf numFmtId="0" fontId="0" fillId="7" borderId="11" xfId="0" applyFill="1" applyBorder="1"/>
    <xf numFmtId="0" fontId="6" fillId="7" borderId="10" xfId="0" applyFont="1" applyFill="1" applyBorder="1" applyAlignment="1">
      <alignment horizontal="left" vertical="center" indent="1"/>
    </xf>
    <xf numFmtId="0" fontId="29" fillId="0" borderId="0" xfId="0" applyFont="1" applyAlignment="1">
      <alignment horizontal="left" vertical="center"/>
    </xf>
    <xf numFmtId="165" fontId="6" fillId="0" borderId="13" xfId="0" applyNumberFormat="1" applyFont="1" applyBorder="1" applyAlignment="1">
      <alignment vertical="center"/>
    </xf>
    <xf numFmtId="165" fontId="6" fillId="0" borderId="7" xfId="0" applyNumberFormat="1" applyFont="1" applyBorder="1" applyAlignment="1">
      <alignment vertical="center"/>
    </xf>
    <xf numFmtId="0" fontId="17" fillId="0" borderId="8" xfId="0" applyFont="1" applyBorder="1" applyAlignment="1">
      <alignment horizontal="center" vertical="center" textRotation="90" wrapText="1"/>
    </xf>
    <xf numFmtId="0" fontId="6" fillId="7" borderId="8" xfId="0" applyFont="1" applyFill="1" applyBorder="1" applyAlignment="1">
      <alignment horizontal="left" vertical="center" indent="1"/>
    </xf>
    <xf numFmtId="0" fontId="17" fillId="7" borderId="9" xfId="0" applyFont="1" applyFill="1" applyBorder="1" applyAlignment="1">
      <alignment horizontal="center" vertical="center" textRotation="90" wrapText="1"/>
    </xf>
    <xf numFmtId="0" fontId="17" fillId="7" borderId="10" xfId="0" applyFont="1" applyFill="1" applyBorder="1" applyAlignment="1">
      <alignment horizontal="center" vertical="center" textRotation="90" wrapText="1"/>
    </xf>
    <xf numFmtId="0" fontId="1" fillId="7" borderId="8" xfId="0" applyFont="1" applyFill="1" applyBorder="1" applyAlignment="1">
      <alignment horizontal="center" vertical="center"/>
    </xf>
    <xf numFmtId="0" fontId="17" fillId="0" borderId="33" xfId="0" applyFont="1" applyBorder="1" applyAlignment="1">
      <alignment horizontal="center" vertical="center" textRotation="90" wrapText="1"/>
    </xf>
    <xf numFmtId="0" fontId="17" fillId="0" borderId="26" xfId="0" applyFont="1" applyBorder="1" applyAlignment="1">
      <alignment horizontal="center" vertical="center" textRotation="90" wrapText="1"/>
    </xf>
    <xf numFmtId="0" fontId="17" fillId="7" borderId="26" xfId="0" applyFont="1" applyFill="1" applyBorder="1" applyAlignment="1">
      <alignment horizontal="center" vertical="center"/>
    </xf>
    <xf numFmtId="0" fontId="17" fillId="0" borderId="34" xfId="0" applyFont="1" applyBorder="1"/>
    <xf numFmtId="165" fontId="17" fillId="11" borderId="22" xfId="0" applyNumberFormat="1" applyFont="1" applyFill="1" applyBorder="1" applyAlignment="1">
      <alignment vertical="center"/>
    </xf>
    <xf numFmtId="165" fontId="5" fillId="11" borderId="22" xfId="0" applyNumberFormat="1" applyFont="1" applyFill="1" applyBorder="1" applyAlignment="1">
      <alignment vertical="center"/>
    </xf>
    <xf numFmtId="0" fontId="17" fillId="0" borderId="107" xfId="0" applyFont="1" applyBorder="1" applyAlignment="1">
      <alignment horizontal="center" vertical="center" textRotation="90" wrapText="1"/>
    </xf>
    <xf numFmtId="0" fontId="17" fillId="0" borderId="104" xfId="0" applyFont="1" applyBorder="1" applyAlignment="1">
      <alignment horizontal="center" vertical="center" textRotation="90" wrapText="1"/>
    </xf>
    <xf numFmtId="0" fontId="17" fillId="7" borderId="104" xfId="0" applyFont="1" applyFill="1" applyBorder="1" applyAlignment="1">
      <alignment horizontal="center" vertical="center"/>
    </xf>
    <xf numFmtId="0" fontId="17" fillId="0" borderId="108" xfId="0" applyFont="1" applyBorder="1"/>
    <xf numFmtId="165" fontId="17" fillId="11" borderId="122" xfId="0" applyNumberFormat="1" applyFont="1" applyFill="1" applyBorder="1" applyAlignment="1">
      <alignment vertical="center"/>
    </xf>
    <xf numFmtId="165" fontId="5" fillId="11" borderId="122" xfId="0" applyNumberFormat="1" applyFont="1" applyFill="1" applyBorder="1" applyAlignment="1">
      <alignment vertical="center"/>
    </xf>
    <xf numFmtId="0" fontId="17" fillId="0" borderId="31" xfId="0" applyFont="1" applyBorder="1" applyAlignment="1">
      <alignment horizontal="center" vertical="center" textRotation="90" wrapText="1"/>
    </xf>
    <xf numFmtId="0" fontId="17" fillId="0" borderId="123" xfId="0" applyFont="1" applyBorder="1" applyAlignment="1">
      <alignment horizontal="center" vertical="center" textRotation="90" wrapText="1"/>
    </xf>
    <xf numFmtId="0" fontId="17" fillId="7" borderId="123" xfId="0" applyFont="1" applyFill="1" applyBorder="1" applyAlignment="1">
      <alignment horizontal="center" vertical="center"/>
    </xf>
    <xf numFmtId="0" fontId="17" fillId="0" borderId="109" xfId="0" applyFont="1" applyBorder="1"/>
    <xf numFmtId="165" fontId="17" fillId="11" borderId="19" xfId="0" applyNumberFormat="1" applyFont="1" applyFill="1" applyBorder="1" applyAlignment="1">
      <alignment vertical="center"/>
    </xf>
    <xf numFmtId="165" fontId="5" fillId="11" borderId="19" xfId="0" applyNumberFormat="1" applyFont="1" applyFill="1" applyBorder="1" applyAlignment="1">
      <alignment vertical="center"/>
    </xf>
    <xf numFmtId="0" fontId="2" fillId="7" borderId="10" xfId="0" applyFont="1" applyFill="1" applyBorder="1" applyAlignment="1">
      <alignment vertical="center"/>
    </xf>
    <xf numFmtId="0" fontId="4" fillId="7" borderId="10" xfId="0" applyFont="1" applyFill="1" applyBorder="1" applyAlignment="1">
      <alignment vertical="center"/>
    </xf>
    <xf numFmtId="0" fontId="1" fillId="7" borderId="109" xfId="0" applyFont="1" applyFill="1" applyBorder="1" applyAlignment="1">
      <alignment horizontal="center" vertical="center"/>
    </xf>
    <xf numFmtId="0" fontId="1" fillId="0" borderId="15" xfId="0" applyFont="1" applyBorder="1" applyAlignment="1">
      <alignment horizontal="center" vertical="center"/>
    </xf>
    <xf numFmtId="10" fontId="60" fillId="7" borderId="22" xfId="0" applyNumberFormat="1" applyFont="1" applyFill="1" applyBorder="1" applyAlignment="1">
      <alignment horizontal="right" vertical="center" indent="1"/>
    </xf>
    <xf numFmtId="10" fontId="60" fillId="7" borderId="122" xfId="0" applyNumberFormat="1" applyFont="1" applyFill="1" applyBorder="1" applyAlignment="1">
      <alignment horizontal="right" vertical="center" indent="1"/>
    </xf>
    <xf numFmtId="165" fontId="6" fillId="11" borderId="122" xfId="0" applyNumberFormat="1" applyFont="1" applyFill="1" applyBorder="1" applyAlignment="1">
      <alignment vertical="center"/>
    </xf>
    <xf numFmtId="10" fontId="60" fillId="7" borderId="19" xfId="0" applyNumberFormat="1" applyFont="1" applyFill="1" applyBorder="1" applyAlignment="1">
      <alignment horizontal="right" vertical="center" indent="1"/>
    </xf>
    <xf numFmtId="0" fontId="17" fillId="7" borderId="26" xfId="0" applyFont="1" applyFill="1" applyBorder="1" applyAlignment="1">
      <alignment horizontal="left" vertical="center" indent="2"/>
    </xf>
    <xf numFmtId="0" fontId="17" fillId="7" borderId="104" xfId="0" applyFont="1" applyFill="1" applyBorder="1" applyAlignment="1">
      <alignment horizontal="left" vertical="center" indent="2"/>
    </xf>
    <xf numFmtId="0" fontId="17" fillId="7" borderId="123" xfId="0" applyFont="1" applyFill="1" applyBorder="1" applyAlignment="1">
      <alignment horizontal="left" vertical="center" indent="2"/>
    </xf>
    <xf numFmtId="0" fontId="5" fillId="7" borderId="10" xfId="0" applyFont="1" applyFill="1" applyBorder="1" applyAlignment="1">
      <alignment horizontal="left" vertical="center" indent="2"/>
    </xf>
    <xf numFmtId="0" fontId="5" fillId="7" borderId="4" xfId="0" applyFont="1" applyFill="1" applyBorder="1" applyAlignment="1">
      <alignment horizontal="left" vertical="center" indent="1"/>
    </xf>
    <xf numFmtId="0" fontId="1" fillId="7" borderId="0" xfId="0" applyFont="1" applyFill="1" applyAlignment="1">
      <alignment vertical="center"/>
    </xf>
    <xf numFmtId="0" fontId="10" fillId="7" borderId="100" xfId="0" applyFont="1" applyFill="1" applyBorder="1" applyAlignment="1">
      <alignment horizontal="center" vertical="center"/>
    </xf>
    <xf numFmtId="0" fontId="6" fillId="7" borderId="104" xfId="0" applyFont="1" applyFill="1" applyBorder="1"/>
    <xf numFmtId="10" fontId="60" fillId="7" borderId="9" xfId="0" applyNumberFormat="1" applyFont="1" applyFill="1" applyBorder="1" applyAlignment="1">
      <alignment horizontal="right" vertical="center" indent="1"/>
    </xf>
    <xf numFmtId="10" fontId="6" fillId="11" borderId="12" xfId="0" applyNumberFormat="1" applyFont="1" applyFill="1" applyBorder="1" applyAlignment="1">
      <alignment horizontal="right" vertical="center" indent="1"/>
    </xf>
    <xf numFmtId="3" fontId="6" fillId="7" borderId="7" xfId="0" applyNumberFormat="1" applyFont="1" applyFill="1" applyBorder="1" applyAlignment="1">
      <alignment horizontal="right" vertical="center" indent="1"/>
    </xf>
    <xf numFmtId="3" fontId="6" fillId="7" borderId="8" xfId="0" applyNumberFormat="1" applyFont="1" applyFill="1" applyBorder="1" applyAlignment="1">
      <alignment horizontal="right" vertical="center" indent="1"/>
    </xf>
    <xf numFmtId="0" fontId="0" fillId="7" borderId="26" xfId="0" applyFill="1" applyBorder="1" applyAlignment="1">
      <alignment vertical="center"/>
    </xf>
    <xf numFmtId="0" fontId="29" fillId="0" borderId="26" xfId="0" applyFont="1" applyBorder="1" applyAlignment="1">
      <alignment horizontal="left" vertical="center" wrapText="1"/>
    </xf>
    <xf numFmtId="0" fontId="10" fillId="7" borderId="114" xfId="0" applyFont="1" applyFill="1" applyBorder="1" applyAlignment="1">
      <alignment horizontal="center" vertical="center"/>
    </xf>
    <xf numFmtId="0" fontId="10" fillId="7" borderId="102" xfId="0" applyFont="1" applyFill="1" applyBorder="1" applyAlignment="1">
      <alignment horizontal="center" vertical="center" wrapText="1"/>
    </xf>
    <xf numFmtId="0" fontId="10" fillId="7" borderId="118" xfId="0" applyFont="1" applyFill="1" applyBorder="1" applyAlignment="1">
      <alignment horizontal="center" vertical="center" wrapText="1"/>
    </xf>
    <xf numFmtId="165" fontId="6" fillId="11" borderId="103" xfId="0" applyNumberFormat="1" applyFont="1" applyFill="1" applyBorder="1" applyAlignment="1">
      <alignment vertical="center"/>
    </xf>
    <xf numFmtId="165" fontId="6" fillId="11" borderId="120" xfId="0" applyNumberFormat="1" applyFont="1" applyFill="1" applyBorder="1" applyAlignment="1">
      <alignment vertical="center"/>
    </xf>
    <xf numFmtId="0" fontId="6" fillId="0" borderId="104" xfId="0" applyFont="1" applyBorder="1" applyAlignment="1">
      <alignment vertical="center"/>
    </xf>
    <xf numFmtId="0" fontId="7" fillId="7" borderId="10" xfId="0" applyFont="1" applyFill="1" applyBorder="1" applyAlignment="1">
      <alignment horizontal="left" vertical="center" indent="1"/>
    </xf>
    <xf numFmtId="0" fontId="6" fillId="7" borderId="123" xfId="0" applyFont="1" applyFill="1" applyBorder="1" applyAlignment="1">
      <alignment horizontal="left" indent="2"/>
    </xf>
    <xf numFmtId="0" fontId="7" fillId="7" borderId="31" xfId="0" applyFont="1" applyFill="1" applyBorder="1" applyAlignment="1">
      <alignment horizontal="left" vertical="center" indent="4"/>
    </xf>
    <xf numFmtId="0" fontId="7" fillId="7" borderId="123" xfId="0" applyFont="1" applyFill="1" applyBorder="1" applyAlignment="1">
      <alignment horizontal="left" vertical="center" indent="2"/>
    </xf>
    <xf numFmtId="0" fontId="85" fillId="7" borderId="10" xfId="0" applyFont="1" applyFill="1" applyBorder="1"/>
    <xf numFmtId="0" fontId="4" fillId="7" borderId="9" xfId="0" applyFont="1" applyFill="1" applyBorder="1" applyAlignment="1">
      <alignment horizontal="left" vertical="center" indent="1"/>
    </xf>
    <xf numFmtId="0" fontId="14" fillId="7" borderId="10" xfId="0" applyFont="1" applyFill="1" applyBorder="1" applyAlignment="1">
      <alignment vertical="center"/>
    </xf>
    <xf numFmtId="0" fontId="0" fillId="7" borderId="14" xfId="0" applyFill="1" applyBorder="1" applyAlignment="1">
      <alignment vertical="center"/>
    </xf>
    <xf numFmtId="0" fontId="29" fillId="7" borderId="10" xfId="0" applyFont="1" applyFill="1" applyBorder="1" applyAlignment="1">
      <alignment horizontal="left" vertical="center" wrapText="1"/>
    </xf>
    <xf numFmtId="3" fontId="7" fillId="0" borderId="15" xfId="0" applyNumberFormat="1" applyFont="1" applyBorder="1" applyAlignment="1">
      <alignment vertical="center"/>
    </xf>
    <xf numFmtId="166" fontId="7" fillId="0" borderId="9" xfId="0" applyNumberFormat="1" applyFont="1" applyBorder="1" applyAlignment="1">
      <alignment vertical="center"/>
    </xf>
    <xf numFmtId="0" fontId="29" fillId="0" borderId="77" xfId="0" applyFont="1" applyBorder="1" applyAlignment="1">
      <alignment horizontal="left" vertical="center"/>
    </xf>
    <xf numFmtId="0" fontId="0" fillId="0" borderId="124" xfId="0" applyBorder="1" applyAlignment="1">
      <alignment horizontal="left" vertical="center" wrapText="1"/>
    </xf>
    <xf numFmtId="0" fontId="29" fillId="7" borderId="9" xfId="0" applyFont="1" applyFill="1" applyBorder="1" applyAlignment="1">
      <alignment horizontal="left" vertical="center"/>
    </xf>
    <xf numFmtId="0" fontId="29" fillId="7" borderId="15" xfId="0" applyFont="1" applyFill="1" applyBorder="1" applyAlignment="1">
      <alignment horizontal="left" vertical="center"/>
    </xf>
    <xf numFmtId="0" fontId="6" fillId="0" borderId="107" xfId="0" applyFont="1" applyBorder="1"/>
    <xf numFmtId="0" fontId="6" fillId="0" borderId="111" xfId="0" applyFont="1" applyBorder="1"/>
    <xf numFmtId="0" fontId="1" fillId="0" borderId="108" xfId="2" applyNumberFormat="1" applyBorder="1"/>
    <xf numFmtId="0" fontId="1" fillId="0" borderId="123" xfId="2" applyNumberFormat="1" applyBorder="1"/>
    <xf numFmtId="10" fontId="1" fillId="0" borderId="111" xfId="2" applyNumberFormat="1" applyBorder="1"/>
    <xf numFmtId="10" fontId="17" fillId="0" borderId="84" xfId="0" applyNumberFormat="1" applyFont="1" applyBorder="1"/>
    <xf numFmtId="0" fontId="17" fillId="0" borderId="84" xfId="2" applyNumberFormat="1" applyFont="1" applyBorder="1"/>
    <xf numFmtId="0" fontId="17" fillId="0" borderId="32" xfId="2" applyNumberFormat="1" applyFont="1" applyBorder="1"/>
    <xf numFmtId="3" fontId="17" fillId="0" borderId="76" xfId="2" applyNumberFormat="1" applyFont="1" applyBorder="1"/>
    <xf numFmtId="3" fontId="17" fillId="0" borderId="42" xfId="2" applyNumberFormat="1" applyFont="1" applyBorder="1"/>
    <xf numFmtId="165" fontId="17" fillId="0" borderId="76" xfId="2" applyFont="1" applyBorder="1"/>
    <xf numFmtId="0" fontId="0" fillId="0" borderId="0" xfId="0" applyAlignment="1">
      <alignment vertical="center" wrapText="1"/>
    </xf>
    <xf numFmtId="0" fontId="5" fillId="7" borderId="3" xfId="0" applyFont="1" applyFill="1" applyBorder="1" applyAlignment="1">
      <alignment horizontal="left" vertical="center"/>
    </xf>
    <xf numFmtId="0" fontId="17" fillId="7" borderId="3" xfId="0" applyFont="1" applyFill="1" applyBorder="1" applyAlignment="1">
      <alignment vertical="center"/>
    </xf>
    <xf numFmtId="0" fontId="17" fillId="7" borderId="18" xfId="0" applyFont="1" applyFill="1" applyBorder="1" applyAlignment="1">
      <alignment vertical="center"/>
    </xf>
    <xf numFmtId="0" fontId="5" fillId="7" borderId="2" xfId="0" applyFont="1" applyFill="1" applyBorder="1" applyAlignment="1">
      <alignment horizontal="left" vertical="center"/>
    </xf>
    <xf numFmtId="0" fontId="17" fillId="7" borderId="38" xfId="0" applyFont="1" applyFill="1" applyBorder="1" applyAlignment="1">
      <alignment vertical="center"/>
    </xf>
    <xf numFmtId="0" fontId="5" fillId="7" borderId="4" xfId="0" applyFont="1" applyFill="1" applyBorder="1" applyAlignment="1">
      <alignment horizontal="left" vertical="center"/>
    </xf>
    <xf numFmtId="0" fontId="17" fillId="7" borderId="4" xfId="0" applyFont="1" applyFill="1" applyBorder="1" applyAlignment="1">
      <alignment vertical="center"/>
    </xf>
    <xf numFmtId="0" fontId="17" fillId="7" borderId="36" xfId="0" applyFont="1" applyFill="1" applyBorder="1" applyAlignment="1">
      <alignment vertical="center"/>
    </xf>
    <xf numFmtId="0" fontId="5" fillId="11" borderId="9" xfId="0" applyFont="1" applyFill="1" applyBorder="1" applyAlignment="1">
      <alignment horizontal="center" vertical="center"/>
    </xf>
    <xf numFmtId="0" fontId="0" fillId="0" borderId="102" xfId="0" applyBorder="1"/>
    <xf numFmtId="0" fontId="2" fillId="7" borderId="0" xfId="0" applyFont="1" applyFill="1" applyAlignment="1">
      <alignment horizontal="left" vertical="top" indent="1"/>
    </xf>
    <xf numFmtId="0" fontId="61" fillId="7" borderId="0" xfId="0" applyFont="1" applyFill="1" applyAlignment="1">
      <alignment horizontal="left" indent="2"/>
    </xf>
    <xf numFmtId="0" fontId="61" fillId="7" borderId="0" xfId="0" applyFont="1" applyFill="1" applyAlignment="1">
      <alignment horizontal="left" vertical="top" indent="2"/>
    </xf>
    <xf numFmtId="0" fontId="31" fillId="7" borderId="34" xfId="0" applyFont="1" applyFill="1" applyBorder="1" applyAlignment="1">
      <alignment horizontal="left" vertical="center" wrapText="1"/>
    </xf>
    <xf numFmtId="0" fontId="31" fillId="7" borderId="32" xfId="0" applyFont="1" applyFill="1" applyBorder="1" applyAlignment="1">
      <alignment horizontal="left" vertical="center" wrapText="1"/>
    </xf>
    <xf numFmtId="0" fontId="6" fillId="7" borderId="84" xfId="0" applyFont="1" applyFill="1" applyBorder="1" applyAlignment="1">
      <alignment horizontal="left" vertical="center" indent="1"/>
    </xf>
    <xf numFmtId="0" fontId="52" fillId="0" borderId="111" xfId="0" applyFont="1" applyBorder="1"/>
    <xf numFmtId="0" fontId="52" fillId="0" borderId="126" xfId="0" applyFont="1" applyBorder="1"/>
    <xf numFmtId="0" fontId="52" fillId="0" borderId="43" xfId="0" applyFont="1" applyBorder="1"/>
    <xf numFmtId="0" fontId="6" fillId="0" borderId="27" xfId="0" applyFont="1" applyBorder="1"/>
    <xf numFmtId="164" fontId="0" fillId="0" borderId="0" xfId="0" applyNumberFormat="1"/>
    <xf numFmtId="164" fontId="0" fillId="0" borderId="28" xfId="0" applyNumberFormat="1" applyBorder="1"/>
    <xf numFmtId="0" fontId="53" fillId="0" borderId="102" xfId="0" applyFont="1" applyBorder="1"/>
    <xf numFmtId="0" fontId="6" fillId="0" borderId="102" xfId="0" applyFont="1" applyBorder="1"/>
    <xf numFmtId="0" fontId="52" fillId="0" borderId="102" xfId="0" quotePrefix="1" applyFont="1" applyBorder="1"/>
    <xf numFmtId="0" fontId="28" fillId="7" borderId="0" xfId="0" applyFont="1" applyFill="1"/>
    <xf numFmtId="0" fontId="52" fillId="0" borderId="5" xfId="0" applyFont="1" applyBorder="1"/>
    <xf numFmtId="0" fontId="52" fillId="0" borderId="6" xfId="0" applyFont="1" applyBorder="1"/>
    <xf numFmtId="0" fontId="6" fillId="0" borderId="28" xfId="0" applyFont="1" applyBorder="1"/>
    <xf numFmtId="3" fontId="0" fillId="0" borderId="13" xfId="0" applyNumberFormat="1" applyBorder="1"/>
    <xf numFmtId="3" fontId="0" fillId="0" borderId="28" xfId="0" applyNumberFormat="1" applyBorder="1"/>
    <xf numFmtId="3" fontId="0" fillId="0" borderId="7" xfId="0" applyNumberFormat="1" applyBorder="1"/>
    <xf numFmtId="3" fontId="0" fillId="0" borderId="8" xfId="0" applyNumberFormat="1" applyBorder="1"/>
    <xf numFmtId="3" fontId="0" fillId="0" borderId="29" xfId="0" applyNumberFormat="1" applyBorder="1"/>
    <xf numFmtId="0" fontId="53" fillId="0" borderId="125" xfId="0" applyFont="1" applyBorder="1"/>
    <xf numFmtId="0" fontId="52" fillId="0" borderId="0" xfId="0" quotePrefix="1" applyFont="1"/>
    <xf numFmtId="0" fontId="6" fillId="7" borderId="111" xfId="0" applyFont="1" applyFill="1" applyBorder="1" applyAlignment="1">
      <alignment horizontal="left" vertical="center" indent="1"/>
    </xf>
    <xf numFmtId="0" fontId="0" fillId="0" borderId="33" xfId="0" applyBorder="1"/>
    <xf numFmtId="0" fontId="0" fillId="0" borderId="17" xfId="0" applyBorder="1"/>
    <xf numFmtId="0" fontId="31" fillId="7" borderId="108" xfId="0" applyFont="1" applyFill="1" applyBorder="1" applyAlignment="1">
      <alignment horizontal="left" vertical="center" wrapText="1"/>
    </xf>
    <xf numFmtId="0" fontId="0" fillId="0" borderId="31" xfId="0" applyBorder="1"/>
    <xf numFmtId="0" fontId="31" fillId="25" borderId="33" xfId="0" applyFont="1" applyFill="1" applyBorder="1" applyAlignment="1">
      <alignment horizontal="left" vertical="center"/>
    </xf>
    <xf numFmtId="0" fontId="31" fillId="25" borderId="17" xfId="0" applyFont="1" applyFill="1" applyBorder="1" applyAlignment="1">
      <alignment horizontal="left" vertical="center"/>
    </xf>
    <xf numFmtId="0" fontId="31" fillId="25" borderId="31" xfId="0" applyFont="1" applyFill="1" applyBorder="1" applyAlignment="1">
      <alignment horizontal="left" vertical="center"/>
    </xf>
    <xf numFmtId="0" fontId="29" fillId="25" borderId="35" xfId="0" applyFont="1" applyFill="1" applyBorder="1" applyAlignment="1">
      <alignment horizontal="left" vertical="center"/>
    </xf>
    <xf numFmtId="0" fontId="29" fillId="25" borderId="17" xfId="0" applyFont="1" applyFill="1" applyBorder="1" applyAlignment="1">
      <alignment horizontal="left" vertical="center"/>
    </xf>
    <xf numFmtId="0" fontId="29" fillId="25" borderId="33" xfId="0" applyFont="1" applyFill="1" applyBorder="1" applyAlignment="1">
      <alignment horizontal="left" vertical="center"/>
    </xf>
    <xf numFmtId="0" fontId="29" fillId="25" borderId="31" xfId="0" applyFont="1" applyFill="1" applyBorder="1" applyAlignment="1">
      <alignment horizontal="left" vertical="center"/>
    </xf>
    <xf numFmtId="0" fontId="29" fillId="7" borderId="13" xfId="0" applyFont="1" applyFill="1" applyBorder="1" applyAlignment="1">
      <alignment horizontal="left" vertical="center" wrapText="1"/>
    </xf>
    <xf numFmtId="0" fontId="0" fillId="0" borderId="7" xfId="0" applyBorder="1"/>
    <xf numFmtId="0" fontId="87" fillId="0" borderId="0" xfId="0" quotePrefix="1" applyFont="1"/>
    <xf numFmtId="0" fontId="87" fillId="0" borderId="0" xfId="0" applyFont="1"/>
    <xf numFmtId="3" fontId="87" fillId="0" borderId="0" xfId="0" applyNumberFormat="1" applyFont="1"/>
    <xf numFmtId="165" fontId="60" fillId="7" borderId="12" xfId="0" applyNumberFormat="1" applyFont="1" applyFill="1" applyBorder="1" applyAlignment="1">
      <alignment horizontal="right" vertical="center" indent="1"/>
    </xf>
    <xf numFmtId="164" fontId="53" fillId="26" borderId="102" xfId="0" applyNumberFormat="1" applyFont="1" applyFill="1" applyBorder="1"/>
    <xf numFmtId="0" fontId="0" fillId="11" borderId="102" xfId="0" applyFill="1" applyBorder="1"/>
    <xf numFmtId="0" fontId="53" fillId="0" borderId="5" xfId="0" applyFont="1" applyBorder="1"/>
    <xf numFmtId="0" fontId="16" fillId="0" borderId="0" xfId="0" applyFont="1"/>
    <xf numFmtId="0" fontId="6" fillId="0" borderId="0" xfId="0" applyFont="1" applyAlignment="1">
      <alignment horizontal="right" indent="1"/>
    </xf>
    <xf numFmtId="165" fontId="0" fillId="0" borderId="12" xfId="0" applyNumberFormat="1" applyBorder="1"/>
    <xf numFmtId="0" fontId="15" fillId="25" borderId="0" xfId="0" applyFont="1" applyFill="1"/>
    <xf numFmtId="10" fontId="0" fillId="0" borderId="102" xfId="0" applyNumberFormat="1" applyBorder="1"/>
    <xf numFmtId="0" fontId="0" fillId="27" borderId="0" xfId="0" applyFill="1"/>
    <xf numFmtId="0" fontId="5" fillId="7" borderId="104" xfId="0" applyFont="1" applyFill="1" applyBorder="1" applyAlignment="1">
      <alignment horizontal="left" indent="4"/>
    </xf>
    <xf numFmtId="0" fontId="5" fillId="7" borderId="101" xfId="0" applyFont="1" applyFill="1" applyBorder="1" applyAlignment="1">
      <alignment horizontal="left" indent="4"/>
    </xf>
    <xf numFmtId="0" fontId="5" fillId="7" borderId="100" xfId="0" applyFont="1" applyFill="1" applyBorder="1" applyAlignment="1">
      <alignment horizontal="left" indent="4"/>
    </xf>
    <xf numFmtId="165" fontId="7" fillId="6" borderId="127" xfId="0" applyNumberFormat="1" applyFont="1" applyFill="1" applyBorder="1" applyAlignment="1" applyProtection="1">
      <alignment horizontal="right" vertical="center" indent="1"/>
      <protection locked="0"/>
    </xf>
    <xf numFmtId="0" fontId="10" fillId="7" borderId="35" xfId="0" applyFont="1" applyFill="1" applyBorder="1" applyAlignment="1">
      <alignment horizontal="left" vertical="center" indent="1"/>
    </xf>
    <xf numFmtId="0" fontId="10" fillId="7" borderId="17" xfId="0" applyFont="1" applyFill="1" applyBorder="1" applyAlignment="1">
      <alignment horizontal="left" vertical="center" indent="1"/>
    </xf>
    <xf numFmtId="0" fontId="10" fillId="7" borderId="31" xfId="0" applyFont="1" applyFill="1" applyBorder="1" applyAlignment="1">
      <alignment horizontal="left" vertical="center" indent="1"/>
    </xf>
    <xf numFmtId="3" fontId="5" fillId="11" borderId="33" xfId="0" applyNumberFormat="1" applyFont="1" applyFill="1" applyBorder="1" applyAlignment="1">
      <alignment horizontal="right" vertical="center" indent="1"/>
    </xf>
    <xf numFmtId="3" fontId="5" fillId="11" borderId="17" xfId="0" applyNumberFormat="1" applyFont="1" applyFill="1" applyBorder="1" applyAlignment="1">
      <alignment horizontal="right" vertical="center" indent="1"/>
    </xf>
    <xf numFmtId="3" fontId="5" fillId="11" borderId="31" xfId="0" applyNumberFormat="1" applyFont="1" applyFill="1" applyBorder="1" applyAlignment="1">
      <alignment horizontal="right" vertical="center" indent="1"/>
    </xf>
    <xf numFmtId="165" fontId="5" fillId="7" borderId="5" xfId="0" applyNumberFormat="1" applyFont="1" applyFill="1" applyBorder="1" applyAlignment="1">
      <alignment horizontal="center"/>
    </xf>
    <xf numFmtId="165" fontId="42" fillId="0" borderId="15" xfId="0" applyNumberFormat="1" applyFont="1" applyBorder="1" applyProtection="1">
      <protection locked="0"/>
    </xf>
    <xf numFmtId="165" fontId="0" fillId="0" borderId="102" xfId="0" applyNumberFormat="1" applyBorder="1"/>
    <xf numFmtId="165" fontId="17" fillId="0" borderId="74" xfId="2" applyFont="1" applyBorder="1"/>
    <xf numFmtId="3" fontId="17" fillId="0" borderId="74" xfId="2" applyNumberFormat="1" applyFont="1" applyBorder="1"/>
    <xf numFmtId="165" fontId="17" fillId="0" borderId="111" xfId="2" applyFont="1" applyBorder="1" applyAlignment="1">
      <alignment wrapText="1"/>
    </xf>
    <xf numFmtId="0" fontId="5" fillId="0" borderId="106" xfId="2" applyNumberFormat="1" applyFont="1" applyBorder="1"/>
    <xf numFmtId="165" fontId="17" fillId="0" borderId="128" xfId="2" applyFont="1" applyBorder="1"/>
    <xf numFmtId="0" fontId="67" fillId="0" borderId="1" xfId="0" applyFont="1" applyBorder="1" applyAlignment="1">
      <alignment vertical="center"/>
    </xf>
    <xf numFmtId="0" fontId="67" fillId="0" borderId="1" xfId="0" applyFont="1" applyBorder="1" applyAlignment="1">
      <alignment horizontal="left" vertical="center" wrapText="1"/>
    </xf>
    <xf numFmtId="0" fontId="69" fillId="0" borderId="1" xfId="0" applyFont="1" applyBorder="1" applyAlignment="1">
      <alignment horizontal="left" vertical="center" wrapText="1"/>
    </xf>
    <xf numFmtId="0" fontId="69" fillId="0" borderId="1" xfId="0" applyFont="1" applyBorder="1" applyAlignment="1">
      <alignment horizontal="center" vertical="center" wrapText="1"/>
    </xf>
    <xf numFmtId="168" fontId="70" fillId="0" borderId="1" xfId="0" applyNumberFormat="1" applyFont="1" applyBorder="1" applyAlignment="1">
      <alignment horizontal="right" vertical="center" indent="1"/>
    </xf>
    <xf numFmtId="3" fontId="67" fillId="0" borderId="1" xfId="0" applyNumberFormat="1" applyFont="1" applyBorder="1" applyAlignment="1">
      <alignment horizontal="center" vertical="center"/>
    </xf>
    <xf numFmtId="3" fontId="67" fillId="0" borderId="1" xfId="0" applyNumberFormat="1" applyFont="1" applyBorder="1" applyAlignment="1">
      <alignment horizontal="center" vertical="center" wrapText="1"/>
    </xf>
    <xf numFmtId="164" fontId="6" fillId="0" borderId="28" xfId="0" applyNumberFormat="1" applyFont="1" applyBorder="1"/>
    <xf numFmtId="0" fontId="88" fillId="0" borderId="125" xfId="0" applyFont="1" applyBorder="1"/>
    <xf numFmtId="0" fontId="88" fillId="0" borderId="0" xfId="0" applyFont="1"/>
    <xf numFmtId="164" fontId="0" fillId="13" borderId="0" xfId="0" applyNumberFormat="1" applyFill="1"/>
    <xf numFmtId="164" fontId="53" fillId="26" borderId="129" xfId="0" applyNumberFormat="1" applyFont="1" applyFill="1" applyBorder="1"/>
    <xf numFmtId="0" fontId="0" fillId="0" borderId="130" xfId="0" applyBorder="1"/>
    <xf numFmtId="0" fontId="52" fillId="0" borderId="131" xfId="0" quotePrefix="1" applyFont="1" applyBorder="1"/>
    <xf numFmtId="164" fontId="0" fillId="0" borderId="131" xfId="0" applyNumberFormat="1" applyBorder="1"/>
    <xf numFmtId="164" fontId="0" fillId="0" borderId="133" xfId="0" applyNumberFormat="1" applyBorder="1"/>
    <xf numFmtId="164" fontId="0" fillId="13" borderId="131" xfId="0" applyNumberFormat="1" applyFill="1" applyBorder="1"/>
    <xf numFmtId="0" fontId="0" fillId="0" borderId="134" xfId="0" applyBorder="1"/>
    <xf numFmtId="0" fontId="52" fillId="0" borderId="135" xfId="0" quotePrefix="1" applyFont="1" applyBorder="1"/>
    <xf numFmtId="164" fontId="0" fillId="0" borderId="135" xfId="0" applyNumberFormat="1" applyBorder="1"/>
    <xf numFmtId="164" fontId="0" fillId="0" borderId="137" xfId="0" applyNumberFormat="1" applyBorder="1"/>
    <xf numFmtId="164" fontId="0" fillId="13" borderId="135" xfId="0" applyNumberFormat="1" applyFill="1" applyBorder="1"/>
    <xf numFmtId="10" fontId="0" fillId="0" borderId="103" xfId="0" applyNumberFormat="1" applyBorder="1"/>
    <xf numFmtId="10" fontId="0" fillId="0" borderId="129" xfId="0" applyNumberFormat="1" applyBorder="1"/>
    <xf numFmtId="10" fontId="0" fillId="0" borderId="138" xfId="0" applyNumberFormat="1" applyBorder="1"/>
    <xf numFmtId="10" fontId="0" fillId="0" borderId="139" xfId="0" applyNumberFormat="1" applyBorder="1"/>
    <xf numFmtId="164" fontId="53" fillId="23" borderId="102" xfId="0" applyNumberFormat="1" applyFont="1" applyFill="1" applyBorder="1"/>
    <xf numFmtId="164" fontId="7" fillId="23" borderId="102" xfId="0" applyNumberFormat="1" applyFont="1" applyFill="1" applyBorder="1"/>
    <xf numFmtId="164" fontId="53" fillId="23" borderId="103" xfId="0" applyNumberFormat="1" applyFont="1" applyFill="1" applyBorder="1"/>
    <xf numFmtId="164" fontId="53" fillId="23" borderId="132" xfId="0" applyNumberFormat="1" applyFont="1" applyFill="1" applyBorder="1"/>
    <xf numFmtId="164" fontId="53" fillId="23" borderId="136" xfId="0" applyNumberFormat="1" applyFont="1" applyFill="1" applyBorder="1"/>
    <xf numFmtId="165" fontId="7" fillId="7" borderId="33" xfId="0" applyNumberFormat="1" applyFont="1" applyFill="1" applyBorder="1" applyAlignment="1">
      <alignment vertical="center"/>
    </xf>
    <xf numFmtId="165" fontId="7" fillId="7" borderId="26" xfId="0" applyNumberFormat="1" applyFont="1" applyFill="1" applyBorder="1" applyAlignment="1">
      <alignment horizontal="right" vertical="center" indent="1"/>
    </xf>
    <xf numFmtId="165" fontId="5" fillId="7" borderId="108" xfId="0" applyNumberFormat="1" applyFont="1" applyFill="1" applyBorder="1" applyAlignment="1" applyProtection="1">
      <alignment vertical="center"/>
      <protection locked="0"/>
    </xf>
    <xf numFmtId="165" fontId="5" fillId="7" borderId="36" xfId="0" applyNumberFormat="1" applyFont="1" applyFill="1" applyBorder="1" applyAlignment="1" applyProtection="1">
      <alignment vertical="center"/>
      <protection locked="0"/>
    </xf>
    <xf numFmtId="165" fontId="5" fillId="7" borderId="121" xfId="0" applyNumberFormat="1" applyFont="1" applyFill="1" applyBorder="1" applyAlignment="1" applyProtection="1">
      <alignment vertical="center"/>
      <protection locked="0"/>
    </xf>
    <xf numFmtId="165" fontId="5" fillId="7" borderId="32" xfId="0" applyNumberFormat="1" applyFont="1" applyFill="1" applyBorder="1" applyAlignment="1">
      <alignment vertical="center"/>
    </xf>
    <xf numFmtId="165" fontId="5" fillId="6" borderId="12" xfId="0" applyNumberFormat="1" applyFont="1" applyFill="1" applyBorder="1" applyAlignment="1" applyProtection="1">
      <alignment vertical="center"/>
      <protection locked="0"/>
    </xf>
    <xf numFmtId="0" fontId="11" fillId="0" borderId="0" xfId="0" applyFont="1"/>
    <xf numFmtId="0" fontId="1" fillId="28" borderId="0" xfId="0" applyFont="1" applyFill="1" applyAlignment="1">
      <alignment horizontal="center" vertical="center"/>
    </xf>
    <xf numFmtId="0" fontId="90" fillId="7" borderId="34" xfId="0" applyFont="1" applyFill="1" applyBorder="1" applyAlignment="1">
      <alignment horizontal="center" vertical="center"/>
    </xf>
    <xf numFmtId="0" fontId="90" fillId="7" borderId="121" xfId="0" applyFont="1" applyFill="1" applyBorder="1" applyAlignment="1">
      <alignment horizontal="center" vertical="center"/>
    </xf>
    <xf numFmtId="0" fontId="90" fillId="7" borderId="32" xfId="0" applyFont="1" applyFill="1" applyBorder="1" applyAlignment="1">
      <alignment horizontal="center" vertical="center"/>
    </xf>
    <xf numFmtId="0" fontId="90" fillId="7" borderId="108" xfId="0" applyFont="1" applyFill="1" applyBorder="1" applyAlignment="1">
      <alignment horizontal="center" vertical="center"/>
    </xf>
    <xf numFmtId="0" fontId="6" fillId="13" borderId="0" xfId="0" applyFont="1" applyFill="1" applyAlignment="1">
      <alignment wrapText="1"/>
    </xf>
    <xf numFmtId="0" fontId="0" fillId="13" borderId="0" xfId="0" applyFill="1" applyAlignment="1">
      <alignment wrapText="1"/>
    </xf>
    <xf numFmtId="0" fontId="0" fillId="30" borderId="8" xfId="0" applyFill="1" applyBorder="1" applyAlignment="1">
      <alignment vertical="center" wrapText="1"/>
    </xf>
    <xf numFmtId="0" fontId="0" fillId="13" borderId="0" xfId="0" applyFill="1" applyAlignment="1">
      <alignment vertical="center" wrapText="1"/>
    </xf>
    <xf numFmtId="42" fontId="0" fillId="0" borderId="102" xfId="0" applyNumberFormat="1" applyBorder="1" applyAlignment="1">
      <alignment vertical="center"/>
    </xf>
    <xf numFmtId="0" fontId="6" fillId="7" borderId="0" xfId="0" applyFont="1" applyFill="1" applyAlignment="1">
      <alignment horizontal="left"/>
    </xf>
    <xf numFmtId="0" fontId="52" fillId="0" borderId="0" xfId="0" applyFont="1" applyAlignment="1">
      <alignment horizontal="left"/>
    </xf>
    <xf numFmtId="0" fontId="6" fillId="31" borderId="0" xfId="0" applyFont="1" applyFill="1" applyAlignment="1">
      <alignment wrapText="1"/>
    </xf>
    <xf numFmtId="0" fontId="6" fillId="28" borderId="0" xfId="0" applyFont="1" applyFill="1" applyAlignment="1">
      <alignment wrapText="1"/>
    </xf>
    <xf numFmtId="0" fontId="7" fillId="0" borderId="0" xfId="0" applyFont="1" applyAlignment="1">
      <alignment horizontal="center" vertical="center"/>
    </xf>
    <xf numFmtId="0" fontId="0" fillId="32" borderId="0" xfId="0" applyFill="1"/>
    <xf numFmtId="0" fontId="6" fillId="32" borderId="0" xfId="0" applyFont="1" applyFill="1" applyAlignment="1">
      <alignment wrapText="1"/>
    </xf>
    <xf numFmtId="0" fontId="94" fillId="32" borderId="0" xfId="0" applyFont="1" applyFill="1" applyAlignment="1">
      <alignment wrapText="1"/>
    </xf>
    <xf numFmtId="0" fontId="1" fillId="32" borderId="0" xfId="0" applyFont="1" applyFill="1" applyAlignment="1">
      <alignment wrapText="1"/>
    </xf>
    <xf numFmtId="0" fontId="0" fillId="26" borderId="8" xfId="0" applyFill="1" applyBorder="1" applyAlignment="1">
      <alignment vertical="center" wrapText="1"/>
    </xf>
    <xf numFmtId="0" fontId="0" fillId="0" borderId="140" xfId="0" applyBorder="1" applyAlignment="1">
      <alignment vertical="center" wrapText="1"/>
    </xf>
    <xf numFmtId="0" fontId="86" fillId="21" borderId="0" xfId="0" applyFont="1" applyFill="1" applyAlignment="1">
      <alignment vertical="center" wrapText="1"/>
    </xf>
    <xf numFmtId="0" fontId="0" fillId="33" borderId="0" xfId="0" applyFill="1" applyAlignment="1">
      <alignment vertical="center" wrapText="1"/>
    </xf>
    <xf numFmtId="0" fontId="0" fillId="30" borderId="0" xfId="0" applyFill="1" applyAlignment="1">
      <alignment vertical="center" wrapText="1"/>
    </xf>
    <xf numFmtId="0" fontId="0" fillId="21" borderId="0" xfId="0" applyFill="1" applyAlignment="1">
      <alignment vertical="center" wrapText="1"/>
    </xf>
    <xf numFmtId="0" fontId="6" fillId="11" borderId="0" xfId="0" applyFont="1" applyFill="1" applyAlignment="1" applyProtection="1">
      <alignment wrapText="1"/>
      <protection hidden="1"/>
    </xf>
    <xf numFmtId="3" fontId="6" fillId="11" borderId="0" xfId="0" applyNumberFormat="1" applyFont="1" applyFill="1" applyAlignment="1" applyProtection="1">
      <alignment wrapText="1"/>
      <protection hidden="1"/>
    </xf>
    <xf numFmtId="2" fontId="6" fillId="11" borderId="0" xfId="0" applyNumberFormat="1" applyFont="1" applyFill="1" applyAlignment="1" applyProtection="1">
      <alignment wrapText="1"/>
      <protection hidden="1"/>
    </xf>
    <xf numFmtId="10" fontId="6" fillId="11" borderId="0" xfId="0" applyNumberFormat="1" applyFont="1" applyFill="1" applyAlignment="1" applyProtection="1">
      <alignment wrapText="1"/>
      <protection hidden="1"/>
    </xf>
    <xf numFmtId="10" fontId="6" fillId="11" borderId="0" xfId="0" quotePrefix="1" applyNumberFormat="1" applyFont="1" applyFill="1" applyAlignment="1" applyProtection="1">
      <alignment wrapText="1"/>
      <protection hidden="1"/>
    </xf>
    <xf numFmtId="0" fontId="6" fillId="11" borderId="0" xfId="0" applyFont="1" applyFill="1" applyAlignment="1">
      <alignment wrapText="1"/>
    </xf>
    <xf numFmtId="10" fontId="6" fillId="11" borderId="0" xfId="0" applyNumberFormat="1" applyFont="1" applyFill="1" applyAlignment="1">
      <alignment wrapText="1"/>
    </xf>
    <xf numFmtId="9" fontId="6" fillId="11" borderId="0" xfId="0" applyNumberFormat="1" applyFont="1" applyFill="1" applyAlignment="1" applyProtection="1">
      <alignment wrapText="1"/>
      <protection hidden="1"/>
    </xf>
    <xf numFmtId="0" fontId="6" fillId="11" borderId="82" xfId="0" applyFont="1" applyFill="1" applyBorder="1" applyAlignment="1" applyProtection="1">
      <alignment wrapText="1"/>
      <protection hidden="1"/>
    </xf>
    <xf numFmtId="1" fontId="6" fillId="11" borderId="0" xfId="0" applyNumberFormat="1" applyFont="1" applyFill="1" applyAlignment="1" applyProtection="1">
      <alignment wrapText="1"/>
      <protection hidden="1"/>
    </xf>
    <xf numFmtId="0" fontId="0" fillId="11" borderId="81" xfId="0" applyFill="1" applyBorder="1"/>
    <xf numFmtId="0" fontId="6" fillId="11" borderId="81" xfId="0" applyFont="1" applyFill="1" applyBorder="1" applyAlignment="1" applyProtection="1">
      <alignment wrapText="1"/>
      <protection hidden="1"/>
    </xf>
    <xf numFmtId="42" fontId="0" fillId="0" borderId="100" xfId="0" applyNumberFormat="1" applyBorder="1" applyAlignment="1">
      <alignment vertical="center"/>
    </xf>
    <xf numFmtId="0" fontId="6" fillId="29" borderId="8" xfId="0" applyFont="1" applyFill="1" applyBorder="1" applyAlignment="1">
      <alignment vertical="center" wrapText="1"/>
    </xf>
    <xf numFmtId="0" fontId="6" fillId="9" borderId="8" xfId="0" applyFont="1" applyFill="1" applyBorder="1" applyAlignment="1">
      <alignment vertical="center" wrapText="1"/>
    </xf>
    <xf numFmtId="0" fontId="0" fillId="35" borderId="0" xfId="0" applyFill="1" applyAlignment="1">
      <alignment vertical="center" wrapText="1"/>
    </xf>
    <xf numFmtId="165" fontId="0" fillId="0" borderId="111" xfId="0" applyNumberFormat="1" applyBorder="1" applyAlignment="1">
      <alignment vertical="center"/>
    </xf>
    <xf numFmtId="0" fontId="6" fillId="28" borderId="0" xfId="0" applyFont="1" applyFill="1" applyAlignment="1">
      <alignment vertical="center" wrapText="1"/>
    </xf>
    <xf numFmtId="0" fontId="6" fillId="31" borderId="0" xfId="0" applyFont="1" applyFill="1" applyAlignment="1">
      <alignment vertical="center" wrapText="1"/>
    </xf>
    <xf numFmtId="0" fontId="6" fillId="13" borderId="0" xfId="0" applyFont="1" applyFill="1" applyAlignment="1">
      <alignment vertical="center" wrapText="1"/>
    </xf>
    <xf numFmtId="0" fontId="6" fillId="32" borderId="0" xfId="0" applyFont="1" applyFill="1" applyAlignment="1">
      <alignment vertical="center" wrapText="1"/>
    </xf>
    <xf numFmtId="0" fontId="6" fillId="26" borderId="0" xfId="0" applyFont="1" applyFill="1" applyAlignment="1">
      <alignment vertical="center"/>
    </xf>
    <xf numFmtId="0" fontId="6" fillId="35" borderId="0" xfId="0" applyFont="1" applyFill="1" applyAlignment="1">
      <alignment vertical="center"/>
    </xf>
    <xf numFmtId="0" fontId="91" fillId="32" borderId="96" xfId="0" applyFont="1" applyFill="1" applyBorder="1" applyAlignment="1">
      <alignment vertical="center" wrapText="1"/>
    </xf>
    <xf numFmtId="0" fontId="17" fillId="13" borderId="73" xfId="0" applyFont="1" applyFill="1" applyBorder="1" applyAlignment="1">
      <alignment vertical="center"/>
    </xf>
    <xf numFmtId="0" fontId="91" fillId="13" borderId="73" xfId="0" applyFont="1" applyFill="1" applyBorder="1" applyAlignment="1">
      <alignment vertical="center" wrapText="1"/>
    </xf>
    <xf numFmtId="0" fontId="91" fillId="13" borderId="96" xfId="0" applyFont="1" applyFill="1" applyBorder="1" applyAlignment="1">
      <alignment vertical="center" wrapText="1"/>
    </xf>
    <xf numFmtId="168" fontId="70" fillId="13" borderId="72" xfId="0" applyNumberFormat="1" applyFont="1" applyFill="1" applyBorder="1" applyAlignment="1">
      <alignment horizontal="center" vertical="center"/>
    </xf>
    <xf numFmtId="168" fontId="70" fillId="13" borderId="73" xfId="0" applyNumberFormat="1" applyFont="1" applyFill="1" applyBorder="1" applyAlignment="1">
      <alignment horizontal="center" vertical="center"/>
    </xf>
    <xf numFmtId="168" fontId="70" fillId="13" borderId="96" xfId="0" applyNumberFormat="1" applyFont="1" applyFill="1" applyBorder="1" applyAlignment="1">
      <alignment horizontal="center" vertical="center"/>
    </xf>
    <xf numFmtId="168" fontId="92" fillId="28" borderId="72" xfId="0" applyNumberFormat="1" applyFont="1" applyFill="1" applyBorder="1" applyAlignment="1">
      <alignment horizontal="center" vertical="center"/>
    </xf>
    <xf numFmtId="42" fontId="0" fillId="28" borderId="102" xfId="0" applyNumberFormat="1" applyFill="1" applyBorder="1" applyAlignment="1">
      <alignment vertical="center"/>
    </xf>
    <xf numFmtId="3" fontId="93" fillId="32" borderId="102" xfId="0" applyNumberFormat="1" applyFont="1" applyFill="1" applyBorder="1" applyAlignment="1">
      <alignment horizontal="center" vertical="center"/>
    </xf>
    <xf numFmtId="0" fontId="0" fillId="32" borderId="102" xfId="0" applyFill="1" applyBorder="1"/>
    <xf numFmtId="3" fontId="70" fillId="13" borderId="74" xfId="0" applyNumberFormat="1" applyFont="1" applyFill="1" applyBorder="1" applyAlignment="1">
      <alignment horizontal="center" vertical="center"/>
    </xf>
    <xf numFmtId="3" fontId="70" fillId="13" borderId="114" xfId="0" applyNumberFormat="1" applyFont="1" applyFill="1" applyBorder="1" applyAlignment="1">
      <alignment horizontal="center" vertical="center"/>
    </xf>
    <xf numFmtId="3" fontId="70" fillId="13" borderId="102" xfId="0" applyNumberFormat="1" applyFont="1" applyFill="1" applyBorder="1" applyAlignment="1">
      <alignment horizontal="center" vertical="center"/>
    </xf>
    <xf numFmtId="3" fontId="70" fillId="13" borderId="118" xfId="0" applyNumberFormat="1" applyFont="1" applyFill="1" applyBorder="1" applyAlignment="1">
      <alignment horizontal="center" vertical="center"/>
    </xf>
    <xf numFmtId="42" fontId="0" fillId="35" borderId="100" xfId="0" applyNumberFormat="1" applyFill="1" applyBorder="1" applyAlignment="1">
      <alignment vertical="center"/>
    </xf>
    <xf numFmtId="165" fontId="0" fillId="35" borderId="111" xfId="0" applyNumberFormat="1" applyFill="1" applyBorder="1" applyAlignment="1">
      <alignment vertical="center"/>
    </xf>
    <xf numFmtId="0" fontId="95" fillId="26" borderId="8" xfId="0" applyFont="1" applyFill="1" applyBorder="1" applyAlignment="1">
      <alignment vertical="center" wrapText="1"/>
    </xf>
    <xf numFmtId="0" fontId="0" fillId="0" borderId="100" xfId="0" applyBorder="1" applyAlignment="1">
      <alignment vertical="center"/>
    </xf>
    <xf numFmtId="0" fontId="0" fillId="35" borderId="100" xfId="0" applyFill="1" applyBorder="1" applyAlignment="1">
      <alignment vertical="center"/>
    </xf>
    <xf numFmtId="0" fontId="0" fillId="35" borderId="0" xfId="0" applyFill="1"/>
    <xf numFmtId="0" fontId="0" fillId="32" borderId="0" xfId="0" applyFill="1" applyAlignment="1">
      <alignment vertical="center" wrapText="1"/>
    </xf>
    <xf numFmtId="0" fontId="6" fillId="34" borderId="0" xfId="0" applyFont="1" applyFill="1" applyAlignment="1">
      <alignment vertical="center" wrapText="1"/>
    </xf>
    <xf numFmtId="0" fontId="6" fillId="35" borderId="0" xfId="0" applyFont="1" applyFill="1" applyAlignment="1">
      <alignment wrapText="1"/>
    </xf>
    <xf numFmtId="0" fontId="6" fillId="26" borderId="0" xfId="0" applyFont="1" applyFill="1" applyAlignment="1">
      <alignment vertical="center" wrapText="1"/>
    </xf>
    <xf numFmtId="3" fontId="91" fillId="13" borderId="96" xfId="0" applyNumberFormat="1" applyFont="1" applyFill="1" applyBorder="1" applyAlignment="1">
      <alignment vertical="center" wrapText="1"/>
    </xf>
    <xf numFmtId="0" fontId="66" fillId="19" borderId="102" xfId="0" applyFont="1" applyFill="1" applyBorder="1" applyAlignment="1" applyProtection="1">
      <alignment horizontal="center" vertical="center" wrapText="1"/>
      <protection locked="0"/>
    </xf>
    <xf numFmtId="3" fontId="67" fillId="0" borderId="102" xfId="0" applyNumberFormat="1" applyFont="1" applyBorder="1" applyAlignment="1">
      <alignment horizontal="center" vertical="center"/>
    </xf>
    <xf numFmtId="0" fontId="69" fillId="0" borderId="1" xfId="0" applyFont="1" applyBorder="1" applyAlignment="1">
      <alignment vertical="center" wrapText="1"/>
    </xf>
    <xf numFmtId="0" fontId="5" fillId="7" borderId="0" xfId="0" applyFont="1" applyFill="1" applyAlignment="1">
      <alignment horizontal="left" vertical="center" wrapText="1"/>
    </xf>
    <xf numFmtId="0" fontId="2" fillId="12" borderId="9" xfId="0" applyFont="1" applyFill="1" applyBorder="1" applyAlignment="1">
      <alignment horizontal="center" vertical="center"/>
    </xf>
    <xf numFmtId="0" fontId="31" fillId="7" borderId="0" xfId="0" applyFont="1" applyFill="1" applyAlignment="1">
      <alignment horizontal="left" vertical="top"/>
    </xf>
    <xf numFmtId="0" fontId="31" fillId="7" borderId="0" xfId="0" applyFont="1" applyFill="1" applyAlignment="1">
      <alignment horizontal="left" vertical="center"/>
    </xf>
    <xf numFmtId="165" fontId="5" fillId="11" borderId="9" xfId="0" applyNumberFormat="1" applyFont="1" applyFill="1" applyBorder="1" applyAlignment="1">
      <alignment horizontal="right" vertical="center" indent="1"/>
    </xf>
    <xf numFmtId="165" fontId="5" fillId="0" borderId="15" xfId="0" applyNumberFormat="1" applyFont="1" applyBorder="1" applyAlignment="1">
      <alignment vertical="center"/>
    </xf>
    <xf numFmtId="0" fontId="19" fillId="7" borderId="111" xfId="0" applyFont="1" applyFill="1" applyBorder="1" applyAlignment="1">
      <alignment horizontal="left" vertical="center" indent="1"/>
    </xf>
    <xf numFmtId="0" fontId="19" fillId="7" borderId="88" xfId="0" applyFont="1" applyFill="1" applyBorder="1" applyAlignment="1">
      <alignment horizontal="left" vertical="center" indent="1"/>
    </xf>
    <xf numFmtId="0" fontId="19" fillId="7" borderId="105" xfId="0" applyFont="1" applyFill="1" applyBorder="1" applyAlignment="1">
      <alignment horizontal="left" vertical="center" indent="1"/>
    </xf>
    <xf numFmtId="0" fontId="19" fillId="7" borderId="84" xfId="0" applyFont="1" applyFill="1" applyBorder="1" applyAlignment="1">
      <alignment horizontal="left" vertical="center" indent="1"/>
    </xf>
    <xf numFmtId="0" fontId="7" fillId="7" borderId="13" xfId="0" applyFont="1" applyFill="1" applyBorder="1" applyAlignment="1">
      <alignment horizontal="left" vertical="center" indent="2"/>
    </xf>
    <xf numFmtId="0" fontId="32" fillId="12" borderId="9" xfId="0" applyFont="1" applyFill="1" applyBorder="1" applyAlignment="1" applyProtection="1">
      <alignment horizontal="center" vertical="center"/>
      <protection locked="0"/>
    </xf>
    <xf numFmtId="0" fontId="31" fillId="7" borderId="0" xfId="0" applyFont="1" applyFill="1" applyAlignment="1">
      <alignment horizontal="right" vertical="center"/>
    </xf>
    <xf numFmtId="0" fontId="96" fillId="7" borderId="0" xfId="0" applyFont="1" applyFill="1"/>
    <xf numFmtId="1" fontId="0" fillId="0" borderId="0" xfId="0" applyNumberFormat="1" applyAlignment="1">
      <alignment horizontal="center"/>
    </xf>
    <xf numFmtId="0" fontId="0" fillId="0" borderId="0" xfId="0" applyAlignment="1">
      <alignment horizontal="center"/>
    </xf>
    <xf numFmtId="1" fontId="6" fillId="0" borderId="0" xfId="0" quotePrefix="1" applyNumberFormat="1" applyFont="1" applyAlignment="1">
      <alignment horizontal="center"/>
    </xf>
    <xf numFmtId="42" fontId="1" fillId="28" borderId="100" xfId="0" applyNumberFormat="1" applyFont="1" applyFill="1" applyBorder="1" applyAlignment="1">
      <alignment vertical="center"/>
    </xf>
    <xf numFmtId="42" fontId="71" fillId="28" borderId="100" xfId="0" applyNumberFormat="1" applyFont="1" applyFill="1" applyBorder="1" applyAlignment="1">
      <alignment vertical="center"/>
    </xf>
    <xf numFmtId="42" fontId="1" fillId="0" borderId="100" xfId="0" applyNumberFormat="1" applyFont="1" applyBorder="1" applyAlignment="1">
      <alignment vertical="center"/>
    </xf>
    <xf numFmtId="0" fontId="17" fillId="0" borderId="116" xfId="2" applyNumberFormat="1" applyFont="1" applyBorder="1"/>
    <xf numFmtId="165" fontId="17" fillId="0" borderId="106" xfId="0" applyNumberFormat="1" applyFont="1" applyBorder="1"/>
    <xf numFmtId="10" fontId="17" fillId="0" borderId="105" xfId="0" applyNumberFormat="1" applyFont="1" applyBorder="1"/>
    <xf numFmtId="0" fontId="18" fillId="0" borderId="13" xfId="0" applyFont="1" applyBorder="1"/>
    <xf numFmtId="0" fontId="18" fillId="0" borderId="81" xfId="2" applyNumberFormat="1" applyFont="1" applyBorder="1"/>
    <xf numFmtId="10" fontId="18" fillId="0" borderId="82" xfId="0" applyNumberFormat="1" applyFont="1" applyBorder="1"/>
    <xf numFmtId="165" fontId="18" fillId="0" borderId="81" xfId="2" applyFont="1" applyBorder="1"/>
    <xf numFmtId="0" fontId="14" fillId="7" borderId="102" xfId="0" applyFont="1" applyFill="1" applyBorder="1" applyAlignment="1">
      <alignment horizontal="center" vertical="center"/>
    </xf>
    <xf numFmtId="0" fontId="6" fillId="7" borderId="111" xfId="0" applyFont="1" applyFill="1" applyBorder="1" applyAlignment="1">
      <alignment vertical="center"/>
    </xf>
    <xf numFmtId="0" fontId="6" fillId="7" borderId="104" xfId="0" applyFont="1" applyFill="1" applyBorder="1" applyAlignment="1">
      <alignment vertical="center"/>
    </xf>
    <xf numFmtId="0" fontId="34" fillId="7" borderId="104" xfId="0" applyFont="1" applyFill="1" applyBorder="1" applyAlignment="1">
      <alignment vertical="center"/>
    </xf>
    <xf numFmtId="0" fontId="0" fillId="7" borderId="104" xfId="0" applyFill="1" applyBorder="1"/>
    <xf numFmtId="0" fontId="0" fillId="7" borderId="114" xfId="0" applyFill="1" applyBorder="1" applyProtection="1">
      <protection locked="0"/>
    </xf>
    <xf numFmtId="0" fontId="6" fillId="7" borderId="111" xfId="0" applyFont="1" applyFill="1" applyBorder="1" applyAlignment="1">
      <alignment horizontal="left" vertical="center"/>
    </xf>
    <xf numFmtId="0" fontId="0" fillId="7" borderId="104" xfId="0" applyFill="1" applyBorder="1" applyAlignment="1">
      <alignment horizontal="left" vertical="center"/>
    </xf>
    <xf numFmtId="0" fontId="0" fillId="7" borderId="104" xfId="0" applyFill="1" applyBorder="1" applyAlignment="1" applyProtection="1">
      <alignment horizontal="left" vertical="center"/>
      <protection locked="0"/>
    </xf>
    <xf numFmtId="0" fontId="0" fillId="7" borderId="104" xfId="0" applyFill="1" applyBorder="1" applyProtection="1">
      <protection locked="0"/>
    </xf>
    <xf numFmtId="0" fontId="6" fillId="7" borderId="111" xfId="0" applyFont="1" applyFill="1" applyBorder="1" applyAlignment="1" applyProtection="1">
      <alignment horizontal="left" vertical="center"/>
      <protection locked="0"/>
    </xf>
    <xf numFmtId="0" fontId="14" fillId="7" borderId="102" xfId="0" applyFont="1" applyFill="1" applyBorder="1" applyAlignment="1">
      <alignment horizontal="left" vertical="center" indent="1"/>
    </xf>
    <xf numFmtId="0" fontId="17" fillId="7" borderId="141" xfId="0" applyFont="1" applyFill="1" applyBorder="1" applyAlignment="1">
      <alignment horizontal="right" vertical="center" indent="1"/>
    </xf>
    <xf numFmtId="0" fontId="17" fillId="7" borderId="142" xfId="0" applyFont="1" applyFill="1" applyBorder="1" applyAlignment="1">
      <alignment horizontal="left" vertical="center" indent="1"/>
    </xf>
    <xf numFmtId="0" fontId="17" fillId="7" borderId="143" xfId="0" applyFont="1" applyFill="1" applyBorder="1" applyAlignment="1">
      <alignment vertical="center"/>
    </xf>
    <xf numFmtId="0" fontId="6" fillId="7" borderId="143" xfId="0" applyFont="1" applyFill="1" applyBorder="1" applyAlignment="1">
      <alignment vertical="center"/>
    </xf>
    <xf numFmtId="0" fontId="0" fillId="7" borderId="143" xfId="0" applyFill="1" applyBorder="1"/>
    <xf numFmtId="0" fontId="0" fillId="7" borderId="143" xfId="0" applyFill="1" applyBorder="1" applyProtection="1">
      <protection locked="0"/>
    </xf>
    <xf numFmtId="0" fontId="0" fillId="7" borderId="144" xfId="0" applyFill="1" applyBorder="1" applyProtection="1">
      <protection locked="0"/>
    </xf>
    <xf numFmtId="0" fontId="17" fillId="7" borderId="145" xfId="0" applyFont="1" applyFill="1" applyBorder="1" applyAlignment="1">
      <alignment horizontal="right" vertical="center" indent="1"/>
    </xf>
    <xf numFmtId="0" fontId="17" fillId="7" borderId="146" xfId="0" applyFont="1" applyFill="1" applyBorder="1" applyAlignment="1">
      <alignment horizontal="left" vertical="center" indent="1"/>
    </xf>
    <xf numFmtId="0" fontId="17" fillId="7" borderId="147" xfId="0" applyFont="1" applyFill="1" applyBorder="1" applyAlignment="1">
      <alignment vertical="center"/>
    </xf>
    <xf numFmtId="0" fontId="6" fillId="7" borderId="147" xfId="0" applyFont="1" applyFill="1" applyBorder="1" applyAlignment="1">
      <alignment vertical="center"/>
    </xf>
    <xf numFmtId="0" fontId="0" fillId="7" borderId="147" xfId="0" applyFill="1" applyBorder="1"/>
    <xf numFmtId="0" fontId="0" fillId="7" borderId="147" xfId="0" applyFill="1" applyBorder="1" applyProtection="1">
      <protection locked="0"/>
    </xf>
    <xf numFmtId="0" fontId="0" fillId="7" borderId="148" xfId="0" applyFill="1" applyBorder="1" applyProtection="1">
      <protection locked="0"/>
    </xf>
    <xf numFmtId="0" fontId="1" fillId="7" borderId="2" xfId="0" applyFont="1" applyFill="1" applyBorder="1" applyAlignment="1">
      <alignment horizontal="center"/>
    </xf>
    <xf numFmtId="0" fontId="29" fillId="7" borderId="13" xfId="0" applyFont="1" applyFill="1" applyBorder="1" applyAlignment="1">
      <alignment horizontal="left" vertical="center" indent="1"/>
    </xf>
    <xf numFmtId="0" fontId="29" fillId="7" borderId="0" xfId="0" applyFont="1" applyFill="1" applyAlignment="1">
      <alignment horizontal="left" vertical="center"/>
    </xf>
    <xf numFmtId="0" fontId="0" fillId="7" borderId="0" xfId="0" applyFill="1" applyAlignment="1">
      <alignment horizontal="left" vertical="center"/>
    </xf>
    <xf numFmtId="0" fontId="24" fillId="7" borderId="6" xfId="0" applyFont="1" applyFill="1" applyBorder="1"/>
    <xf numFmtId="3" fontId="74" fillId="10" borderId="12" xfId="0" applyNumberFormat="1" applyFont="1" applyFill="1" applyBorder="1" applyAlignment="1" applyProtection="1">
      <alignment horizontal="center" vertical="center" wrapText="1"/>
      <protection locked="0"/>
    </xf>
    <xf numFmtId="0" fontId="11" fillId="36" borderId="12" xfId="0" applyFont="1" applyFill="1" applyBorder="1" applyAlignment="1" applyProtection="1">
      <alignment horizontal="center" vertical="center" wrapText="1"/>
      <protection locked="0"/>
    </xf>
    <xf numFmtId="0" fontId="90" fillId="7" borderId="0" xfId="0" applyFont="1" applyFill="1" applyAlignment="1">
      <alignment horizontal="center" vertical="center" wrapText="1"/>
    </xf>
    <xf numFmtId="0" fontId="28" fillId="7" borderId="13" xfId="0" applyFont="1" applyFill="1" applyBorder="1"/>
    <xf numFmtId="165" fontId="28" fillId="7" borderId="0" xfId="0" applyNumberFormat="1" applyFont="1" applyFill="1"/>
    <xf numFmtId="0" fontId="28" fillId="7" borderId="102" xfId="0" applyFont="1" applyFill="1" applyBorder="1"/>
    <xf numFmtId="0" fontId="60" fillId="7" borderId="0" xfId="0" applyFont="1" applyFill="1"/>
    <xf numFmtId="0" fontId="28" fillId="7" borderId="2" xfId="0" applyFont="1" applyFill="1" applyBorder="1" applyAlignment="1">
      <alignment vertical="center"/>
    </xf>
    <xf numFmtId="0" fontId="28" fillId="7" borderId="0" xfId="0" applyFont="1" applyFill="1" applyAlignment="1">
      <alignment vertical="center"/>
    </xf>
    <xf numFmtId="0" fontId="6" fillId="11" borderId="82" xfId="0" applyFont="1" applyFill="1" applyBorder="1" applyAlignment="1">
      <alignment wrapText="1"/>
    </xf>
    <xf numFmtId="3" fontId="14" fillId="0" borderId="1" xfId="0" applyNumberFormat="1" applyFont="1" applyBorder="1" applyAlignment="1">
      <alignment horizontal="center" vertical="center"/>
    </xf>
    <xf numFmtId="165" fontId="6" fillId="7" borderId="0" xfId="0" applyNumberFormat="1" applyFont="1" applyFill="1"/>
    <xf numFmtId="9" fontId="6" fillId="7" borderId="0" xfId="0" applyNumberFormat="1" applyFont="1" applyFill="1"/>
    <xf numFmtId="0" fontId="6" fillId="7" borderId="87" xfId="0" applyFont="1" applyFill="1" applyBorder="1"/>
    <xf numFmtId="0" fontId="6" fillId="7" borderId="90" xfId="0" applyFont="1" applyFill="1" applyBorder="1"/>
    <xf numFmtId="165" fontId="6" fillId="7" borderId="88" xfId="0" applyNumberFormat="1" applyFont="1" applyFill="1" applyBorder="1"/>
    <xf numFmtId="0" fontId="6" fillId="7" borderId="89" xfId="0" applyFont="1" applyFill="1" applyBorder="1"/>
    <xf numFmtId="166" fontId="6" fillId="7" borderId="0" xfId="0" applyNumberFormat="1" applyFont="1" applyFill="1"/>
    <xf numFmtId="0" fontId="28" fillId="0" borderId="0" xfId="0" applyFont="1" applyAlignment="1">
      <alignment wrapText="1"/>
    </xf>
    <xf numFmtId="0" fontId="28" fillId="0" borderId="82" xfId="0" applyFont="1" applyBorder="1" applyAlignment="1">
      <alignment wrapText="1"/>
    </xf>
    <xf numFmtId="0" fontId="28" fillId="0" borderId="81" xfId="0" applyFont="1" applyBorder="1" applyAlignment="1">
      <alignment wrapText="1"/>
    </xf>
    <xf numFmtId="3" fontId="28" fillId="0" borderId="0" xfId="0" applyNumberFormat="1" applyFont="1" applyAlignment="1">
      <alignment wrapText="1"/>
    </xf>
    <xf numFmtId="2" fontId="28" fillId="0" borderId="0" xfId="0" applyNumberFormat="1" applyFont="1" applyAlignment="1">
      <alignment wrapText="1"/>
    </xf>
    <xf numFmtId="10" fontId="28" fillId="0" borderId="0" xfId="0" applyNumberFormat="1" applyFont="1" applyAlignment="1">
      <alignment wrapText="1"/>
    </xf>
    <xf numFmtId="10" fontId="28" fillId="0" borderId="0" xfId="0" quotePrefix="1" applyNumberFormat="1" applyFont="1" applyAlignment="1">
      <alignment wrapText="1"/>
    </xf>
    <xf numFmtId="9" fontId="28" fillId="0" borderId="0" xfId="0" applyNumberFormat="1" applyFont="1" applyAlignment="1">
      <alignment wrapText="1"/>
    </xf>
    <xf numFmtId="1" fontId="28" fillId="0" borderId="0" xfId="0" applyNumberFormat="1" applyFont="1" applyAlignment="1">
      <alignment wrapText="1"/>
    </xf>
    <xf numFmtId="0" fontId="28" fillId="0" borderId="81" xfId="0" applyFont="1" applyBorder="1"/>
    <xf numFmtId="168" fontId="70" fillId="28" borderId="101" xfId="0" applyNumberFormat="1" applyFont="1" applyFill="1" applyBorder="1" applyAlignment="1">
      <alignment horizontal="center" vertical="center"/>
    </xf>
    <xf numFmtId="42" fontId="6" fillId="28" borderId="102" xfId="0" applyNumberFormat="1" applyFont="1" applyFill="1" applyBorder="1" applyAlignment="1">
      <alignment vertical="center"/>
    </xf>
    <xf numFmtId="0" fontId="97" fillId="3" borderId="0" xfId="0" applyFont="1" applyFill="1" applyAlignment="1">
      <alignment vertical="center"/>
    </xf>
    <xf numFmtId="0" fontId="6" fillId="0" borderId="0" xfId="0" applyFont="1" applyAlignment="1">
      <alignment vertical="center"/>
    </xf>
    <xf numFmtId="0" fontId="7" fillId="2" borderId="0" xfId="0" applyFont="1" applyFill="1" applyAlignment="1">
      <alignment vertical="center"/>
    </xf>
    <xf numFmtId="0" fontId="7" fillId="4" borderId="0" xfId="0" applyFont="1" applyFill="1" applyAlignment="1">
      <alignment vertical="center"/>
    </xf>
    <xf numFmtId="0" fontId="97" fillId="5" borderId="0" xfId="0" applyFont="1" applyFill="1" applyAlignment="1">
      <alignment vertical="center"/>
    </xf>
    <xf numFmtId="0" fontId="7" fillId="9" borderId="0" xfId="0" applyFont="1" applyFill="1" applyAlignment="1">
      <alignment vertical="center"/>
    </xf>
    <xf numFmtId="0" fontId="1" fillId="0" borderId="0" xfId="0" applyFont="1" applyAlignment="1">
      <alignment vertical="center" wrapText="1"/>
    </xf>
    <xf numFmtId="0" fontId="0" fillId="0" borderId="0" xfId="0" applyAlignment="1">
      <alignment vertical="center" wrapText="1"/>
    </xf>
    <xf numFmtId="0" fontId="0" fillId="0" borderId="0" xfId="0"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14" fillId="0" borderId="10" xfId="0" applyFont="1" applyBorder="1" applyAlignment="1">
      <alignment horizontal="center" wrapText="1"/>
    </xf>
    <xf numFmtId="0" fontId="14" fillId="0" borderId="15" xfId="0" applyFont="1" applyBorder="1" applyAlignment="1">
      <alignment horizontal="center" wrapText="1"/>
    </xf>
    <xf numFmtId="0" fontId="2" fillId="12" borderId="9" xfId="0" applyFont="1" applyFill="1" applyBorder="1" applyAlignment="1" applyProtection="1">
      <alignment horizontal="center" vertical="center"/>
      <protection locked="0"/>
    </xf>
    <xf numFmtId="0" fontId="0" fillId="12" borderId="15" xfId="0" applyFill="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2" fillId="10" borderId="9" xfId="0" applyFont="1" applyFill="1" applyBorder="1" applyAlignment="1" applyProtection="1">
      <alignment horizontal="center" vertical="center"/>
      <protection locked="0"/>
    </xf>
    <xf numFmtId="0" fontId="0" fillId="10" borderId="10" xfId="0" applyFill="1" applyBorder="1" applyAlignment="1" applyProtection="1">
      <alignment horizontal="center" vertical="center"/>
      <protection locked="0"/>
    </xf>
    <xf numFmtId="0" fontId="0" fillId="0" borderId="15" xfId="0" applyBorder="1" applyProtection="1">
      <protection locked="0"/>
    </xf>
    <xf numFmtId="0" fontId="1" fillId="10" borderId="9" xfId="0" applyFont="1" applyFill="1" applyBorder="1" applyAlignment="1" applyProtection="1">
      <alignment horizontal="left" vertical="top" wrapText="1"/>
      <protection locked="0"/>
    </xf>
    <xf numFmtId="0" fontId="8" fillId="10" borderId="10" xfId="0" applyFont="1" applyFill="1" applyBorder="1" applyAlignment="1" applyProtection="1">
      <alignment horizontal="left" vertical="top" wrapText="1"/>
      <protection locked="0"/>
    </xf>
    <xf numFmtId="0" fontId="0" fillId="10" borderId="10" xfId="0" applyFill="1" applyBorder="1" applyAlignment="1" applyProtection="1">
      <alignment horizontal="left" vertical="top" wrapText="1"/>
      <protection locked="0"/>
    </xf>
    <xf numFmtId="0" fontId="8" fillId="10" borderId="9" xfId="0" applyFont="1" applyFill="1" applyBorder="1" applyAlignment="1" applyProtection="1">
      <alignment horizontal="left" vertical="top" wrapText="1"/>
      <protection locked="0"/>
    </xf>
    <xf numFmtId="165" fontId="5" fillId="8" borderId="9" xfId="0" applyNumberFormat="1" applyFont="1" applyFill="1" applyBorder="1" applyAlignment="1">
      <alignment horizontal="center" vertical="center"/>
    </xf>
    <xf numFmtId="0" fontId="17" fillId="0" borderId="15" xfId="0" applyFont="1" applyBorder="1" applyAlignment="1">
      <alignment vertical="center"/>
    </xf>
    <xf numFmtId="165" fontId="5" fillId="11" borderId="31" xfId="0" applyNumberFormat="1" applyFont="1" applyFill="1" applyBorder="1" applyAlignment="1">
      <alignment horizontal="right" vertical="center" indent="1"/>
    </xf>
    <xf numFmtId="0" fontId="17" fillId="0" borderId="32" xfId="0" applyFont="1" applyBorder="1" applyAlignment="1">
      <alignment horizontal="right" vertical="center" indent="1"/>
    </xf>
    <xf numFmtId="165" fontId="5" fillId="11" borderId="17" xfId="0" applyNumberFormat="1" applyFont="1" applyFill="1" applyBorder="1" applyAlignment="1">
      <alignment horizontal="right" vertical="center" indent="1"/>
    </xf>
    <xf numFmtId="0" fontId="17" fillId="0" borderId="18" xfId="0" applyFont="1" applyBorder="1" applyAlignment="1">
      <alignment horizontal="right" vertical="center" indent="1"/>
    </xf>
    <xf numFmtId="0" fontId="0" fillId="0" borderId="10" xfId="0" applyBorder="1"/>
    <xf numFmtId="0" fontId="0" fillId="0" borderId="15" xfId="0" applyBorder="1"/>
    <xf numFmtId="0" fontId="7" fillId="0" borderId="5" xfId="0" applyFont="1" applyBorder="1" applyAlignment="1">
      <alignment horizontal="center" vertical="center" wrapText="1"/>
    </xf>
    <xf numFmtId="0" fontId="0" fillId="0" borderId="27" xfId="0" applyBorder="1"/>
    <xf numFmtId="0" fontId="4" fillId="7" borderId="0" xfId="0" applyFont="1" applyFill="1" applyAlignment="1">
      <alignment horizontal="right" vertical="center" wrapText="1" indent="1"/>
    </xf>
    <xf numFmtId="0" fontId="14" fillId="7" borderId="0" xfId="0" applyFont="1" applyFill="1" applyAlignment="1">
      <alignment horizontal="right" wrapText="1" indent="1"/>
    </xf>
    <xf numFmtId="0" fontId="14" fillId="7" borderId="0" xfId="0" applyFont="1" applyFill="1" applyAlignment="1">
      <alignment horizontal="right" indent="1"/>
    </xf>
    <xf numFmtId="165" fontId="4" fillId="11" borderId="9" xfId="0" applyNumberFormat="1" applyFont="1" applyFill="1" applyBorder="1" applyAlignment="1">
      <alignment horizontal="center" vertical="center" wrapText="1"/>
    </xf>
    <xf numFmtId="0" fontId="0" fillId="0" borderId="15" xfId="0" applyBorder="1" applyAlignment="1">
      <alignment wrapText="1"/>
    </xf>
    <xf numFmtId="0" fontId="12" fillId="10" borderId="9" xfId="1" applyFill="1" applyBorder="1" applyAlignment="1" applyProtection="1">
      <alignment horizontal="left" vertical="center" indent="1"/>
      <protection locked="0"/>
    </xf>
    <xf numFmtId="0" fontId="6" fillId="0" borderId="10" xfId="0" applyFont="1" applyBorder="1" applyAlignment="1" applyProtection="1">
      <alignment horizontal="left" indent="1"/>
      <protection locked="0"/>
    </xf>
    <xf numFmtId="0" fontId="6" fillId="0" borderId="15" xfId="0" applyFont="1" applyBorder="1" applyAlignment="1" applyProtection="1">
      <alignment horizontal="left" indent="1"/>
      <protection locked="0"/>
    </xf>
    <xf numFmtId="0" fontId="6" fillId="10" borderId="9" xfId="0" applyFont="1" applyFill="1" applyBorder="1" applyProtection="1">
      <protection locked="0"/>
    </xf>
    <xf numFmtId="0" fontId="7" fillId="10" borderId="9" xfId="0" applyFont="1" applyFill="1" applyBorder="1" applyAlignment="1" applyProtection="1">
      <alignment horizontal="left" vertical="center" indent="1"/>
      <protection locked="0"/>
    </xf>
    <xf numFmtId="0" fontId="6" fillId="0" borderId="10" xfId="0" applyFont="1" applyBorder="1" applyAlignment="1" applyProtection="1">
      <alignment horizontal="left" vertical="center" indent="1"/>
      <protection locked="0"/>
    </xf>
    <xf numFmtId="0" fontId="6" fillId="0" borderId="15" xfId="0" applyFont="1" applyBorder="1" applyAlignment="1" applyProtection="1">
      <alignment horizontal="left" vertical="center" indent="1"/>
      <protection locked="0"/>
    </xf>
    <xf numFmtId="165" fontId="4" fillId="11" borderId="9" xfId="0" applyNumberFormat="1" applyFont="1" applyFill="1" applyBorder="1" applyAlignment="1">
      <alignment horizontal="center" vertical="center"/>
    </xf>
    <xf numFmtId="0" fontId="72" fillId="7" borderId="0" xfId="0" applyFont="1" applyFill="1" applyAlignment="1">
      <alignment horizontal="left" vertical="center" wrapText="1" indent="1"/>
    </xf>
    <xf numFmtId="0" fontId="73" fillId="7" borderId="0" xfId="0" applyFont="1" applyFill="1" applyAlignment="1">
      <alignment horizontal="left" vertical="center" wrapText="1" indent="1"/>
    </xf>
    <xf numFmtId="0" fontId="0" fillId="0" borderId="0" xfId="0" applyAlignment="1">
      <alignment horizontal="left" indent="1"/>
    </xf>
    <xf numFmtId="0" fontId="0" fillId="0" borderId="10" xfId="0" applyBorder="1" applyAlignment="1" applyProtection="1">
      <alignment vertical="center"/>
      <protection locked="0"/>
    </xf>
    <xf numFmtId="0" fontId="0" fillId="0" borderId="15" xfId="0" applyBorder="1" applyAlignment="1" applyProtection="1">
      <alignment vertical="center"/>
      <protection locked="0"/>
    </xf>
    <xf numFmtId="0" fontId="31" fillId="7" borderId="0" xfId="0" applyFont="1" applyFill="1" applyAlignment="1">
      <alignment horizontal="left" vertical="center" wrapText="1"/>
    </xf>
    <xf numFmtId="0" fontId="3" fillId="0" borderId="10" xfId="0" applyFont="1" applyBorder="1"/>
    <xf numFmtId="0" fontId="3" fillId="0" borderId="15" xfId="0" applyFont="1" applyBorder="1"/>
    <xf numFmtId="0" fontId="4" fillId="6" borderId="9" xfId="0" applyFont="1" applyFill="1" applyBorder="1" applyAlignment="1" applyProtection="1">
      <alignment horizontal="left" vertical="center" wrapText="1"/>
      <protection locked="0"/>
    </xf>
    <xf numFmtId="0" fontId="0" fillId="0" borderId="10" xfId="0" applyBorder="1" applyAlignment="1" applyProtection="1">
      <alignment wrapText="1"/>
      <protection locked="0"/>
    </xf>
    <xf numFmtId="0" fontId="0" fillId="0" borderId="15" xfId="0" applyBorder="1" applyAlignment="1" applyProtection="1">
      <alignment wrapText="1"/>
      <protection locked="0"/>
    </xf>
    <xf numFmtId="0" fontId="2" fillId="7" borderId="0" xfId="0" applyFont="1" applyFill="1" applyAlignment="1">
      <alignment vertical="center" wrapText="1"/>
    </xf>
    <xf numFmtId="0" fontId="0" fillId="0" borderId="28" xfId="0" applyBorder="1" applyAlignment="1">
      <alignment wrapText="1"/>
    </xf>
    <xf numFmtId="0" fontId="8" fillId="10" borderId="9" xfId="0" applyFont="1" applyFill="1" applyBorder="1" applyAlignment="1" applyProtection="1">
      <alignment horizontal="left" vertical="center" wrapText="1"/>
      <protection locked="0"/>
    </xf>
    <xf numFmtId="0" fontId="0" fillId="10" borderId="10" xfId="0" applyFill="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10" fillId="12" borderId="9" xfId="0" applyFont="1" applyFill="1" applyBorder="1" applyAlignment="1" applyProtection="1">
      <alignment horizontal="left" vertical="center" wrapText="1"/>
      <protection locked="0"/>
    </xf>
    <xf numFmtId="0" fontId="1" fillId="0" borderId="10" xfId="0" applyFont="1" applyBorder="1" applyAlignment="1" applyProtection="1">
      <alignment wrapText="1"/>
      <protection locked="0"/>
    </xf>
    <xf numFmtId="0" fontId="1" fillId="0" borderId="15" xfId="0" applyFont="1" applyBorder="1" applyAlignment="1" applyProtection="1">
      <alignment wrapText="1"/>
      <protection locked="0"/>
    </xf>
    <xf numFmtId="0" fontId="10" fillId="12" borderId="9" xfId="0" applyFont="1" applyFill="1" applyBorder="1" applyAlignment="1" applyProtection="1">
      <alignment horizontal="left" vertical="center"/>
      <protection locked="0"/>
    </xf>
    <xf numFmtId="0" fontId="1" fillId="0" borderId="10" xfId="0" applyFont="1" applyBorder="1" applyProtection="1">
      <protection locked="0"/>
    </xf>
    <xf numFmtId="0" fontId="1" fillId="0" borderId="15" xfId="0" applyFont="1" applyBorder="1" applyProtection="1">
      <protection locked="0"/>
    </xf>
    <xf numFmtId="0" fontId="0" fillId="0" borderId="10" xfId="0" applyBorder="1" applyAlignment="1">
      <alignment wrapText="1"/>
    </xf>
    <xf numFmtId="0" fontId="1" fillId="10" borderId="9"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left" vertical="top" wrapText="1"/>
      <protection locked="0"/>
    </xf>
    <xf numFmtId="0" fontId="7" fillId="0" borderId="9" xfId="0" applyFont="1" applyBorder="1" applyAlignment="1">
      <alignment horizontal="center" vertical="center" wrapText="1"/>
    </xf>
    <xf numFmtId="0" fontId="5" fillId="11" borderId="9" xfId="0" applyFont="1" applyFill="1" applyBorder="1" applyAlignment="1">
      <alignment horizontal="center" vertical="center" wrapText="1"/>
    </xf>
    <xf numFmtId="0" fontId="0" fillId="0" borderId="15" xfId="0" applyBorder="1" applyAlignment="1">
      <alignment vertical="center" wrapText="1"/>
    </xf>
    <xf numFmtId="0" fontId="5" fillId="11" borderId="33" xfId="0" applyFont="1" applyFill="1" applyBorder="1" applyAlignment="1">
      <alignment horizontal="center" vertical="center" wrapText="1"/>
    </xf>
    <xf numFmtId="0" fontId="0" fillId="0" borderId="34" xfId="0" applyBorder="1" applyAlignment="1">
      <alignment vertical="center" wrapText="1"/>
    </xf>
    <xf numFmtId="0" fontId="5" fillId="11" borderId="17" xfId="0" applyFont="1" applyFill="1" applyBorder="1" applyAlignment="1">
      <alignment horizontal="center" vertical="center" wrapText="1"/>
    </xf>
    <xf numFmtId="0" fontId="0" fillId="0" borderId="18" xfId="0" applyBorder="1" applyAlignment="1">
      <alignment vertical="center" wrapText="1"/>
    </xf>
    <xf numFmtId="0" fontId="5" fillId="11" borderId="31" xfId="0" applyFont="1" applyFill="1" applyBorder="1" applyAlignment="1">
      <alignment horizontal="center" vertical="center" wrapText="1"/>
    </xf>
    <xf numFmtId="0" fontId="0" fillId="0" borderId="32" xfId="0" applyBorder="1" applyAlignment="1">
      <alignment vertical="center" wrapText="1"/>
    </xf>
    <xf numFmtId="165" fontId="5" fillId="11" borderId="9" xfId="0" applyNumberFormat="1" applyFont="1" applyFill="1" applyBorder="1" applyAlignment="1">
      <alignment horizontal="center" vertical="center"/>
    </xf>
    <xf numFmtId="165" fontId="5" fillId="11" borderId="33" xfId="0" applyNumberFormat="1" applyFont="1" applyFill="1" applyBorder="1" applyAlignment="1">
      <alignment horizontal="right" vertical="center" indent="1"/>
    </xf>
    <xf numFmtId="0" fontId="17" fillId="0" borderId="34" xfId="0" applyFont="1" applyBorder="1" applyAlignment="1">
      <alignment horizontal="right" vertical="center" indent="1"/>
    </xf>
    <xf numFmtId="0" fontId="4" fillId="7" borderId="9" xfId="0" applyFont="1" applyFill="1" applyBorder="1" applyAlignment="1">
      <alignment vertical="center" wrapText="1"/>
    </xf>
    <xf numFmtId="0" fontId="14" fillId="7" borderId="10" xfId="0" applyFont="1" applyFill="1" applyBorder="1" applyAlignment="1">
      <alignment vertical="center" wrapText="1"/>
    </xf>
    <xf numFmtId="0" fontId="14" fillId="0" borderId="10" xfId="0" applyFont="1" applyBorder="1"/>
    <xf numFmtId="0" fontId="14" fillId="0" borderId="15" xfId="0" applyFont="1" applyBorder="1"/>
    <xf numFmtId="0" fontId="5" fillId="12" borderId="9" xfId="0" applyFont="1" applyFill="1" applyBorder="1" applyAlignment="1" applyProtection="1">
      <alignment vertical="center"/>
      <protection locked="0"/>
    </xf>
    <xf numFmtId="0" fontId="5" fillId="12" borderId="10" xfId="0" applyFont="1" applyFill="1" applyBorder="1" applyAlignment="1" applyProtection="1">
      <alignment vertical="center"/>
      <protection locked="0"/>
    </xf>
    <xf numFmtId="0" fontId="5" fillId="12" borderId="15" xfId="0" applyFont="1" applyFill="1" applyBorder="1" applyAlignment="1" applyProtection="1">
      <alignment vertical="center"/>
      <protection locked="0"/>
    </xf>
    <xf numFmtId="0" fontId="64" fillId="7" borderId="13" xfId="0" applyFont="1" applyFill="1" applyBorder="1" applyAlignment="1">
      <alignment horizontal="left" vertical="center" wrapText="1"/>
    </xf>
    <xf numFmtId="0" fontId="64" fillId="7" borderId="0" xfId="0" applyFont="1" applyFill="1"/>
    <xf numFmtId="0" fontId="65" fillId="7" borderId="0" xfId="0" applyFont="1" applyFill="1"/>
    <xf numFmtId="0" fontId="37" fillId="7" borderId="28" xfId="0" applyFont="1" applyFill="1" applyBorder="1" applyAlignment="1">
      <alignment wrapText="1"/>
    </xf>
    <xf numFmtId="0" fontId="38" fillId="7" borderId="28" xfId="0" applyFont="1" applyFill="1" applyBorder="1" applyAlignment="1">
      <alignment wrapText="1"/>
    </xf>
    <xf numFmtId="0" fontId="7" fillId="0" borderId="31" xfId="0" applyFont="1" applyBorder="1" applyAlignment="1">
      <alignment vertical="center" wrapText="1"/>
    </xf>
    <xf numFmtId="0" fontId="0" fillId="0" borderId="24" xfId="0" applyBorder="1" applyAlignment="1">
      <alignment wrapText="1"/>
    </xf>
    <xf numFmtId="0" fontId="0" fillId="0" borderId="32" xfId="0" applyBorder="1" applyAlignment="1">
      <alignment wrapText="1"/>
    </xf>
    <xf numFmtId="0" fontId="26" fillId="7" borderId="35" xfId="0" applyFont="1" applyFill="1" applyBorder="1" applyAlignment="1">
      <alignment horizontal="right" vertical="center" wrapText="1"/>
    </xf>
    <xf numFmtId="0" fontId="5" fillId="7" borderId="4" xfId="0" applyFont="1" applyFill="1" applyBorder="1" applyAlignment="1">
      <alignment horizontal="right" vertical="center"/>
    </xf>
    <xf numFmtId="0" fontId="17" fillId="7" borderId="4" xfId="0" applyFont="1" applyFill="1" applyBorder="1" applyAlignment="1">
      <alignment horizontal="right" vertical="center"/>
    </xf>
    <xf numFmtId="0" fontId="37" fillId="0" borderId="28" xfId="0" applyFont="1" applyBorder="1" applyAlignment="1">
      <alignment wrapText="1"/>
    </xf>
    <xf numFmtId="0" fontId="38" fillId="0" borderId="28" xfId="0" applyFont="1" applyBorder="1" applyAlignment="1">
      <alignment wrapText="1"/>
    </xf>
    <xf numFmtId="0" fontId="38" fillId="0" borderId="36" xfId="0" applyFont="1" applyBorder="1" applyAlignment="1">
      <alignment wrapText="1"/>
    </xf>
    <xf numFmtId="0" fontId="17" fillId="6" borderId="9" xfId="0" applyFont="1" applyFill="1" applyBorder="1" applyAlignment="1" applyProtection="1">
      <alignment horizontal="left" vertical="top" wrapText="1"/>
      <protection locked="0"/>
    </xf>
    <xf numFmtId="0" fontId="17" fillId="6" borderId="10" xfId="0" applyFont="1" applyFill="1" applyBorder="1" applyAlignment="1" applyProtection="1">
      <alignment horizontal="left" vertical="top" wrapText="1"/>
      <protection locked="0"/>
    </xf>
    <xf numFmtId="0" fontId="17" fillId="6" borderId="15" xfId="0" applyFont="1" applyFill="1" applyBorder="1" applyAlignment="1" applyProtection="1">
      <alignment horizontal="left" vertical="top" wrapText="1"/>
      <protection locked="0"/>
    </xf>
    <xf numFmtId="0" fontId="7" fillId="7" borderId="6" xfId="0" applyFont="1" applyFill="1" applyBorder="1" applyAlignment="1">
      <alignment horizontal="right" vertical="center" wrapText="1" indent="1"/>
    </xf>
    <xf numFmtId="0" fontId="0" fillId="0" borderId="6" xfId="0" applyBorder="1" applyAlignment="1">
      <alignment horizontal="right" wrapText="1" indent="1"/>
    </xf>
    <xf numFmtId="0" fontId="0" fillId="0" borderId="27" xfId="0" applyBorder="1" applyAlignment="1">
      <alignment horizontal="right" wrapText="1" indent="1"/>
    </xf>
    <xf numFmtId="0" fontId="0" fillId="0" borderId="0" xfId="0" applyAlignment="1">
      <alignment horizontal="right" wrapText="1" indent="1"/>
    </xf>
    <xf numFmtId="0" fontId="0" fillId="0" borderId="28" xfId="0" applyBorder="1" applyAlignment="1">
      <alignment horizontal="right" wrapText="1" indent="1"/>
    </xf>
    <xf numFmtId="0" fontId="58" fillId="12" borderId="14" xfId="0" applyFont="1" applyFill="1" applyBorder="1" applyAlignment="1" applyProtection="1">
      <alignment horizontal="center" vertical="center" wrapText="1"/>
      <protection locked="0"/>
    </xf>
    <xf numFmtId="0" fontId="63" fillId="0" borderId="11" xfId="0" applyFont="1" applyBorder="1" applyAlignment="1">
      <alignment wrapText="1"/>
    </xf>
    <xf numFmtId="0" fontId="7" fillId="11" borderId="9"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vertical="center"/>
    </xf>
    <xf numFmtId="0" fontId="0" fillId="0" borderId="15" xfId="0" applyBorder="1" applyAlignment="1">
      <alignment vertical="center"/>
    </xf>
    <xf numFmtId="0" fontId="5" fillId="0" borderId="13" xfId="0" applyFont="1" applyBorder="1" applyAlignment="1">
      <alignment horizontal="right" vertical="center" indent="1"/>
    </xf>
    <xf numFmtId="0" fontId="0" fillId="0" borderId="28" xfId="0" applyBorder="1" applyAlignment="1">
      <alignment horizontal="right" vertical="center" indent="1"/>
    </xf>
    <xf numFmtId="0" fontId="0" fillId="0" borderId="10" xfId="0" applyBorder="1" applyProtection="1">
      <protection locked="0"/>
    </xf>
    <xf numFmtId="0" fontId="7" fillId="0" borderId="24" xfId="0" applyFont="1" applyBorder="1" applyAlignment="1">
      <alignment vertical="center" wrapText="1"/>
    </xf>
    <xf numFmtId="0" fontId="7" fillId="0" borderId="32" xfId="0" applyFont="1" applyBorder="1" applyAlignment="1">
      <alignment vertical="center" wrapText="1"/>
    </xf>
    <xf numFmtId="0" fontId="26" fillId="7" borderId="4" xfId="0" applyFont="1" applyFill="1" applyBorder="1" applyAlignment="1">
      <alignment horizontal="right" vertical="center" wrapText="1"/>
    </xf>
    <xf numFmtId="0" fontId="7" fillId="7" borderId="5" xfId="0" applyFont="1" applyFill="1" applyBorder="1" applyAlignment="1">
      <alignment horizontal="right" vertical="center" wrapText="1" indent="1"/>
    </xf>
    <xf numFmtId="0" fontId="7" fillId="7" borderId="27" xfId="0" applyFont="1" applyFill="1" applyBorder="1" applyAlignment="1">
      <alignment horizontal="right" vertical="center" wrapText="1" indent="1"/>
    </xf>
    <xf numFmtId="0" fontId="7" fillId="7" borderId="7" xfId="0" applyFont="1" applyFill="1" applyBorder="1" applyAlignment="1">
      <alignment horizontal="right" vertical="center" wrapText="1" indent="1"/>
    </xf>
    <xf numFmtId="0" fontId="7" fillId="7" borderId="8" xfId="0" applyFont="1" applyFill="1" applyBorder="1" applyAlignment="1">
      <alignment horizontal="right" vertical="center" wrapText="1" indent="1"/>
    </xf>
    <xf numFmtId="0" fontId="7" fillId="7" borderId="29" xfId="0" applyFont="1" applyFill="1" applyBorder="1" applyAlignment="1">
      <alignment horizontal="right" vertical="center" wrapText="1" indent="1"/>
    </xf>
    <xf numFmtId="0" fontId="58" fillId="12" borderId="11" xfId="0" applyFont="1" applyFill="1" applyBorder="1" applyAlignment="1" applyProtection="1">
      <alignment horizontal="center" vertical="center" wrapText="1"/>
      <protection locked="0"/>
    </xf>
    <xf numFmtId="0" fontId="7" fillId="11" borderId="10" xfId="0" applyFont="1" applyFill="1" applyBorder="1" applyAlignment="1">
      <alignment horizontal="center" vertical="center" wrapText="1"/>
    </xf>
    <xf numFmtId="0" fontId="5" fillId="0" borderId="28" xfId="0" applyFont="1" applyBorder="1" applyAlignment="1">
      <alignment horizontal="right" vertical="center" indent="1"/>
    </xf>
    <xf numFmtId="0" fontId="7" fillId="7" borderId="4" xfId="0" applyFont="1" applyFill="1" applyBorder="1"/>
    <xf numFmtId="0" fontId="0" fillId="0" borderId="4" xfId="0" applyBorder="1"/>
    <xf numFmtId="0" fontId="1" fillId="6" borderId="10" xfId="0" applyFont="1" applyFill="1" applyBorder="1" applyAlignment="1" applyProtection="1">
      <alignment horizontal="left" vertical="top" wrapText="1"/>
      <protection locked="0"/>
    </xf>
    <xf numFmtId="0" fontId="1" fillId="6" borderId="15" xfId="0" applyFont="1" applyFill="1" applyBorder="1" applyAlignment="1" applyProtection="1">
      <alignment horizontal="left" vertical="top" wrapText="1"/>
      <protection locked="0"/>
    </xf>
    <xf numFmtId="0" fontId="10" fillId="0" borderId="31" xfId="0" applyFont="1" applyBorder="1" applyAlignment="1">
      <alignment vertical="center" wrapText="1"/>
    </xf>
    <xf numFmtId="0" fontId="10" fillId="0" borderId="24" xfId="0" applyFont="1" applyBorder="1" applyAlignment="1">
      <alignment vertical="center" wrapText="1"/>
    </xf>
    <xf numFmtId="0" fontId="10" fillId="0" borderId="32" xfId="0" applyFont="1" applyBorder="1" applyAlignment="1">
      <alignment vertical="center" wrapText="1"/>
    </xf>
    <xf numFmtId="0" fontId="64" fillId="7" borderId="4" xfId="0" applyFont="1" applyFill="1" applyBorder="1" applyAlignment="1">
      <alignment horizontal="right" vertical="center" wrapText="1"/>
    </xf>
    <xf numFmtId="0" fontId="64" fillId="7" borderId="4" xfId="0" applyFont="1" applyFill="1" applyBorder="1" applyAlignment="1">
      <alignment horizontal="right" vertical="center"/>
    </xf>
    <xf numFmtId="0" fontId="65" fillId="7" borderId="4" xfId="0" applyFont="1" applyFill="1" applyBorder="1" applyAlignment="1">
      <alignment horizontal="right" vertical="center"/>
    </xf>
    <xf numFmtId="0" fontId="0" fillId="0" borderId="0" xfId="0" applyAlignment="1">
      <alignment horizontal="right" vertical="center" indent="1"/>
    </xf>
    <xf numFmtId="0" fontId="5" fillId="12" borderId="7" xfId="0" applyFont="1" applyFill="1" applyBorder="1" applyAlignment="1" applyProtection="1">
      <alignment vertical="center"/>
      <protection locked="0"/>
    </xf>
    <xf numFmtId="0" fontId="0" fillId="0" borderId="8" xfId="0" applyBorder="1" applyAlignment="1" applyProtection="1">
      <alignment vertical="center"/>
      <protection locked="0"/>
    </xf>
    <xf numFmtId="0" fontId="0" fillId="0" borderId="29" xfId="0" applyBorder="1" applyAlignment="1" applyProtection="1">
      <alignment vertical="center"/>
      <protection locked="0"/>
    </xf>
    <xf numFmtId="0" fontId="47" fillId="0" borderId="0" xfId="0" applyFont="1" applyAlignment="1" applyProtection="1">
      <alignment wrapText="1"/>
      <protection hidden="1"/>
    </xf>
    <xf numFmtId="0" fontId="1" fillId="0" borderId="24" xfId="0" applyFont="1" applyBorder="1" applyAlignment="1">
      <alignment wrapText="1"/>
    </xf>
    <xf numFmtId="0" fontId="1" fillId="0" borderId="32" xfId="0" applyFont="1" applyBorder="1" applyAlignment="1">
      <alignment wrapText="1"/>
    </xf>
    <xf numFmtId="0" fontId="7" fillId="11" borderId="9" xfId="0" applyFont="1" applyFill="1" applyBorder="1" applyAlignment="1">
      <alignment horizontal="center" vertical="center"/>
    </xf>
    <xf numFmtId="0" fontId="6" fillId="0" borderId="15" xfId="0" applyFont="1" applyBorder="1" applyAlignment="1">
      <alignment horizontal="center"/>
    </xf>
    <xf numFmtId="0" fontId="75" fillId="7" borderId="0" xfId="0" quotePrefix="1" applyFont="1" applyFill="1" applyAlignment="1">
      <alignment horizontal="left" vertical="center" wrapText="1" indent="1"/>
    </xf>
    <xf numFmtId="0" fontId="15" fillId="7" borderId="0" xfId="0" applyFont="1" applyFill="1" applyAlignment="1">
      <alignment horizontal="left" wrapText="1" indent="1"/>
    </xf>
    <xf numFmtId="0" fontId="9" fillId="7" borderId="0" xfId="0" applyFont="1" applyFill="1" applyAlignment="1">
      <alignment horizontal="left" wrapText="1" indent="1"/>
    </xf>
    <xf numFmtId="0" fontId="75" fillId="7" borderId="0" xfId="0" quotePrefix="1" applyFont="1" applyFill="1" applyAlignment="1">
      <alignment horizontal="left" vertical="top" wrapText="1" indent="1"/>
    </xf>
    <xf numFmtId="0" fontId="9" fillId="7" borderId="0" xfId="0" applyFont="1" applyFill="1" applyAlignment="1">
      <alignment horizontal="left" vertical="top" wrapText="1" indent="1"/>
    </xf>
    <xf numFmtId="0" fontId="7" fillId="11" borderId="9" xfId="0" applyFont="1" applyFill="1" applyBorder="1" applyAlignment="1">
      <alignment vertical="center"/>
    </xf>
    <xf numFmtId="0" fontId="6" fillId="11" borderId="10" xfId="0" applyFont="1" applyFill="1" applyBorder="1"/>
    <xf numFmtId="0" fontId="6" fillId="11" borderId="15" xfId="0" applyFont="1" applyFill="1" applyBorder="1"/>
    <xf numFmtId="0" fontId="1" fillId="6" borderId="5" xfId="0" applyFont="1" applyFill="1" applyBorder="1" applyAlignment="1" applyProtection="1">
      <alignment horizontal="left" vertical="top" wrapText="1"/>
      <protection locked="0"/>
    </xf>
    <xf numFmtId="0" fontId="1" fillId="6" borderId="6" xfId="0" applyFont="1" applyFill="1" applyBorder="1" applyAlignment="1" applyProtection="1">
      <alignment horizontal="left" vertical="top" wrapText="1"/>
      <protection locked="0"/>
    </xf>
    <xf numFmtId="0" fontId="1" fillId="6" borderId="27" xfId="0" applyFont="1" applyFill="1" applyBorder="1" applyAlignment="1" applyProtection="1">
      <alignment horizontal="left" vertical="top" wrapText="1"/>
      <protection locked="0"/>
    </xf>
    <xf numFmtId="0" fontId="1" fillId="6" borderId="13" xfId="0" applyFont="1" applyFill="1" applyBorder="1" applyAlignment="1" applyProtection="1">
      <alignment horizontal="left" vertical="top" wrapText="1"/>
      <protection locked="0"/>
    </xf>
    <xf numFmtId="0" fontId="1" fillId="6" borderId="0" xfId="0" applyFont="1" applyFill="1" applyAlignment="1" applyProtection="1">
      <alignment horizontal="left" vertical="top" wrapText="1"/>
      <protection locked="0"/>
    </xf>
    <xf numFmtId="0" fontId="1" fillId="6" borderId="28" xfId="0" applyFont="1" applyFill="1" applyBorder="1" applyAlignment="1" applyProtection="1">
      <alignment horizontal="left" vertical="top" wrapText="1"/>
      <protection locked="0"/>
    </xf>
    <xf numFmtId="0" fontId="1" fillId="6" borderId="7" xfId="0" applyFont="1" applyFill="1" applyBorder="1" applyAlignment="1" applyProtection="1">
      <alignment horizontal="left" vertical="top" wrapText="1"/>
      <protection locked="0"/>
    </xf>
    <xf numFmtId="0" fontId="1" fillId="6" borderId="8" xfId="0" applyFont="1" applyFill="1" applyBorder="1" applyAlignment="1" applyProtection="1">
      <alignment horizontal="left" vertical="top" wrapText="1"/>
      <protection locked="0"/>
    </xf>
    <xf numFmtId="0" fontId="1" fillId="6" borderId="29" xfId="0" applyFont="1" applyFill="1" applyBorder="1" applyAlignment="1" applyProtection="1">
      <alignment horizontal="left" vertical="top" wrapText="1"/>
      <protection locked="0"/>
    </xf>
    <xf numFmtId="0" fontId="10" fillId="11" borderId="9" xfId="0" applyFont="1" applyFill="1" applyBorder="1" applyAlignment="1">
      <alignment vertical="center"/>
    </xf>
    <xf numFmtId="0" fontId="0" fillId="11" borderId="10" xfId="0" applyFill="1" applyBorder="1"/>
    <xf numFmtId="0" fontId="0" fillId="11" borderId="15" xfId="0" applyFill="1" applyBorder="1"/>
    <xf numFmtId="0" fontId="19" fillId="7" borderId="9" xfId="0" applyFont="1" applyFill="1" applyBorder="1" applyAlignment="1">
      <alignment horizontal="left" vertical="center" wrapText="1"/>
    </xf>
    <xf numFmtId="0" fontId="17" fillId="7" borderId="10" xfId="0" applyFont="1" applyFill="1" applyBorder="1" applyAlignment="1">
      <alignment horizontal="left" vertical="center" wrapText="1"/>
    </xf>
    <xf numFmtId="0" fontId="17" fillId="7" borderId="15" xfId="0" applyFont="1" applyFill="1" applyBorder="1" applyAlignment="1">
      <alignment horizontal="left" vertical="center" wrapText="1"/>
    </xf>
    <xf numFmtId="0" fontId="7" fillId="7" borderId="10" xfId="0" applyFont="1" applyFill="1" applyBorder="1" applyAlignment="1">
      <alignment horizontal="left" vertical="center" wrapText="1"/>
    </xf>
    <xf numFmtId="0" fontId="0" fillId="7" borderId="10" xfId="0" applyFill="1" applyBorder="1" applyAlignment="1">
      <alignment horizontal="left" vertical="center" wrapText="1"/>
    </xf>
    <xf numFmtId="0" fontId="0" fillId="7" borderId="15" xfId="0" applyFill="1" applyBorder="1" applyAlignment="1">
      <alignment horizontal="left" vertical="center" wrapText="1"/>
    </xf>
    <xf numFmtId="0" fontId="7"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5" xfId="0" applyFont="1" applyBorder="1" applyAlignment="1">
      <alignment horizontal="left" vertical="center" wrapText="1"/>
    </xf>
    <xf numFmtId="0" fontId="75" fillId="0" borderId="0" xfId="0" quotePrefix="1" applyFont="1" applyAlignment="1">
      <alignment horizontal="left" vertical="center" wrapText="1" indent="1"/>
    </xf>
    <xf numFmtId="0" fontId="9" fillId="0" borderId="0" xfId="0" applyFont="1" applyAlignment="1">
      <alignment horizontal="left" vertical="center" wrapText="1" indent="1"/>
    </xf>
    <xf numFmtId="0" fontId="5" fillId="7" borderId="9" xfId="0" applyFont="1" applyFill="1" applyBorder="1" applyAlignment="1">
      <alignment horizontal="left" vertical="center" wrapText="1"/>
    </xf>
    <xf numFmtId="0" fontId="7" fillId="12" borderId="9" xfId="0" applyFont="1" applyFill="1" applyBorder="1" applyAlignment="1" applyProtection="1">
      <alignment horizontal="left" vertical="center" indent="1"/>
      <protection locked="0"/>
    </xf>
    <xf numFmtId="0" fontId="6" fillId="6" borderId="9" xfId="0" applyFont="1" applyFill="1" applyBorder="1" applyAlignment="1" applyProtection="1">
      <alignment horizontal="left" vertical="top" wrapText="1"/>
      <protection locked="0"/>
    </xf>
    <xf numFmtId="0" fontId="6" fillId="6" borderId="10" xfId="0" applyFont="1" applyFill="1"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17" fillId="7" borderId="5" xfId="0" applyFont="1" applyFill="1" applyBorder="1" applyAlignment="1">
      <alignment horizontal="center" vertical="center" textRotation="90" wrapText="1"/>
    </xf>
    <xf numFmtId="0" fontId="17" fillId="0" borderId="67" xfId="0" applyFont="1" applyBorder="1" applyAlignment="1">
      <alignment horizontal="center" vertical="center" textRotation="90" wrapText="1"/>
    </xf>
    <xf numFmtId="0" fontId="17" fillId="7" borderId="13" xfId="0" applyFont="1" applyFill="1" applyBorder="1" applyAlignment="1">
      <alignment horizontal="center" vertical="center" textRotation="90" wrapText="1"/>
    </xf>
    <xf numFmtId="0" fontId="17" fillId="0" borderId="81" xfId="0" applyFont="1" applyBorder="1" applyAlignment="1">
      <alignment horizontal="center" vertical="center" textRotation="90" wrapText="1"/>
    </xf>
    <xf numFmtId="0" fontId="17" fillId="0" borderId="7" xfId="0" applyFont="1" applyBorder="1" applyAlignment="1">
      <alignment horizontal="center" vertical="center" textRotation="90" wrapText="1"/>
    </xf>
    <xf numFmtId="0" fontId="17" fillId="0" borderId="68" xfId="0" applyFont="1" applyBorder="1" applyAlignment="1">
      <alignment horizontal="center" vertical="center" textRotation="90" wrapText="1"/>
    </xf>
    <xf numFmtId="0" fontId="17" fillId="0" borderId="67" xfId="0" applyFont="1" applyBorder="1" applyAlignment="1">
      <alignment wrapText="1"/>
    </xf>
    <xf numFmtId="0" fontId="17" fillId="0" borderId="7" xfId="0" applyFont="1" applyBorder="1" applyAlignment="1">
      <alignment wrapText="1"/>
    </xf>
    <xf numFmtId="0" fontId="17" fillId="0" borderId="68" xfId="0" applyFont="1" applyBorder="1" applyAlignment="1">
      <alignment wrapText="1"/>
    </xf>
    <xf numFmtId="0" fontId="77" fillId="7" borderId="5" xfId="0" applyFont="1" applyFill="1" applyBorder="1" applyAlignment="1">
      <alignment horizontal="center" vertical="center" textRotation="90" wrapText="1"/>
    </xf>
    <xf numFmtId="0" fontId="77" fillId="0" borderId="27" xfId="0" applyFont="1" applyBorder="1" applyAlignment="1">
      <alignment wrapText="1"/>
    </xf>
    <xf numFmtId="0" fontId="77" fillId="0" borderId="7" xfId="0" applyFont="1" applyBorder="1" applyAlignment="1">
      <alignment wrapText="1"/>
    </xf>
    <xf numFmtId="0" fontId="77" fillId="0" borderId="29" xfId="0" applyFont="1" applyBorder="1" applyAlignment="1">
      <alignment wrapText="1"/>
    </xf>
    <xf numFmtId="0" fontId="29" fillId="0" borderId="91" xfId="0" applyFont="1" applyBorder="1" applyAlignment="1">
      <alignment horizontal="left" vertical="center" wrapText="1"/>
    </xf>
    <xf numFmtId="0" fontId="0" fillId="0" borderId="29" xfId="0" applyBorder="1" applyAlignment="1">
      <alignment horizontal="left" vertical="center" wrapText="1"/>
    </xf>
    <xf numFmtId="0" fontId="29" fillId="0" borderId="83" xfId="0" applyFont="1" applyBorder="1" applyAlignment="1">
      <alignment horizontal="left" vertical="center" wrapText="1"/>
    </xf>
    <xf numFmtId="0" fontId="0" fillId="0" borderId="18" xfId="0" applyBorder="1" applyAlignment="1">
      <alignment horizontal="left" vertical="center" wrapText="1"/>
    </xf>
    <xf numFmtId="0" fontId="76" fillId="0" borderId="84" xfId="0" applyFont="1" applyBorder="1" applyAlignment="1">
      <alignment horizontal="left" vertical="center" wrapText="1"/>
    </xf>
    <xf numFmtId="0" fontId="0" fillId="0" borderId="32" xfId="0" applyBorder="1" applyAlignment="1">
      <alignment horizontal="left" vertical="center" wrapText="1"/>
    </xf>
    <xf numFmtId="0" fontId="16" fillId="7" borderId="9" xfId="0" applyFont="1" applyFill="1" applyBorder="1" applyAlignment="1">
      <alignment wrapText="1"/>
    </xf>
    <xf numFmtId="0" fontId="16" fillId="0" borderId="15" xfId="0" applyFont="1" applyBorder="1" applyAlignment="1">
      <alignment wrapText="1"/>
    </xf>
    <xf numFmtId="0" fontId="16" fillId="7" borderId="10" xfId="0" applyFont="1" applyFill="1" applyBorder="1" applyAlignment="1">
      <alignment wrapText="1"/>
    </xf>
    <xf numFmtId="0" fontId="16" fillId="0" borderId="10" xfId="0" applyFont="1" applyBorder="1" applyAlignment="1">
      <alignment wrapText="1"/>
    </xf>
    <xf numFmtId="0" fontId="29" fillId="0" borderId="30" xfId="0" applyFont="1" applyBorder="1" applyAlignment="1">
      <alignment horizontal="left" vertical="center" wrapText="1"/>
    </xf>
    <xf numFmtId="0" fontId="0" fillId="0" borderId="27" xfId="0" applyBorder="1" applyAlignment="1">
      <alignment horizontal="left" vertical="center" wrapText="1"/>
    </xf>
    <xf numFmtId="0" fontId="29" fillId="0" borderId="84" xfId="0" applyFont="1" applyBorder="1" applyAlignment="1">
      <alignment horizontal="left" vertical="center" wrapText="1"/>
    </xf>
    <xf numFmtId="0" fontId="29" fillId="0" borderId="85" xfId="0" applyFont="1" applyBorder="1" applyAlignment="1">
      <alignment horizontal="left" vertical="center" wrapText="1"/>
    </xf>
    <xf numFmtId="0" fontId="0" fillId="0" borderId="34" xfId="0" applyBorder="1" applyAlignment="1">
      <alignment horizontal="left" vertical="center" wrapText="1"/>
    </xf>
    <xf numFmtId="0" fontId="29" fillId="0" borderId="9" xfId="0" applyFont="1" applyBorder="1" applyAlignment="1">
      <alignment horizontal="left" vertical="center" wrapText="1"/>
    </xf>
    <xf numFmtId="0" fontId="0" fillId="0" borderId="15" xfId="0" applyBorder="1" applyAlignment="1">
      <alignment horizontal="left" vertical="center" wrapText="1"/>
    </xf>
    <xf numFmtId="0" fontId="29" fillId="7" borderId="9" xfId="0" applyFont="1" applyFill="1" applyBorder="1" applyAlignment="1">
      <alignment horizontal="left" vertical="center" wrapText="1"/>
    </xf>
    <xf numFmtId="3" fontId="6" fillId="11" borderId="9" xfId="0" applyNumberFormat="1" applyFont="1" applyFill="1" applyBorder="1" applyAlignment="1">
      <alignment horizontal="right" vertical="center" indent="1"/>
    </xf>
    <xf numFmtId="0" fontId="0" fillId="0" borderId="15" xfId="0" applyBorder="1" applyAlignment="1">
      <alignment horizontal="right" vertical="center" indent="1"/>
    </xf>
    <xf numFmtId="0" fontId="29" fillId="0" borderId="33" xfId="0" applyFont="1" applyBorder="1" applyAlignment="1">
      <alignment horizontal="left" vertical="center" wrapText="1"/>
    </xf>
    <xf numFmtId="165" fontId="5" fillId="11" borderId="9" xfId="0" applyNumberFormat="1" applyFont="1" applyFill="1" applyBorder="1" applyAlignment="1">
      <alignment horizontal="center" vertical="center" wrapText="1"/>
    </xf>
    <xf numFmtId="0" fontId="10" fillId="7" borderId="0" xfId="0" applyFont="1" applyFill="1" applyAlignment="1">
      <alignment horizontal="center" wrapText="1"/>
    </xf>
    <xf numFmtId="0" fontId="0" fillId="0" borderId="0" xfId="0" applyAlignment="1">
      <alignment horizontal="center" wrapText="1"/>
    </xf>
    <xf numFmtId="0" fontId="29" fillId="0" borderId="116" xfId="0" applyFont="1" applyBorder="1" applyAlignment="1">
      <alignment horizontal="left" vertical="center" wrapText="1"/>
    </xf>
    <xf numFmtId="0" fontId="0" fillId="0" borderId="121" xfId="0" applyBorder="1" applyAlignment="1">
      <alignment horizontal="left" vertical="center" wrapText="1"/>
    </xf>
    <xf numFmtId="0" fontId="29" fillId="0" borderId="39" xfId="0" applyFont="1" applyBorder="1" applyAlignment="1">
      <alignment horizontal="left" vertical="center" wrapText="1"/>
    </xf>
    <xf numFmtId="0" fontId="0" fillId="0" borderId="38" xfId="0" applyBorder="1" applyAlignment="1">
      <alignment horizontal="left" vertical="center" wrapText="1"/>
    </xf>
    <xf numFmtId="0" fontId="34" fillId="0" borderId="9" xfId="0" applyFont="1" applyBorder="1" applyAlignment="1">
      <alignment horizontal="left" vertical="center" wrapText="1"/>
    </xf>
    <xf numFmtId="0" fontId="29" fillId="0" borderId="82" xfId="0" applyFont="1" applyBorder="1" applyAlignment="1">
      <alignment horizontal="left" vertical="center" wrapText="1"/>
    </xf>
    <xf numFmtId="0" fontId="0" fillId="0" borderId="28" xfId="0" applyBorder="1" applyAlignment="1">
      <alignment horizontal="left" vertical="center" wrapText="1"/>
    </xf>
    <xf numFmtId="0" fontId="71" fillId="7" borderId="5" xfId="0" applyFont="1" applyFill="1" applyBorder="1" applyAlignment="1">
      <alignment horizontal="center" vertical="center" textRotation="90" wrapText="1"/>
    </xf>
    <xf numFmtId="0" fontId="71" fillId="0" borderId="6" xfId="0" applyFont="1" applyBorder="1" applyAlignment="1">
      <alignment horizontal="center" vertical="center" textRotation="90" wrapText="1"/>
    </xf>
    <xf numFmtId="0" fontId="71" fillId="7" borderId="13" xfId="0" applyFont="1" applyFill="1" applyBorder="1" applyAlignment="1">
      <alignment horizontal="center" vertical="center" textRotation="90" wrapText="1"/>
    </xf>
    <xf numFmtId="0" fontId="71" fillId="0" borderId="0" xfId="0" applyFont="1" applyAlignment="1">
      <alignment horizontal="center" vertical="center" textRotation="90" wrapText="1"/>
    </xf>
    <xf numFmtId="0" fontId="71" fillId="0" borderId="7" xfId="0" applyFont="1" applyBorder="1" applyAlignment="1">
      <alignment horizontal="center" vertical="center" textRotation="90" wrapText="1"/>
    </xf>
    <xf numFmtId="0" fontId="71" fillId="0" borderId="8" xfId="0" applyFont="1" applyBorder="1" applyAlignment="1">
      <alignment horizontal="center" vertical="center" textRotation="90" wrapText="1"/>
    </xf>
    <xf numFmtId="0" fontId="7" fillId="11" borderId="9" xfId="0" applyFont="1" applyFill="1" applyBorder="1" applyAlignment="1">
      <alignment vertical="center" wrapText="1"/>
    </xf>
    <xf numFmtId="0" fontId="6" fillId="11" borderId="10" xfId="0" applyFont="1" applyFill="1" applyBorder="1" applyAlignment="1">
      <alignment wrapText="1"/>
    </xf>
    <xf numFmtId="0" fontId="0" fillId="0" borderId="15" xfId="0" applyBorder="1" applyAlignment="1">
      <alignment horizontal="center" vertical="center" wrapText="1"/>
    </xf>
    <xf numFmtId="0" fontId="1" fillId="7" borderId="5" xfId="0" applyFont="1" applyFill="1" applyBorder="1" applyAlignment="1">
      <alignment horizontal="center" vertical="center" textRotation="90" wrapText="1"/>
    </xf>
    <xf numFmtId="0" fontId="1" fillId="0" borderId="67" xfId="0" applyFont="1" applyBorder="1" applyAlignment="1">
      <alignment horizontal="center" vertical="center" textRotation="90" wrapText="1"/>
    </xf>
    <xf numFmtId="0" fontId="1" fillId="7" borderId="13" xfId="0" applyFont="1" applyFill="1" applyBorder="1" applyAlignment="1">
      <alignment horizontal="center" vertical="center" textRotation="90" wrapText="1"/>
    </xf>
    <xf numFmtId="0" fontId="1" fillId="0" borderId="81" xfId="0" applyFont="1" applyBorder="1" applyAlignment="1">
      <alignment horizontal="center" vertical="center" textRotation="90" wrapText="1"/>
    </xf>
    <xf numFmtId="0" fontId="1" fillId="0" borderId="7" xfId="0" applyFont="1" applyBorder="1" applyAlignment="1">
      <alignment horizontal="center" vertical="center" textRotation="90" wrapText="1"/>
    </xf>
    <xf numFmtId="0" fontId="1" fillId="0" borderId="68" xfId="0" applyFont="1" applyBorder="1" applyAlignment="1">
      <alignment horizontal="center" vertical="center" textRotation="90" wrapText="1"/>
    </xf>
    <xf numFmtId="0" fontId="6" fillId="0" borderId="67" xfId="0" applyFont="1" applyBorder="1" applyAlignment="1">
      <alignment wrapText="1"/>
    </xf>
    <xf numFmtId="0" fontId="6" fillId="0" borderId="7" xfId="0" applyFont="1" applyBorder="1" applyAlignment="1">
      <alignment wrapText="1"/>
    </xf>
    <xf numFmtId="0" fontId="6" fillId="0" borderId="68" xfId="0" applyFont="1" applyBorder="1" applyAlignment="1">
      <alignment wrapText="1"/>
    </xf>
    <xf numFmtId="0" fontId="29" fillId="0" borderId="88" xfId="0" applyFont="1" applyBorder="1" applyAlignment="1">
      <alignment horizontal="left" vertical="center" wrapText="1"/>
    </xf>
    <xf numFmtId="0" fontId="0" fillId="0" borderId="36" xfId="0" applyBorder="1" applyAlignment="1">
      <alignment horizontal="left" vertical="center" wrapText="1"/>
    </xf>
    <xf numFmtId="0" fontId="77" fillId="0" borderId="67" xfId="0" applyFont="1" applyBorder="1" applyAlignment="1">
      <alignment wrapText="1"/>
    </xf>
    <xf numFmtId="0" fontId="77" fillId="0" borderId="68" xfId="0" applyFont="1" applyBorder="1" applyAlignment="1">
      <alignment wrapText="1"/>
    </xf>
    <xf numFmtId="0" fontId="29" fillId="7" borderId="5" xfId="0" applyFont="1" applyFill="1" applyBorder="1" applyAlignment="1">
      <alignment horizontal="left" vertical="center" wrapText="1"/>
    </xf>
    <xf numFmtId="0" fontId="0" fillId="7" borderId="27" xfId="0" applyFill="1" applyBorder="1" applyAlignment="1">
      <alignment horizontal="left" vertical="center" wrapText="1"/>
    </xf>
    <xf numFmtId="0" fontId="2" fillId="11" borderId="9" xfId="0" applyFont="1" applyFill="1" applyBorder="1" applyAlignment="1">
      <alignment vertical="center"/>
    </xf>
    <xf numFmtId="0" fontId="3" fillId="11" borderId="10" xfId="0" applyFont="1" applyFill="1" applyBorder="1"/>
    <xf numFmtId="0" fontId="3" fillId="11" borderId="15" xfId="0" applyFont="1" applyFill="1" applyBorder="1"/>
    <xf numFmtId="0" fontId="51" fillId="0" borderId="44" xfId="0" applyFont="1" applyBorder="1" applyAlignment="1">
      <alignment vertical="center" wrapText="1"/>
    </xf>
    <xf numFmtId="0" fontId="51" fillId="0" borderId="47" xfId="0" applyFont="1" applyBorder="1" applyAlignment="1">
      <alignment vertical="center" wrapText="1"/>
    </xf>
    <xf numFmtId="0" fontId="51" fillId="0" borderId="45" xfId="0" applyFont="1" applyBorder="1" applyAlignment="1">
      <alignment vertical="center" wrapText="1"/>
    </xf>
    <xf numFmtId="0" fontId="51" fillId="0" borderId="62" xfId="0" applyFont="1" applyBorder="1" applyAlignment="1">
      <alignment vertical="center" wrapText="1"/>
    </xf>
    <xf numFmtId="0" fontId="0" fillId="0" borderId="45" xfId="0" applyBorder="1" applyAlignment="1">
      <alignment vertical="center" wrapText="1"/>
    </xf>
    <xf numFmtId="0" fontId="0" fillId="0" borderId="62" xfId="0" applyBorder="1" applyAlignment="1">
      <alignment vertical="center" wrapText="1"/>
    </xf>
    <xf numFmtId="0" fontId="0" fillId="0" borderId="46" xfId="0" applyBorder="1" applyAlignment="1">
      <alignment vertical="center" wrapText="1"/>
    </xf>
    <xf numFmtId="0" fontId="0" fillId="0" borderId="63" xfId="0" applyBorder="1" applyAlignment="1">
      <alignment vertical="center" wrapText="1"/>
    </xf>
    <xf numFmtId="0" fontId="2" fillId="11" borderId="9" xfId="0" applyFont="1" applyFill="1" applyBorder="1" applyAlignment="1">
      <alignment horizontal="center" vertical="center"/>
    </xf>
    <xf numFmtId="0" fontId="5" fillId="7" borderId="9" xfId="0" applyFont="1" applyFill="1" applyBorder="1" applyAlignment="1">
      <alignment horizontal="right"/>
    </xf>
    <xf numFmtId="0" fontId="17" fillId="0" borderId="10" xfId="0" applyFont="1" applyBorder="1" applyAlignment="1">
      <alignment horizontal="right"/>
    </xf>
    <xf numFmtId="0" fontId="17" fillId="0" borderId="15" xfId="0" applyFont="1" applyBorder="1" applyAlignment="1">
      <alignment horizontal="right"/>
    </xf>
    <xf numFmtId="0" fontId="19" fillId="7" borderId="26" xfId="0" applyFont="1" applyFill="1" applyBorder="1" applyAlignment="1">
      <alignment horizontal="center" vertical="center" wrapText="1"/>
    </xf>
    <xf numFmtId="0" fontId="0" fillId="0" borderId="26" xfId="0" applyBorder="1" applyAlignment="1">
      <alignment horizontal="center" vertical="center" wrapText="1"/>
    </xf>
    <xf numFmtId="0" fontId="0" fillId="0" borderId="34" xfId="0" applyBorder="1" applyAlignment="1">
      <alignment horizontal="center" vertical="center" wrapText="1"/>
    </xf>
    <xf numFmtId="0" fontId="2" fillId="7" borderId="5" xfId="0" applyFont="1" applyFill="1" applyBorder="1" applyAlignment="1">
      <alignment horizontal="left" vertical="center" wrapText="1" indent="1"/>
    </xf>
    <xf numFmtId="0" fontId="3" fillId="0" borderId="6"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7" fillId="7" borderId="5" xfId="0" applyFont="1" applyFill="1" applyBorder="1" applyAlignment="1">
      <alignment horizontal="left" vertical="center" wrapText="1"/>
    </xf>
    <xf numFmtId="0" fontId="0" fillId="0" borderId="27" xfId="0" applyBorder="1" applyAlignment="1">
      <alignment horizontal="left" wrapText="1"/>
    </xf>
    <xf numFmtId="0" fontId="0" fillId="0" borderId="13" xfId="0" applyBorder="1" applyAlignment="1">
      <alignment horizontal="left" wrapText="1"/>
    </xf>
    <xf numFmtId="0" fontId="0" fillId="0" borderId="28" xfId="0" applyBorder="1" applyAlignment="1">
      <alignment horizontal="left" wrapText="1"/>
    </xf>
    <xf numFmtId="0" fontId="0" fillId="0" borderId="7" xfId="0" applyBorder="1" applyAlignment="1">
      <alignment horizontal="left" wrapText="1"/>
    </xf>
    <xf numFmtId="0" fontId="0" fillId="0" borderId="29" xfId="0" applyBorder="1" applyAlignment="1">
      <alignment horizontal="left" wrapText="1"/>
    </xf>
    <xf numFmtId="0" fontId="30" fillId="7" borderId="13" xfId="0" quotePrefix="1" applyFont="1" applyFill="1" applyBorder="1" applyAlignment="1">
      <alignment vertical="center" wrapText="1"/>
    </xf>
    <xf numFmtId="0" fontId="1" fillId="7" borderId="0" xfId="0" applyFont="1" applyFill="1" applyAlignment="1">
      <alignment wrapText="1"/>
    </xf>
    <xf numFmtId="0" fontId="1" fillId="7" borderId="28" xfId="0" applyFont="1" applyFill="1" applyBorder="1" applyAlignment="1">
      <alignment wrapText="1"/>
    </xf>
    <xf numFmtId="0" fontId="30" fillId="7" borderId="7" xfId="0" quotePrefix="1" applyFont="1" applyFill="1" applyBorder="1" applyAlignment="1">
      <alignment vertical="top" wrapText="1"/>
    </xf>
    <xf numFmtId="0" fontId="1" fillId="0" borderId="8" xfId="0" applyFont="1" applyBorder="1" applyAlignment="1">
      <alignment vertical="top" wrapText="1"/>
    </xf>
    <xf numFmtId="0" fontId="1" fillId="0" borderId="29" xfId="0" applyFont="1" applyBorder="1" applyAlignment="1">
      <alignment vertical="top" wrapText="1"/>
    </xf>
    <xf numFmtId="0" fontId="8" fillId="6" borderId="17" xfId="0" applyFont="1" applyFill="1" applyBorder="1"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8" xfId="0" applyBorder="1" applyAlignment="1" applyProtection="1">
      <alignment horizontal="left" vertical="center" wrapText="1"/>
      <protection locked="0"/>
    </xf>
    <xf numFmtId="0" fontId="29" fillId="7" borderId="10" xfId="0" applyFont="1" applyFill="1" applyBorder="1" applyAlignment="1">
      <alignment horizontal="right" wrapText="1"/>
    </xf>
    <xf numFmtId="0" fontId="8" fillId="6" borderId="31" xfId="0" applyFont="1" applyFill="1"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32" xfId="0" applyBorder="1" applyAlignment="1" applyProtection="1">
      <alignment horizontal="left" vertical="center" wrapText="1"/>
      <protection locked="0"/>
    </xf>
    <xf numFmtId="0" fontId="1" fillId="6" borderId="17" xfId="0" applyFont="1" applyFill="1" applyBorder="1" applyAlignment="1" applyProtection="1">
      <alignment horizontal="left" vertical="center" wrapText="1"/>
      <protection locked="0"/>
    </xf>
    <xf numFmtId="0" fontId="4" fillId="7" borderId="13" xfId="0" applyFont="1" applyFill="1" applyBorder="1" applyAlignment="1">
      <alignment horizontal="center" vertical="center" wrapText="1"/>
    </xf>
    <xf numFmtId="0" fontId="0" fillId="0" borderId="28" xfId="0" applyBorder="1" applyAlignment="1">
      <alignment horizontal="center" vertical="center" wrapText="1"/>
    </xf>
    <xf numFmtId="0" fontId="1" fillId="0" borderId="28" xfId="0" applyFont="1" applyBorder="1" applyAlignment="1">
      <alignment vertical="center" wrapText="1"/>
    </xf>
    <xf numFmtId="0" fontId="31" fillId="7" borderId="9" xfId="0" applyFont="1" applyFill="1" applyBorder="1" applyAlignment="1">
      <alignment horizontal="left" vertical="top" wrapText="1"/>
    </xf>
    <xf numFmtId="0" fontId="0" fillId="0" borderId="15" xfId="0" applyBorder="1" applyAlignment="1">
      <alignment horizontal="left" vertical="top" wrapText="1"/>
    </xf>
    <xf numFmtId="0" fontId="4" fillId="7" borderId="13" xfId="0" applyFont="1" applyFill="1" applyBorder="1" applyAlignment="1">
      <alignment horizontal="left" vertical="center" indent="1"/>
    </xf>
    <xf numFmtId="0" fontId="0" fillId="0" borderId="13" xfId="0" applyBorder="1" applyAlignment="1">
      <alignment horizontal="left" indent="1"/>
    </xf>
    <xf numFmtId="0" fontId="4" fillId="24" borderId="5" xfId="0" applyFont="1" applyFill="1" applyBorder="1" applyAlignment="1">
      <alignment horizontal="center" vertical="center" wrapText="1"/>
    </xf>
    <xf numFmtId="0" fontId="0" fillId="0" borderId="6" xfId="0" applyBorder="1" applyAlignment="1">
      <alignment wrapText="1"/>
    </xf>
    <xf numFmtId="0" fontId="0" fillId="0" borderId="27" xfId="0" applyBorder="1" applyAlignment="1">
      <alignment wrapText="1"/>
    </xf>
    <xf numFmtId="0" fontId="0" fillId="0" borderId="7" xfId="0" applyBorder="1" applyAlignment="1">
      <alignment wrapText="1"/>
    </xf>
    <xf numFmtId="0" fontId="0" fillId="0" borderId="8" xfId="0" applyBorder="1" applyAlignment="1">
      <alignment wrapText="1"/>
    </xf>
    <xf numFmtId="0" fontId="0" fillId="0" borderId="29" xfId="0" applyBorder="1" applyAlignment="1">
      <alignment wrapText="1"/>
    </xf>
    <xf numFmtId="0" fontId="38" fillId="7" borderId="13" xfId="0" applyFont="1" applyFill="1" applyBorder="1" applyAlignment="1">
      <alignment horizontal="left" vertical="center" wrapText="1" indent="1"/>
    </xf>
    <xf numFmtId="0" fontId="0" fillId="0" borderId="0" xfId="0" applyAlignment="1">
      <alignment horizontal="left" wrapText="1" indent="1"/>
    </xf>
    <xf numFmtId="0" fontId="0" fillId="0" borderId="13" xfId="0" applyBorder="1" applyAlignment="1">
      <alignment horizontal="left" wrapText="1" indent="1"/>
    </xf>
    <xf numFmtId="0" fontId="2" fillId="7" borderId="9"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8" fillId="6" borderId="9" xfId="0" applyFont="1" applyFill="1" applyBorder="1" applyAlignment="1" applyProtection="1">
      <alignment horizontal="left" wrapText="1"/>
      <protection locked="0"/>
    </xf>
    <xf numFmtId="0" fontId="0" fillId="0" borderId="10" xfId="0" applyBorder="1" applyAlignment="1" applyProtection="1">
      <alignment horizontal="left" wrapText="1"/>
      <protection locked="0"/>
    </xf>
    <xf numFmtId="0" fontId="0" fillId="0" borderId="15" xfId="0" applyBorder="1" applyAlignment="1" applyProtection="1">
      <alignment horizontal="left" wrapText="1"/>
      <protection locked="0"/>
    </xf>
    <xf numFmtId="0" fontId="9" fillId="7" borderId="119" xfId="0" applyFont="1" applyFill="1" applyBorder="1" applyAlignment="1">
      <alignment horizontal="center" vertical="center" textRotation="90"/>
    </xf>
    <xf numFmtId="0" fontId="15" fillId="0" borderId="92" xfId="0" applyFont="1" applyBorder="1" applyAlignment="1">
      <alignment horizontal="center" vertical="center" textRotation="90"/>
    </xf>
    <xf numFmtId="0" fontId="15" fillId="0" borderId="79" xfId="0" applyFont="1" applyBorder="1" applyAlignment="1">
      <alignment horizontal="center" vertical="center" textRotation="90"/>
    </xf>
    <xf numFmtId="0" fontId="1" fillId="0" borderId="13" xfId="0" applyFont="1" applyBorder="1" applyAlignment="1">
      <alignment horizontal="center" vertical="center" textRotation="90" wrapText="1"/>
    </xf>
    <xf numFmtId="0" fontId="6" fillId="6" borderId="15" xfId="0" applyFont="1" applyFill="1" applyBorder="1" applyAlignment="1" applyProtection="1">
      <alignment horizontal="left" vertical="top" wrapText="1"/>
      <protection locked="0"/>
    </xf>
    <xf numFmtId="0" fontId="29" fillId="7" borderId="33" xfId="0" applyFont="1" applyFill="1" applyBorder="1" applyAlignment="1">
      <alignment horizontal="left" vertical="center" wrapText="1"/>
    </xf>
    <xf numFmtId="0" fontId="0" fillId="7" borderId="34" xfId="0" applyFill="1" applyBorder="1" applyAlignment="1">
      <alignment horizontal="left" vertical="center" wrapText="1"/>
    </xf>
    <xf numFmtId="0" fontId="29" fillId="7" borderId="35" xfId="0" applyFont="1" applyFill="1" applyBorder="1" applyAlignment="1">
      <alignment horizontal="left" vertical="center" wrapText="1"/>
    </xf>
    <xf numFmtId="0" fontId="0" fillId="7" borderId="36" xfId="0" applyFill="1" applyBorder="1" applyAlignment="1">
      <alignment horizontal="left" vertical="center" wrapText="1"/>
    </xf>
    <xf numFmtId="0" fontId="29" fillId="7" borderId="31" xfId="0" applyFont="1" applyFill="1" applyBorder="1" applyAlignment="1">
      <alignment horizontal="left" vertical="center" wrapText="1"/>
    </xf>
    <xf numFmtId="0" fontId="0" fillId="7" borderId="32" xfId="0" applyFill="1" applyBorder="1" applyAlignment="1">
      <alignment horizontal="left" vertical="center" wrapText="1"/>
    </xf>
    <xf numFmtId="0" fontId="29" fillId="7" borderId="17" xfId="0" applyFont="1" applyFill="1" applyBorder="1" applyAlignment="1">
      <alignment horizontal="left" vertical="center" wrapText="1"/>
    </xf>
    <xf numFmtId="0" fontId="29" fillId="7" borderId="18" xfId="0" applyFont="1" applyFill="1" applyBorder="1" applyAlignment="1">
      <alignment horizontal="left" vertical="center" wrapText="1"/>
    </xf>
    <xf numFmtId="0" fontId="0" fillId="7" borderId="18" xfId="0" applyFill="1" applyBorder="1" applyAlignment="1">
      <alignment horizontal="left" vertical="center" wrapText="1"/>
    </xf>
    <xf numFmtId="0" fontId="29" fillId="0" borderId="17" xfId="0" applyFont="1" applyBorder="1" applyAlignment="1">
      <alignment horizontal="left" vertical="center" wrapText="1"/>
    </xf>
    <xf numFmtId="0" fontId="29" fillId="7" borderId="34" xfId="0" applyFont="1" applyFill="1" applyBorder="1" applyAlignment="1">
      <alignment horizontal="left" vertical="center" wrapText="1"/>
    </xf>
    <xf numFmtId="0" fontId="29" fillId="7" borderId="32" xfId="0" applyFont="1" applyFill="1" applyBorder="1" applyAlignment="1">
      <alignment horizontal="left" vertical="center" wrapText="1"/>
    </xf>
    <xf numFmtId="3" fontId="6" fillId="11" borderId="33" xfId="0" applyNumberFormat="1" applyFont="1" applyFill="1" applyBorder="1" applyAlignment="1">
      <alignment horizontal="right" vertical="center" indent="1"/>
    </xf>
    <xf numFmtId="0" fontId="0" fillId="0" borderId="34" xfId="0" applyBorder="1" applyAlignment="1">
      <alignment horizontal="right" vertical="center" indent="1"/>
    </xf>
    <xf numFmtId="3" fontId="6" fillId="11" borderId="107" xfId="0" applyNumberFormat="1" applyFont="1" applyFill="1" applyBorder="1" applyAlignment="1">
      <alignment horizontal="right" vertical="center" indent="1"/>
    </xf>
    <xf numFmtId="0" fontId="0" fillId="0" borderId="108" xfId="0" applyBorder="1" applyAlignment="1">
      <alignment horizontal="right" vertical="center" indent="1"/>
    </xf>
    <xf numFmtId="0" fontId="29" fillId="0" borderId="5" xfId="0" applyFont="1" applyBorder="1" applyAlignment="1">
      <alignment horizontal="left" vertical="center" wrapText="1"/>
    </xf>
    <xf numFmtId="0" fontId="0" fillId="0" borderId="6" xfId="0" applyBorder="1" applyAlignment="1">
      <alignment horizontal="left" vertical="center" wrapText="1"/>
    </xf>
    <xf numFmtId="3" fontId="6" fillId="11" borderId="31" xfId="0" applyNumberFormat="1" applyFont="1" applyFill="1" applyBorder="1" applyAlignment="1">
      <alignment horizontal="right" vertical="center" indent="1"/>
    </xf>
    <xf numFmtId="0" fontId="0" fillId="0" borderId="109" xfId="0" applyBorder="1" applyAlignment="1">
      <alignment horizontal="right" vertical="center" indent="1"/>
    </xf>
    <xf numFmtId="165" fontId="1" fillId="7" borderId="1" xfId="2" applyFill="1" applyBorder="1" applyAlignment="1">
      <alignment vertical="center" wrapText="1"/>
    </xf>
    <xf numFmtId="165" fontId="7" fillId="7" borderId="73" xfId="2" applyFont="1" applyFill="1" applyBorder="1" applyAlignment="1">
      <alignment horizontal="center" vertical="center"/>
    </xf>
    <xf numFmtId="165" fontId="1" fillId="7" borderId="73" xfId="2" applyFill="1" applyBorder="1" applyAlignment="1">
      <alignment horizontal="center" vertical="center"/>
    </xf>
    <xf numFmtId="165" fontId="1" fillId="7" borderId="76" xfId="2" applyFill="1" applyBorder="1" applyAlignment="1">
      <alignment vertical="center" wrapText="1"/>
    </xf>
    <xf numFmtId="0" fontId="6" fillId="7" borderId="14" xfId="0" applyFont="1" applyFill="1" applyBorder="1" applyAlignment="1">
      <alignment horizontal="center" vertical="center" textRotation="90"/>
    </xf>
    <xf numFmtId="0" fontId="6" fillId="7" borderId="11" xfId="0" applyFont="1" applyFill="1" applyBorder="1" applyAlignment="1">
      <alignment horizontal="center" vertical="center" textRotation="90"/>
    </xf>
    <xf numFmtId="0" fontId="1" fillId="7" borderId="73" xfId="0" applyFont="1" applyFill="1" applyBorder="1" applyAlignment="1">
      <alignment vertical="center" wrapText="1"/>
    </xf>
    <xf numFmtId="0" fontId="0" fillId="7" borderId="73" xfId="0" applyFill="1" applyBorder="1" applyAlignment="1">
      <alignment vertical="center" wrapText="1"/>
    </xf>
    <xf numFmtId="0" fontId="1" fillId="7" borderId="76" xfId="0" applyFont="1" applyFill="1" applyBorder="1" applyAlignment="1">
      <alignment vertical="center" wrapText="1"/>
    </xf>
    <xf numFmtId="0" fontId="0" fillId="7" borderId="76" xfId="0" applyFill="1" applyBorder="1" applyAlignment="1">
      <alignment vertical="center" wrapText="1"/>
    </xf>
    <xf numFmtId="0" fontId="1" fillId="7" borderId="69" xfId="0" applyFont="1" applyFill="1" applyBorder="1" applyAlignment="1">
      <alignment vertical="center" wrapText="1"/>
    </xf>
    <xf numFmtId="0" fontId="0" fillId="7" borderId="69" xfId="0" applyFill="1" applyBorder="1" applyAlignment="1">
      <alignment vertical="center" wrapText="1"/>
    </xf>
    <xf numFmtId="0" fontId="7" fillId="7" borderId="70" xfId="0" applyFont="1" applyFill="1" applyBorder="1" applyAlignment="1">
      <alignment horizontal="center" vertical="center"/>
    </xf>
    <xf numFmtId="0" fontId="0" fillId="7" borderId="10" xfId="0" applyFill="1" applyBorder="1" applyAlignment="1">
      <alignment horizontal="center" vertical="center"/>
    </xf>
    <xf numFmtId="0" fontId="0" fillId="7" borderId="71" xfId="0" applyFill="1" applyBorder="1" applyAlignment="1">
      <alignment horizontal="center" vertical="center"/>
    </xf>
    <xf numFmtId="0" fontId="1" fillId="7" borderId="70" xfId="0" applyFont="1" applyFill="1" applyBorder="1" applyAlignment="1">
      <alignment vertical="center" wrapText="1"/>
    </xf>
    <xf numFmtId="0" fontId="1" fillId="7" borderId="10" xfId="0" applyFont="1" applyFill="1" applyBorder="1" applyAlignment="1">
      <alignment vertical="center" wrapText="1"/>
    </xf>
    <xf numFmtId="0" fontId="1" fillId="7" borderId="71" xfId="0" applyFont="1" applyFill="1" applyBorder="1" applyAlignment="1">
      <alignment vertical="center" wrapText="1"/>
    </xf>
    <xf numFmtId="0" fontId="6" fillId="7" borderId="41" xfId="0" applyFont="1" applyFill="1" applyBorder="1" applyAlignment="1">
      <alignment horizontal="center" vertical="center" textRotation="90"/>
    </xf>
    <xf numFmtId="0" fontId="1" fillId="7" borderId="1" xfId="0" applyFont="1" applyFill="1" applyBorder="1" applyAlignment="1">
      <alignment vertical="center" wrapText="1"/>
    </xf>
    <xf numFmtId="0" fontId="0" fillId="7" borderId="1" xfId="0" applyFill="1" applyBorder="1" applyAlignment="1">
      <alignment vertical="center" wrapText="1"/>
    </xf>
    <xf numFmtId="0" fontId="2" fillId="11" borderId="9" xfId="0" applyFont="1" applyFill="1" applyBorder="1" applyAlignment="1">
      <alignment vertical="center" wrapText="1"/>
    </xf>
    <xf numFmtId="0" fontId="3" fillId="0" borderId="10" xfId="0" applyFont="1" applyBorder="1" applyAlignment="1">
      <alignment wrapText="1"/>
    </xf>
    <xf numFmtId="0" fontId="3" fillId="0" borderId="15" xfId="0" applyFont="1" applyBorder="1" applyAlignment="1">
      <alignment wrapText="1"/>
    </xf>
    <xf numFmtId="0" fontId="9" fillId="7" borderId="8" xfId="0" quotePrefix="1" applyFont="1" applyFill="1" applyBorder="1" applyAlignment="1">
      <alignment vertical="center" wrapText="1"/>
    </xf>
    <xf numFmtId="0" fontId="9" fillId="0" borderId="8" xfId="0" applyFont="1" applyBorder="1" applyAlignment="1">
      <alignment vertical="center" wrapText="1"/>
    </xf>
    <xf numFmtId="0" fontId="82" fillId="0" borderId="0" xfId="2" applyNumberFormat="1" applyFont="1" applyAlignment="1">
      <alignment horizontal="left"/>
    </xf>
    <xf numFmtId="0" fontId="11" fillId="0" borderId="0" xfId="0" applyFont="1" applyAlignment="1">
      <alignment horizontal="center"/>
    </xf>
    <xf numFmtId="0" fontId="2" fillId="0" borderId="0" xfId="0" applyFont="1" applyAlignment="1">
      <alignment horizontal="center"/>
    </xf>
    <xf numFmtId="0" fontId="82" fillId="0" borderId="0" xfId="0" applyFont="1" applyAlignment="1">
      <alignment horizontal="left"/>
    </xf>
    <xf numFmtId="0" fontId="7" fillId="7" borderId="3" xfId="0" applyFont="1" applyFill="1" applyBorder="1" applyAlignment="1">
      <alignment horizontal="left" vertical="center" indent="1"/>
    </xf>
  </cellXfs>
  <cellStyles count="3">
    <cellStyle name="Hyperlink" xfId="1" builtinId="8"/>
    <cellStyle name="Normal" xfId="0" builtinId="0"/>
    <cellStyle name="Normal 2" xfId="2" xr:uid="{4DEB7C55-BB87-4502-9E20-228C49DB324F}"/>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0"/>
      </font>
    </dxf>
    <dxf>
      <font>
        <strike val="0"/>
        <color theme="0"/>
      </font>
    </dxf>
    <dxf>
      <font>
        <color rgb="FFC00000"/>
      </font>
      <fill>
        <patternFill>
          <bgColor theme="5" tint="0.79998168889431442"/>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theme="5" tint="0.79998168889431442"/>
        </patternFill>
      </fill>
    </dxf>
    <dxf>
      <font>
        <b/>
        <i val="0"/>
        <color auto="1"/>
      </font>
      <fill>
        <patternFill>
          <bgColor theme="6" tint="0.59996337778862885"/>
        </patternFill>
      </fill>
    </dxf>
    <dxf>
      <font>
        <b/>
        <i val="0"/>
        <color auto="1"/>
      </font>
      <fill>
        <patternFill>
          <bgColor theme="6" tint="0.59996337778862885"/>
        </patternFill>
      </fill>
    </dxf>
    <dxf>
      <font>
        <b/>
        <i val="0"/>
        <color auto="1"/>
      </font>
      <fill>
        <patternFill>
          <bgColor theme="6" tint="0.59996337778862885"/>
        </patternFill>
      </fill>
    </dxf>
    <dxf>
      <font>
        <color auto="1"/>
      </font>
      <fill>
        <patternFill>
          <bgColor rgb="FFF8EBA0"/>
        </patternFill>
      </fill>
    </dxf>
    <dxf>
      <font>
        <color auto="1"/>
      </font>
      <fill>
        <patternFill>
          <bgColor rgb="FFF8EBA0"/>
        </patternFill>
      </fill>
    </dxf>
    <dxf>
      <font>
        <b/>
        <i val="0"/>
        <color auto="1"/>
      </font>
      <fill>
        <patternFill>
          <bgColor theme="6" tint="0.59996337778862885"/>
        </patternFill>
      </fill>
    </dxf>
    <dxf>
      <font>
        <color auto="1"/>
      </font>
      <fill>
        <patternFill>
          <bgColor rgb="FFF8EBA0"/>
        </patternFill>
      </fill>
    </dxf>
    <dxf>
      <font>
        <b/>
        <i val="0"/>
        <color auto="1"/>
      </font>
      <fill>
        <patternFill>
          <bgColor theme="6" tint="0.59996337778862885"/>
        </patternFill>
      </fill>
    </dxf>
    <dxf>
      <font>
        <b/>
        <i val="0"/>
        <color auto="1"/>
      </font>
      <fill>
        <patternFill>
          <bgColor rgb="FFF8EBA0"/>
        </patternFill>
      </fill>
    </dxf>
    <dxf>
      <font>
        <b/>
        <i val="0"/>
        <color auto="1"/>
      </font>
      <fill>
        <patternFill>
          <bgColor rgb="FFF8EBA0"/>
        </patternFill>
      </fill>
    </dxf>
    <dxf>
      <font>
        <b/>
        <i val="0"/>
        <color auto="1"/>
      </font>
      <fill>
        <patternFill>
          <bgColor rgb="FFF8EBA0"/>
        </patternFill>
      </fill>
    </dxf>
    <dxf>
      <font>
        <b/>
        <i val="0"/>
        <color auto="1"/>
      </font>
      <fill>
        <patternFill>
          <bgColor rgb="FFF8EBA0"/>
        </patternFill>
      </fill>
    </dxf>
    <dxf>
      <font>
        <b/>
        <i val="0"/>
        <color auto="1"/>
      </font>
      <fill>
        <patternFill>
          <bgColor theme="6" tint="0.59996337778862885"/>
        </patternFill>
      </fill>
    </dxf>
    <dxf>
      <font>
        <b/>
        <i val="0"/>
        <color auto="1"/>
      </font>
      <fill>
        <patternFill>
          <bgColor rgb="FFF8EBA0"/>
        </patternFill>
      </fill>
    </dxf>
    <dxf>
      <font>
        <strike val="0"/>
        <color theme="0"/>
      </font>
      <fill>
        <patternFill patternType="lightUp">
          <fgColor theme="0"/>
          <bgColor theme="0"/>
        </patternFill>
      </fill>
      <border>
        <left/>
        <right/>
        <top/>
        <bottom/>
      </border>
    </dxf>
    <dxf>
      <font>
        <color rgb="FFC00000"/>
      </font>
    </dxf>
    <dxf>
      <font>
        <color theme="0"/>
      </font>
      <fill>
        <patternFill>
          <bgColor theme="0"/>
        </patternFill>
      </fill>
      <border>
        <left/>
        <right/>
        <top/>
        <bottom/>
        <vertical/>
        <horizontal/>
      </border>
    </dxf>
    <dxf>
      <fill>
        <patternFill>
          <bgColor theme="0"/>
        </patternFill>
      </fill>
      <border>
        <left/>
        <right/>
        <top/>
        <bottom/>
        <vertical/>
        <horizontal/>
      </border>
    </dxf>
    <dxf>
      <font>
        <b/>
        <i val="0"/>
        <color auto="1"/>
      </font>
      <fill>
        <patternFill>
          <bgColor theme="6" tint="0.59996337778862885"/>
        </patternFill>
      </fill>
    </dxf>
    <dxf>
      <font>
        <b/>
        <i val="0"/>
        <color auto="1"/>
      </font>
      <fill>
        <patternFill>
          <bgColor theme="6" tint="0.59996337778862885"/>
        </patternFill>
      </fill>
    </dxf>
    <dxf>
      <font>
        <b/>
        <i val="0"/>
        <color auto="1"/>
      </font>
      <fill>
        <patternFill>
          <bgColor theme="6" tint="0.59996337778862885"/>
        </patternFill>
      </fill>
    </dxf>
    <dxf>
      <fill>
        <patternFill>
          <bgColor theme="0"/>
        </patternFill>
      </fill>
      <border>
        <right/>
        <top/>
        <bottom/>
        <vertical/>
        <horizontal/>
      </border>
    </dxf>
    <dxf>
      <fill>
        <patternFill>
          <bgColor theme="0"/>
        </patternFill>
      </fill>
      <border>
        <right/>
        <top/>
        <bottom/>
        <vertical/>
        <horizontal/>
      </border>
    </dxf>
    <dxf>
      <font>
        <color auto="1"/>
      </font>
      <fill>
        <patternFill>
          <bgColor rgb="FFF8EBA0"/>
        </patternFill>
      </fill>
    </dxf>
    <dxf>
      <font>
        <color auto="1"/>
      </font>
      <fill>
        <patternFill>
          <bgColor rgb="FFF8EBA0"/>
        </patternFill>
      </fill>
    </dxf>
    <dxf>
      <fill>
        <patternFill patternType="solid">
          <fgColor theme="0"/>
          <bgColor theme="0"/>
        </patternFill>
      </fill>
    </dxf>
    <dxf>
      <font>
        <b/>
        <i val="0"/>
        <color auto="1"/>
      </font>
      <fill>
        <patternFill>
          <bgColor rgb="FFF8EBA0"/>
        </patternFill>
      </fill>
    </dxf>
    <dxf>
      <font>
        <b/>
        <i val="0"/>
        <color auto="1"/>
      </font>
      <fill>
        <patternFill>
          <bgColor rgb="FFF8EBA0"/>
        </patternFill>
      </fill>
    </dxf>
    <dxf>
      <font>
        <b/>
        <i val="0"/>
        <color auto="1"/>
      </font>
      <fill>
        <patternFill>
          <bgColor rgb="FFF8EBA0"/>
        </patternFill>
      </fill>
    </dxf>
    <dxf>
      <font>
        <b/>
        <i val="0"/>
        <color auto="1"/>
      </font>
      <fill>
        <patternFill>
          <bgColor theme="6" tint="0.59996337778862885"/>
        </patternFill>
      </fill>
    </dxf>
    <dxf>
      <font>
        <color rgb="FFC00000"/>
      </font>
    </dxf>
    <dxf>
      <font>
        <color rgb="FFC00000"/>
      </font>
      <fill>
        <patternFill patternType="none">
          <bgColor auto="1"/>
        </patternFill>
      </fill>
    </dxf>
    <dxf>
      <font>
        <color rgb="FFC00000"/>
      </font>
    </dxf>
    <dxf>
      <font>
        <color rgb="FFC00000"/>
      </font>
    </dxf>
    <dxf>
      <font>
        <color rgb="FFC00000"/>
      </font>
    </dxf>
    <dxf>
      <font>
        <color rgb="FFC00000"/>
      </font>
    </dxf>
    <dxf>
      <font>
        <color rgb="FFC00000"/>
      </font>
      <fill>
        <patternFill patternType="none">
          <bgColor auto="1"/>
        </patternFill>
      </fill>
    </dxf>
    <dxf>
      <font>
        <color rgb="FFC00000"/>
      </font>
    </dxf>
    <dxf>
      <font>
        <color rgb="FFC00000"/>
      </font>
    </dxf>
    <dxf>
      <font>
        <color rgb="FFC00000"/>
      </font>
    </dxf>
    <dxf>
      <font>
        <color rgb="FFC00000"/>
      </font>
    </dxf>
    <dxf>
      <font>
        <color rgb="FFC00000"/>
      </font>
    </dxf>
    <dxf>
      <font>
        <color rgb="FFC00000"/>
      </font>
    </dxf>
    <dxf>
      <fill>
        <patternFill patternType="solid">
          <bgColor theme="0"/>
        </patternFill>
      </fill>
      <border>
        <left/>
        <right/>
        <top/>
        <bottom/>
        <vertical/>
        <horizontal/>
      </border>
    </dxf>
    <dxf>
      <font>
        <strike val="0"/>
        <color theme="0"/>
      </font>
      <fill>
        <patternFill patternType="solid">
          <fgColor theme="0"/>
          <bgColor theme="0"/>
        </patternFill>
      </fill>
      <border>
        <left/>
        <right/>
        <top/>
        <bottom/>
        <vertical/>
        <horizontal/>
      </border>
    </dxf>
    <dxf>
      <fill>
        <patternFill patternType="solid">
          <bgColor theme="0"/>
        </patternFill>
      </fill>
      <border>
        <left/>
        <right/>
        <top/>
        <bottom/>
        <vertical/>
        <horizontal/>
      </border>
    </dxf>
  </dxfs>
  <tableStyles count="0" defaultTableStyle="TableStyleMedium2" defaultPivotStyle="PivotStyleLight16"/>
  <colors>
    <mruColors>
      <color rgb="FFFFFFCC"/>
      <color rgb="FFFF99FF"/>
      <color rgb="FFF8EBA0"/>
      <color rgb="FFFFCC00"/>
      <color rgb="FFF8FFA0"/>
      <color rgb="FFFFFF99"/>
      <color rgb="FF008080"/>
      <color rgb="FFCC99FF"/>
      <color rgb="FFCC00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561977</xdr:colOff>
      <xdr:row>1</xdr:row>
      <xdr:rowOff>3</xdr:rowOff>
    </xdr:from>
    <xdr:to>
      <xdr:col>11</xdr:col>
      <xdr:colOff>485776</xdr:colOff>
      <xdr:row>3</xdr:row>
      <xdr:rowOff>7847</xdr:rowOff>
    </xdr:to>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47852" y="323853"/>
          <a:ext cx="4924424" cy="57934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twoCellAnchor>
    <xdr:from>
      <xdr:col>10</xdr:col>
      <xdr:colOff>647700</xdr:colOff>
      <xdr:row>17</xdr:row>
      <xdr:rowOff>9525</xdr:rowOff>
    </xdr:from>
    <xdr:to>
      <xdr:col>13</xdr:col>
      <xdr:colOff>333375</xdr:colOff>
      <xdr:row>19</xdr:row>
      <xdr:rowOff>28575</xdr:rowOff>
    </xdr:to>
    <xdr:sp macro="" textlink="">
      <xdr:nvSpPr>
        <xdr:cNvPr id="2" name="TextBox 1">
          <a:extLst>
            <a:ext uri="{FF2B5EF4-FFF2-40B4-BE49-F238E27FC236}">
              <a16:creationId xmlns:a16="http://schemas.microsoft.com/office/drawing/2014/main" id="{47D387D1-446A-D69C-EA7D-8FBE696CC1A4}"/>
            </a:ext>
          </a:extLst>
        </xdr:cNvPr>
        <xdr:cNvSpPr txBox="1"/>
      </xdr:nvSpPr>
      <xdr:spPr>
        <a:xfrm>
          <a:off x="6181725" y="3867150"/>
          <a:ext cx="2733675" cy="5143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1"/>
            <a:t>-  CM at Risk is default for Large Cap building</a:t>
          </a:r>
          <a:r>
            <a:rPr lang="en-US" sz="900" b="1" baseline="0"/>
            <a:t> projects</a:t>
          </a:r>
        </a:p>
        <a:p>
          <a:r>
            <a:rPr lang="en-US" sz="900" b="1"/>
            <a:t>-  DBB is most common for most Small Cap projects </a:t>
          </a:r>
        </a:p>
        <a:p>
          <a:r>
            <a:rPr lang="en-US" sz="900" b="1"/>
            <a:t>-  DB is</a:t>
          </a:r>
          <a:r>
            <a:rPr lang="en-US" sz="900" b="1" baseline="0"/>
            <a:t> most </a:t>
          </a:r>
          <a:r>
            <a:rPr lang="en-US" sz="900" b="1"/>
            <a:t>common for infrastructure projects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102</xdr:row>
      <xdr:rowOff>28575</xdr:rowOff>
    </xdr:from>
    <xdr:to>
      <xdr:col>2</xdr:col>
      <xdr:colOff>219074</xdr:colOff>
      <xdr:row>102</xdr:row>
      <xdr:rowOff>1190625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19075" y="22574250"/>
          <a:ext cx="1142999" cy="1162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91440" rtlCol="0" anchor="t"/>
        <a:lstStyle/>
        <a:p>
          <a:r>
            <a:rPr lang="en-US" sz="900" baseline="0">
              <a:latin typeface="Arial" panose="020B0604020202020204" pitchFamily="34" charset="0"/>
              <a:cs typeface="Arial" panose="020B0604020202020204" pitchFamily="34" charset="0"/>
            </a:rPr>
            <a:t>Examples:</a:t>
          </a:r>
        </a:p>
        <a:p>
          <a:endParaRPr lang="en-US" sz="500" baseline="0">
            <a:latin typeface="Arial" panose="020B0604020202020204" pitchFamily="34" charset="0"/>
            <a:cs typeface="Arial" panose="020B0604020202020204" pitchFamily="34" charset="0"/>
          </a:endParaRPr>
        </a:p>
        <a:p>
          <a:r>
            <a:rPr lang="en-US" sz="900" baseline="0">
              <a:latin typeface="Arial" panose="020B0604020202020204" pitchFamily="34" charset="0"/>
              <a:cs typeface="Arial" panose="020B0604020202020204" pitchFamily="34" charset="0"/>
            </a:rPr>
            <a:t>- </a:t>
          </a:r>
          <a:r>
            <a:rPr lang="en-US" sz="900">
              <a:latin typeface="Arial" panose="020B0604020202020204" pitchFamily="34" charset="0"/>
              <a:cs typeface="Arial" panose="020B0604020202020204" pitchFamily="34" charset="0"/>
            </a:rPr>
            <a:t>Central/District</a:t>
          </a:r>
        </a:p>
        <a:p>
          <a:r>
            <a:rPr lang="en-US" sz="900">
              <a:latin typeface="Arial" panose="020B0604020202020204" pitchFamily="34" charset="0"/>
              <a:cs typeface="Arial" panose="020B0604020202020204" pitchFamily="34" charset="0"/>
            </a:rPr>
            <a:t>  </a:t>
          </a:r>
          <a:r>
            <a:rPr lang="en-US" sz="900" baseline="0">
              <a:latin typeface="Arial" panose="020B0604020202020204" pitchFamily="34" charset="0"/>
              <a:cs typeface="Arial" panose="020B0604020202020204" pitchFamily="34" charset="0"/>
            </a:rPr>
            <a:t>Plant </a:t>
          </a:r>
          <a:endParaRPr lang="en-US" sz="900">
            <a:latin typeface="Arial" panose="020B0604020202020204" pitchFamily="34" charset="0"/>
            <a:cs typeface="Arial" panose="020B0604020202020204" pitchFamily="34" charset="0"/>
          </a:endParaRPr>
        </a:p>
        <a:p>
          <a:endParaRPr lang="en-US" sz="3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CHW / HW</a:t>
          </a:r>
          <a:r>
            <a:rPr lang="en-US" sz="900" baseline="0">
              <a:latin typeface="Arial" panose="020B0604020202020204" pitchFamily="34" charset="0"/>
              <a:cs typeface="Arial" panose="020B0604020202020204" pitchFamily="34" charset="0"/>
            </a:rPr>
            <a:t> </a:t>
          </a:r>
        </a:p>
        <a:p>
          <a:r>
            <a:rPr lang="en-US" sz="900">
              <a:latin typeface="Arial" panose="020B0604020202020204" pitchFamily="34" charset="0"/>
              <a:cs typeface="Arial" panose="020B0604020202020204" pitchFamily="34" charset="0"/>
            </a:rPr>
            <a:t>  Distribution</a:t>
          </a:r>
        </a:p>
        <a:p>
          <a:endParaRPr lang="en-US" sz="3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System Controls</a:t>
          </a:r>
        </a:p>
      </xdr:txBody>
    </xdr:sp>
    <xdr:clientData/>
  </xdr:twoCellAnchor>
  <xdr:twoCellAnchor>
    <xdr:from>
      <xdr:col>1</xdr:col>
      <xdr:colOff>28574</xdr:colOff>
      <xdr:row>105</xdr:row>
      <xdr:rowOff>9525</xdr:rowOff>
    </xdr:from>
    <xdr:to>
      <xdr:col>2</xdr:col>
      <xdr:colOff>219075</xdr:colOff>
      <xdr:row>105</xdr:row>
      <xdr:rowOff>1200150</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200024" y="24041100"/>
          <a:ext cx="1162051" cy="119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aseline="0">
              <a:latin typeface="Arial" panose="020B0604020202020204" pitchFamily="34" charset="0"/>
              <a:cs typeface="Arial" panose="020B0604020202020204" pitchFamily="34" charset="0"/>
            </a:rPr>
            <a:t>Examples:</a:t>
          </a:r>
        </a:p>
        <a:p>
          <a:endParaRPr lang="en-US" sz="400" baseline="0">
            <a:latin typeface="Arial" panose="020B0604020202020204" pitchFamily="34" charset="0"/>
            <a:cs typeface="Arial" panose="020B0604020202020204" pitchFamily="34" charset="0"/>
          </a:endParaRPr>
        </a:p>
        <a:p>
          <a:r>
            <a:rPr lang="en-US" sz="900" baseline="0">
              <a:latin typeface="Arial" panose="020B0604020202020204" pitchFamily="34" charset="0"/>
              <a:cs typeface="Arial" panose="020B0604020202020204" pitchFamily="34" charset="0"/>
            </a:rPr>
            <a:t>- </a:t>
          </a:r>
          <a:r>
            <a:rPr lang="en-US" sz="900">
              <a:latin typeface="Arial" panose="020B0604020202020204" pitchFamily="34" charset="0"/>
              <a:cs typeface="Arial" panose="020B0604020202020204" pitchFamily="34" charset="0"/>
            </a:rPr>
            <a:t>Water/Sewer</a:t>
          </a:r>
        </a:p>
        <a:p>
          <a:endParaRPr lang="en-US" sz="400" baseline="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Stormwater</a:t>
          </a:r>
        </a:p>
        <a:p>
          <a:endParaRPr lang="en-US" sz="4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Electrical/Lighting</a:t>
          </a:r>
        </a:p>
        <a:p>
          <a:endParaRPr lang="en-US" sz="4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Gas</a:t>
          </a:r>
        </a:p>
        <a:p>
          <a:endParaRPr lang="en-US" sz="4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Fiber/Data</a:t>
          </a:r>
        </a:p>
      </xdr:txBody>
    </xdr:sp>
    <xdr:clientData/>
  </xdr:twoCellAnchor>
  <xdr:twoCellAnchor>
    <xdr:from>
      <xdr:col>1</xdr:col>
      <xdr:colOff>12989</xdr:colOff>
      <xdr:row>108</xdr:row>
      <xdr:rowOff>27708</xdr:rowOff>
    </xdr:from>
    <xdr:to>
      <xdr:col>2</xdr:col>
      <xdr:colOff>233796</xdr:colOff>
      <xdr:row>108</xdr:row>
      <xdr:rowOff>1047750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184439" y="25354683"/>
          <a:ext cx="1192357" cy="1020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baseline="0">
              <a:latin typeface="Arial" panose="020B0604020202020204" pitchFamily="34" charset="0"/>
              <a:cs typeface="Arial" panose="020B0604020202020204" pitchFamily="34" charset="0"/>
            </a:rPr>
            <a:t>Examples:</a:t>
          </a:r>
        </a:p>
        <a:p>
          <a:endParaRPr lang="en-US" sz="3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Roads/Driveways</a:t>
          </a:r>
        </a:p>
        <a:p>
          <a:endParaRPr lang="en-US" sz="3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 Sidewalks/Trails</a:t>
          </a:r>
        </a:p>
        <a:p>
          <a:endParaRPr lang="en-US" sz="400">
            <a:latin typeface="Arial" panose="020B0604020202020204" pitchFamily="34" charset="0"/>
            <a:cs typeface="Arial" panose="020B0604020202020204" pitchFamily="34" charset="0"/>
          </a:endParaRPr>
        </a:p>
        <a:p>
          <a:r>
            <a:rPr lang="en-US" sz="900">
              <a:latin typeface="Arial" panose="020B0604020202020204" pitchFamily="34" charset="0"/>
              <a:cs typeface="Arial" panose="020B0604020202020204" pitchFamily="34" charset="0"/>
            </a:rPr>
            <a:t>-</a:t>
          </a:r>
          <a:r>
            <a:rPr lang="en-US" sz="900" baseline="0">
              <a:latin typeface="Arial" panose="020B0604020202020204" pitchFamily="34" charset="0"/>
              <a:cs typeface="Arial" panose="020B0604020202020204" pitchFamily="34" charset="0"/>
            </a:rPr>
            <a:t> Hardscape</a:t>
          </a:r>
        </a:p>
        <a:p>
          <a:endParaRPr lang="en-US" sz="400" baseline="0">
            <a:latin typeface="Arial" panose="020B0604020202020204" pitchFamily="34" charset="0"/>
            <a:cs typeface="Arial" panose="020B0604020202020204" pitchFamily="34" charset="0"/>
          </a:endParaRPr>
        </a:p>
        <a:p>
          <a:r>
            <a:rPr lang="en-US" sz="900" baseline="0">
              <a:latin typeface="Arial" panose="020B0604020202020204" pitchFamily="34" charset="0"/>
              <a:cs typeface="Arial" panose="020B0604020202020204" pitchFamily="34" charset="0"/>
            </a:rPr>
            <a:t>- Landscape</a:t>
          </a:r>
          <a:endParaRPr lang="en-US" sz="9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pageSetUpPr fitToPage="1"/>
  </sheetPr>
  <dimension ref="A1:HH148"/>
  <sheetViews>
    <sheetView zoomScale="93" zoomScaleNormal="93" workbookViewId="0">
      <selection activeCell="C4" sqref="C4:O4"/>
    </sheetView>
  </sheetViews>
  <sheetFormatPr defaultRowHeight="12.75"/>
  <cols>
    <col min="1" max="1" width="2.85546875" customWidth="1"/>
    <col min="2" max="2" width="7.42578125" customWidth="1"/>
    <col min="3" max="3" width="10.42578125" customWidth="1"/>
    <col min="4" max="4" width="30" customWidth="1"/>
    <col min="5" max="5" width="12.42578125" customWidth="1"/>
    <col min="6" max="6" width="28.7109375" customWidth="1"/>
    <col min="7" max="7" width="9.28515625" customWidth="1"/>
    <col min="8" max="8" width="16.7109375" customWidth="1"/>
    <col min="9" max="11" width="17.140625" customWidth="1"/>
    <col min="12" max="12" width="14.28515625" customWidth="1"/>
    <col min="13" max="14" width="11.42578125" customWidth="1"/>
    <col min="15" max="15" width="17.5703125" customWidth="1"/>
    <col min="16" max="16" width="20" customWidth="1"/>
    <col min="17" max="21" width="11.42578125" customWidth="1"/>
    <col min="40" max="40" width="13.42578125" bestFit="1" customWidth="1"/>
    <col min="94" max="94" width="14.42578125" bestFit="1" customWidth="1"/>
  </cols>
  <sheetData>
    <row r="1" spans="1:216" ht="18">
      <c r="B1" s="1242" t="s">
        <v>8100</v>
      </c>
    </row>
    <row r="2" spans="1:216" ht="15">
      <c r="C2" s="36"/>
    </row>
    <row r="3" spans="1:216" ht="24">
      <c r="C3" s="438" t="s">
        <v>6701</v>
      </c>
      <c r="D3" s="438" t="s">
        <v>154</v>
      </c>
      <c r="E3" s="438" t="s">
        <v>100</v>
      </c>
      <c r="F3" s="438" t="s">
        <v>6702</v>
      </c>
      <c r="G3" s="439" t="s">
        <v>6776</v>
      </c>
      <c r="H3" s="439" t="s">
        <v>6706</v>
      </c>
      <c r="I3" s="440" t="s">
        <v>6703</v>
      </c>
      <c r="J3" s="440" t="s">
        <v>6704</v>
      </c>
      <c r="K3" s="440" t="s">
        <v>6777</v>
      </c>
      <c r="L3" s="440" t="s">
        <v>257</v>
      </c>
      <c r="M3" s="440" t="s">
        <v>6705</v>
      </c>
      <c r="N3" s="1317" t="s">
        <v>6919</v>
      </c>
      <c r="O3" s="440" t="s">
        <v>6871</v>
      </c>
    </row>
    <row r="4" spans="1:216" ht="25.5">
      <c r="C4" s="1204">
        <f>'TAB 1 Proj. ID &amp; Prim Narrative'!B7</f>
        <v>0</v>
      </c>
      <c r="D4" s="1205">
        <f>'TAB 1 Proj. ID &amp; Prim Narrative'!D10</f>
        <v>0</v>
      </c>
      <c r="E4" s="1206">
        <f>'TAB 1 Proj. ID &amp; Prim Narrative'!F7</f>
        <v>0</v>
      </c>
      <c r="F4" s="1319" t="str">
        <f>'TAB 1 Proj. ID &amp; Prim Narrative'!U13</f>
        <v/>
      </c>
      <c r="G4" s="1388" t="str">
        <f>'TAB 4 Project Funding'!F24</f>
        <v/>
      </c>
      <c r="H4" s="1207">
        <f>'TAB 1 Proj. ID &amp; Prim Narrative'!G23</f>
        <v>0</v>
      </c>
      <c r="I4" s="1208">
        <f>'TAB 1 Proj. ID &amp; Prim Narrative'!J27</f>
        <v>0</v>
      </c>
      <c r="J4" s="1208">
        <f>'TAB 1 Proj. ID &amp; Prim Narrative'!M27</f>
        <v>0</v>
      </c>
      <c r="K4" s="1208">
        <f>'TAB 1 Proj. ID &amp; Prim Narrative'!B27</f>
        <v>0</v>
      </c>
      <c r="L4" s="1209" t="str">
        <f>'TAB 1 Proj. ID &amp; Prim Narrative'!G30</f>
        <v/>
      </c>
      <c r="M4" s="1209" t="str">
        <f>'TAB 1 Proj. ID &amp; Prim Narrative'!G31</f>
        <v/>
      </c>
      <c r="N4" s="1318" t="str">
        <f>'TAB 1 Proj. ID &amp; Prim Narrative'!G35</f>
        <v/>
      </c>
      <c r="O4" s="1210" t="str">
        <f>'TAB 1 Proj. ID &amp; Prim Narrative'!Q5</f>
        <v>Not in FY26 BOR Budget</v>
      </c>
    </row>
    <row r="5" spans="1:216">
      <c r="C5" s="441"/>
      <c r="D5" s="441"/>
      <c r="E5" s="441"/>
      <c r="F5" s="441"/>
      <c r="G5" s="441"/>
      <c r="H5" s="441"/>
      <c r="I5" s="441"/>
      <c r="J5" s="441"/>
      <c r="K5" s="441"/>
      <c r="L5" s="441"/>
      <c r="M5" s="441"/>
      <c r="N5" s="441"/>
      <c r="O5" s="441"/>
    </row>
    <row r="7" spans="1:216" ht="24.75" customHeight="1">
      <c r="A7" s="8"/>
      <c r="B7" s="31" t="s">
        <v>7841</v>
      </c>
      <c r="C7" s="8"/>
      <c r="D7" s="8"/>
      <c r="E7" s="8"/>
      <c r="F7" s="8"/>
      <c r="G7" s="8"/>
      <c r="H7" s="8"/>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425"/>
      <c r="BT7" s="425"/>
      <c r="BU7" s="425"/>
      <c r="BV7" s="425"/>
      <c r="BW7" s="425"/>
      <c r="BX7" s="425"/>
      <c r="BY7" s="425"/>
      <c r="BZ7" s="425"/>
      <c r="CA7" s="425"/>
      <c r="CB7" s="425"/>
      <c r="CC7" s="425"/>
      <c r="CD7" s="425"/>
      <c r="CE7" s="425"/>
      <c r="CF7" s="425"/>
      <c r="CG7" s="425"/>
      <c r="CH7" s="425"/>
      <c r="CI7" s="425"/>
      <c r="CJ7" s="425"/>
      <c r="CK7" s="425"/>
      <c r="CL7" s="3"/>
      <c r="CM7" s="3"/>
      <c r="CN7" s="3"/>
      <c r="CO7" s="3"/>
      <c r="CP7" s="425"/>
      <c r="CQ7" s="425"/>
      <c r="CR7" s="425"/>
      <c r="CS7" s="425"/>
      <c r="CT7" s="425"/>
      <c r="CU7" s="425" t="s">
        <v>6712</v>
      </c>
      <c r="CV7" s="425" t="s">
        <v>267</v>
      </c>
      <c r="CW7" s="425" t="s">
        <v>269</v>
      </c>
      <c r="CX7" s="425" t="s">
        <v>268</v>
      </c>
      <c r="CY7" s="425" t="s">
        <v>6713</v>
      </c>
      <c r="CZ7" s="425" t="s">
        <v>7196</v>
      </c>
      <c r="DA7" s="425" t="s">
        <v>7195</v>
      </c>
      <c r="DB7" s="425" t="s">
        <v>7197</v>
      </c>
      <c r="DC7" s="425" t="s">
        <v>6714</v>
      </c>
      <c r="DD7" s="425" t="s">
        <v>6715</v>
      </c>
      <c r="DE7" s="425" t="s">
        <v>6716</v>
      </c>
      <c r="DF7" s="425" t="s">
        <v>6717</v>
      </c>
      <c r="DG7" s="425" t="s">
        <v>277</v>
      </c>
      <c r="DH7" s="425" t="s">
        <v>293</v>
      </c>
      <c r="DI7" s="425" t="s">
        <v>270</v>
      </c>
      <c r="DJ7" s="425" t="s">
        <v>271</v>
      </c>
      <c r="DK7" s="425" t="s">
        <v>272</v>
      </c>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row>
    <row r="8" spans="1:216" ht="9" customHeight="1">
      <c r="A8" s="7"/>
      <c r="B8" s="7"/>
      <c r="C8" s="7"/>
      <c r="D8" s="7"/>
      <c r="E8" s="7"/>
      <c r="F8" s="7"/>
      <c r="G8" s="7"/>
      <c r="H8" s="7"/>
    </row>
    <row r="9" spans="1:216" ht="15.75">
      <c r="A9" s="7"/>
      <c r="B9" s="20" t="s">
        <v>205</v>
      </c>
      <c r="C9" s="7"/>
      <c r="D9" s="7"/>
      <c r="E9" s="7"/>
      <c r="F9" s="7"/>
      <c r="G9" s="7"/>
      <c r="H9" s="7"/>
    </row>
    <row r="10" spans="1:216" ht="9" customHeight="1">
      <c r="A10" s="7"/>
      <c r="B10" s="7"/>
      <c r="C10" s="7"/>
      <c r="D10" s="7"/>
      <c r="E10" s="7"/>
      <c r="F10" s="7"/>
      <c r="G10" s="7"/>
      <c r="H10" s="7"/>
    </row>
    <row r="11" spans="1:216" ht="20.25" customHeight="1">
      <c r="A11" s="7"/>
      <c r="B11" s="7"/>
      <c r="C11" s="1408" t="s">
        <v>8114</v>
      </c>
      <c r="D11" s="1409"/>
      <c r="E11" s="7"/>
      <c r="F11" s="7"/>
      <c r="G11" s="7"/>
      <c r="H11" s="8"/>
      <c r="J11" s="119"/>
      <c r="K11" s="120"/>
      <c r="L11" s="120"/>
      <c r="M11" s="119"/>
      <c r="N11" s="119"/>
      <c r="O11" s="120"/>
      <c r="P11" s="119"/>
    </row>
    <row r="12" spans="1:216" ht="20.25" customHeight="1">
      <c r="A12" s="7"/>
      <c r="B12" s="7"/>
      <c r="C12" s="1410" t="s">
        <v>8115</v>
      </c>
      <c r="D12" s="1409"/>
      <c r="E12" s="7"/>
      <c r="F12" s="7"/>
      <c r="G12" s="7"/>
      <c r="H12" s="8"/>
      <c r="J12" s="121"/>
      <c r="M12" s="122"/>
      <c r="N12" s="122"/>
      <c r="P12" s="123"/>
    </row>
    <row r="13" spans="1:216" ht="20.25" customHeight="1">
      <c r="A13" s="7"/>
      <c r="B13" s="7"/>
      <c r="C13" s="1411" t="s">
        <v>142</v>
      </c>
      <c r="D13" s="1409"/>
      <c r="E13" s="7"/>
      <c r="F13" s="7"/>
      <c r="G13" s="7"/>
      <c r="H13" s="7"/>
    </row>
    <row r="14" spans="1:216" ht="20.25" customHeight="1">
      <c r="A14" s="7"/>
      <c r="B14" s="7"/>
      <c r="C14" s="1412" t="s">
        <v>8116</v>
      </c>
      <c r="D14" s="1409"/>
      <c r="E14" s="7"/>
      <c r="F14" s="7"/>
      <c r="G14" s="7"/>
      <c r="H14" s="7"/>
    </row>
    <row r="15" spans="1:216" ht="20.25" customHeight="1">
      <c r="A15" s="7"/>
      <c r="B15" s="7"/>
      <c r="C15" s="1413" t="s">
        <v>182</v>
      </c>
      <c r="D15" s="1409"/>
      <c r="E15" s="7"/>
      <c r="F15" s="7"/>
      <c r="G15" s="7"/>
      <c r="H15" s="7"/>
      <c r="FC15" s="97"/>
      <c r="FD15" s="97"/>
      <c r="FE15" s="97"/>
      <c r="FF15" s="97"/>
      <c r="FG15" s="97"/>
      <c r="FH15" s="97"/>
      <c r="FI15" s="97"/>
      <c r="FJ15" s="97"/>
      <c r="FK15" s="97"/>
      <c r="FL15" s="97"/>
      <c r="FV15" s="97"/>
      <c r="FW15" s="97"/>
      <c r="FX15" s="97"/>
      <c r="FY15" s="97"/>
      <c r="FZ15" s="97"/>
      <c r="GA15" s="97"/>
      <c r="GB15" s="97"/>
      <c r="GC15" s="97"/>
      <c r="GD15" s="97"/>
    </row>
    <row r="16" spans="1:216" ht="11.25" customHeight="1">
      <c r="A16" s="7"/>
      <c r="B16" s="7"/>
      <c r="C16" s="7"/>
      <c r="D16" s="138"/>
      <c r="E16" s="137"/>
      <c r="F16" s="137"/>
      <c r="G16" s="137"/>
      <c r="H16" s="137"/>
      <c r="I16" s="2"/>
      <c r="J16" s="2"/>
      <c r="K16" s="2"/>
      <c r="L16" s="2"/>
      <c r="M16" s="2"/>
      <c r="N16" s="2"/>
    </row>
    <row r="17" spans="1:14" ht="15.75">
      <c r="A17" s="7"/>
      <c r="B17" s="20" t="s">
        <v>334</v>
      </c>
      <c r="C17" s="7"/>
      <c r="D17" s="7"/>
      <c r="E17" s="137"/>
      <c r="F17" s="137"/>
      <c r="G17" s="137"/>
      <c r="H17" s="137"/>
      <c r="I17" s="2"/>
      <c r="J17" s="2"/>
      <c r="K17" s="2"/>
      <c r="L17" s="2"/>
      <c r="M17" s="2"/>
      <c r="N17" s="2"/>
    </row>
    <row r="18" spans="1:14" ht="13.5" customHeight="1" thickBot="1">
      <c r="A18" s="7"/>
      <c r="B18" s="7"/>
      <c r="C18" s="7"/>
      <c r="D18" s="7"/>
      <c r="E18" s="137"/>
      <c r="F18" s="137"/>
      <c r="G18" s="137"/>
      <c r="H18" s="137"/>
      <c r="I18" s="2"/>
      <c r="J18" s="2"/>
      <c r="K18" s="2"/>
      <c r="L18" s="2"/>
      <c r="M18" s="2"/>
      <c r="N18" s="2"/>
    </row>
    <row r="19" spans="1:14" ht="21.75" customHeight="1" thickBot="1">
      <c r="A19" s="7"/>
      <c r="B19" s="7"/>
      <c r="C19" s="95"/>
      <c r="D19" s="139" t="s">
        <v>252</v>
      </c>
      <c r="E19" s="137"/>
      <c r="F19" s="137"/>
      <c r="G19" s="137"/>
      <c r="H19" s="137"/>
      <c r="I19" s="2"/>
      <c r="J19" s="2"/>
      <c r="K19" s="2"/>
      <c r="L19" s="2"/>
      <c r="M19" s="2"/>
      <c r="N19" s="2"/>
    </row>
    <row r="20" spans="1:14" ht="21.75" customHeight="1" thickBot="1">
      <c r="A20" s="7"/>
      <c r="B20" s="7"/>
      <c r="C20" s="94"/>
      <c r="D20" s="139" t="s">
        <v>253</v>
      </c>
      <c r="E20" s="126"/>
      <c r="F20" s="137"/>
      <c r="G20" s="137"/>
      <c r="H20" s="137"/>
      <c r="I20" s="2"/>
      <c r="J20" s="2"/>
      <c r="K20" s="2"/>
      <c r="L20" s="2"/>
      <c r="M20" s="2"/>
      <c r="N20" s="2"/>
    </row>
    <row r="21" spans="1:14" ht="21.75" customHeight="1" thickBot="1">
      <c r="A21" s="7"/>
      <c r="B21" s="7"/>
      <c r="C21" s="78"/>
      <c r="D21" s="139" t="s">
        <v>335</v>
      </c>
      <c r="E21" s="137"/>
      <c r="F21" s="137"/>
      <c r="G21" s="137"/>
      <c r="H21" s="137"/>
      <c r="I21" s="2"/>
      <c r="J21" s="2"/>
      <c r="K21" s="2"/>
      <c r="L21" s="2"/>
      <c r="M21" s="2"/>
      <c r="N21" s="2"/>
    </row>
    <row r="22" spans="1:14" ht="7.5" customHeight="1">
      <c r="A22" s="7"/>
      <c r="B22" s="7"/>
      <c r="C22" s="140"/>
      <c r="D22" s="7"/>
      <c r="E22" s="137"/>
      <c r="F22" s="137"/>
      <c r="G22" s="137"/>
      <c r="H22" s="137"/>
      <c r="I22" s="2"/>
      <c r="J22" s="2"/>
      <c r="K22" s="2"/>
      <c r="L22" s="2"/>
      <c r="M22" s="2"/>
      <c r="N22" s="2"/>
    </row>
    <row r="23" spans="1:14" ht="23.25" customHeight="1">
      <c r="A23" s="7"/>
      <c r="B23" s="124" t="s">
        <v>12</v>
      </c>
      <c r="C23" s="141"/>
      <c r="D23" s="7"/>
      <c r="E23" s="137"/>
      <c r="F23" s="137"/>
      <c r="G23" s="137"/>
      <c r="H23" s="137"/>
      <c r="I23" s="2"/>
      <c r="J23" s="2"/>
      <c r="K23" s="2"/>
      <c r="L23" s="2"/>
      <c r="M23" s="2"/>
      <c r="N23" s="2"/>
    </row>
    <row r="24" spans="1:14" ht="15" customHeight="1">
      <c r="A24" s="7"/>
      <c r="B24" s="1358">
        <v>1</v>
      </c>
      <c r="C24" s="1348" t="s">
        <v>8136</v>
      </c>
      <c r="D24" s="1349"/>
      <c r="E24" s="1349"/>
      <c r="F24" s="1350"/>
      <c r="G24" s="1351"/>
      <c r="H24" s="1356"/>
      <c r="I24" s="1352"/>
      <c r="J24" s="2"/>
      <c r="K24" s="2"/>
      <c r="L24" s="2"/>
      <c r="M24" s="2"/>
      <c r="N24" s="2"/>
    </row>
    <row r="25" spans="1:14" ht="15" customHeight="1">
      <c r="A25" s="7"/>
      <c r="B25" s="1359" t="s">
        <v>8092</v>
      </c>
      <c r="C25" s="1360" t="s">
        <v>8094</v>
      </c>
      <c r="D25" s="1361"/>
      <c r="E25" s="1362"/>
      <c r="F25" s="1362"/>
      <c r="G25" s="1363"/>
      <c r="H25" s="1364"/>
      <c r="I25" s="1365"/>
      <c r="J25" s="2"/>
      <c r="K25" s="2"/>
      <c r="L25" s="2"/>
      <c r="M25" s="2"/>
      <c r="N25" s="2"/>
    </row>
    <row r="26" spans="1:14" ht="15" customHeight="1">
      <c r="A26" s="7"/>
      <c r="B26" s="1366" t="s">
        <v>8093</v>
      </c>
      <c r="C26" s="1367" t="s">
        <v>8119</v>
      </c>
      <c r="D26" s="1368"/>
      <c r="E26" s="1369"/>
      <c r="F26" s="1369"/>
      <c r="G26" s="1370"/>
      <c r="H26" s="1371"/>
      <c r="I26" s="1372"/>
      <c r="J26" s="2"/>
      <c r="K26" s="2"/>
      <c r="L26" s="2"/>
      <c r="M26" s="2"/>
      <c r="N26" s="2"/>
    </row>
    <row r="27" spans="1:14" ht="15" customHeight="1">
      <c r="A27" s="7"/>
      <c r="B27" s="1366" t="s">
        <v>8097</v>
      </c>
      <c r="C27" s="1367" t="s">
        <v>8117</v>
      </c>
      <c r="D27" s="1368"/>
      <c r="E27" s="1369"/>
      <c r="F27" s="1369"/>
      <c r="G27" s="1370"/>
      <c r="H27" s="1371"/>
      <c r="I27" s="1372"/>
      <c r="J27" s="2"/>
      <c r="K27" s="2"/>
      <c r="L27" s="2"/>
      <c r="M27" s="2"/>
      <c r="N27" s="2"/>
    </row>
    <row r="28" spans="1:14" ht="15" customHeight="1">
      <c r="A28" s="7"/>
      <c r="B28" s="1366" t="s">
        <v>8099</v>
      </c>
      <c r="C28" s="1367" t="s">
        <v>8118</v>
      </c>
      <c r="D28" s="1368"/>
      <c r="E28" s="1369"/>
      <c r="F28" s="1369"/>
      <c r="G28" s="1370"/>
      <c r="H28" s="1371"/>
      <c r="I28" s="1372"/>
      <c r="J28" s="2"/>
      <c r="K28" s="2"/>
      <c r="L28" s="2"/>
      <c r="M28" s="2"/>
      <c r="N28" s="2"/>
    </row>
    <row r="29" spans="1:14" ht="15" customHeight="1">
      <c r="A29" s="7"/>
      <c r="B29" s="1358">
        <v>2</v>
      </c>
      <c r="C29" s="1353" t="s">
        <v>326</v>
      </c>
      <c r="D29" s="1354"/>
      <c r="E29" s="1355"/>
      <c r="F29" s="1355"/>
      <c r="G29" s="1356"/>
      <c r="H29" s="1356"/>
      <c r="I29" s="1352"/>
      <c r="J29" s="2"/>
      <c r="K29" s="2"/>
      <c r="L29" s="2"/>
      <c r="M29" s="2"/>
      <c r="N29" s="2"/>
    </row>
    <row r="30" spans="1:14" ht="15" customHeight="1">
      <c r="A30" s="7"/>
      <c r="B30" s="1358">
        <v>3</v>
      </c>
      <c r="C30" s="1357" t="s">
        <v>8098</v>
      </c>
      <c r="D30" s="1354"/>
      <c r="E30" s="1355"/>
      <c r="F30" s="1355"/>
      <c r="G30" s="1356"/>
      <c r="H30" s="1356"/>
      <c r="I30" s="1352"/>
      <c r="J30" s="2"/>
      <c r="K30" s="2"/>
      <c r="L30" s="2"/>
      <c r="M30" s="2"/>
      <c r="N30" s="2"/>
    </row>
    <row r="31" spans="1:14" ht="15" customHeight="1">
      <c r="A31" s="7"/>
      <c r="B31" s="1358">
        <v>4</v>
      </c>
      <c r="C31" s="1357" t="s">
        <v>8122</v>
      </c>
      <c r="D31" s="1355"/>
      <c r="E31" s="1355"/>
      <c r="F31" s="1355"/>
      <c r="G31" s="1356"/>
      <c r="H31" s="1356"/>
      <c r="I31" s="1352"/>
      <c r="J31" s="2"/>
      <c r="K31" s="2"/>
      <c r="L31" s="2"/>
      <c r="M31" s="2"/>
      <c r="N31" s="2"/>
    </row>
    <row r="32" spans="1:14" ht="15" customHeight="1">
      <c r="A32" s="7"/>
      <c r="B32" s="1358">
        <v>5</v>
      </c>
      <c r="C32" s="1357" t="s">
        <v>325</v>
      </c>
      <c r="D32" s="1355"/>
      <c r="E32" s="1355"/>
      <c r="F32" s="1355"/>
      <c r="G32" s="1351"/>
      <c r="H32" s="1356"/>
      <c r="I32" s="1352"/>
      <c r="J32" s="2"/>
      <c r="K32" s="2"/>
      <c r="L32" s="2"/>
      <c r="M32" s="2"/>
      <c r="N32" s="2"/>
    </row>
    <row r="33" spans="1:14" ht="15" customHeight="1">
      <c r="A33" s="7"/>
      <c r="B33" s="1358">
        <v>6</v>
      </c>
      <c r="C33" s="1357" t="s">
        <v>8121</v>
      </c>
      <c r="D33" s="1354"/>
      <c r="E33" s="1355"/>
      <c r="F33" s="1355"/>
      <c r="G33" s="1356"/>
      <c r="H33" s="1356"/>
      <c r="I33" s="1352"/>
      <c r="J33" s="2"/>
      <c r="K33" s="2"/>
      <c r="L33" s="2"/>
      <c r="M33" s="2"/>
      <c r="N33" s="2"/>
    </row>
    <row r="34" spans="1:14" ht="15" customHeight="1">
      <c r="A34" s="7"/>
      <c r="B34" s="1347"/>
      <c r="C34" s="1357" t="s">
        <v>8113</v>
      </c>
      <c r="D34" s="1355"/>
      <c r="E34" s="1355"/>
      <c r="F34" s="1355"/>
      <c r="G34" s="1356"/>
      <c r="H34" s="1356"/>
      <c r="I34" s="1352"/>
      <c r="J34" s="2"/>
      <c r="K34" s="2"/>
      <c r="L34" s="2"/>
      <c r="M34" s="2"/>
      <c r="N34" s="2"/>
    </row>
    <row r="35" spans="1:14" ht="15" customHeight="1">
      <c r="A35" s="7"/>
      <c r="B35" s="1358">
        <v>7</v>
      </c>
      <c r="C35" s="1348" t="s">
        <v>8120</v>
      </c>
      <c r="D35" s="1349"/>
      <c r="E35" s="1349"/>
      <c r="F35" s="1349"/>
      <c r="G35" s="1351"/>
      <c r="H35" s="1356"/>
      <c r="I35" s="1352"/>
      <c r="J35" s="2"/>
      <c r="K35" s="2"/>
      <c r="L35" s="2"/>
      <c r="M35" s="2"/>
      <c r="N35" s="2"/>
    </row>
    <row r="36" spans="1:14" ht="8.25" customHeight="1">
      <c r="A36" s="7"/>
      <c r="B36" s="746"/>
      <c r="C36" s="141"/>
      <c r="D36" s="137"/>
      <c r="E36" s="137"/>
      <c r="F36" s="137"/>
      <c r="G36" s="137"/>
      <c r="H36" s="137"/>
      <c r="I36" s="2"/>
      <c r="J36" s="2"/>
      <c r="K36" s="2"/>
      <c r="L36" s="2"/>
      <c r="M36" s="2"/>
      <c r="N36" s="2"/>
    </row>
    <row r="37" spans="1:14" ht="10.5" customHeight="1">
      <c r="A37" s="7"/>
      <c r="B37" s="7"/>
      <c r="C37" s="7"/>
      <c r="D37" s="7"/>
      <c r="E37" s="7"/>
      <c r="F37" s="7"/>
      <c r="G37" s="137"/>
      <c r="H37" s="137"/>
      <c r="I37" s="2"/>
      <c r="J37" s="2"/>
      <c r="K37" s="2"/>
      <c r="L37" s="2"/>
      <c r="M37" s="2"/>
      <c r="N37" s="2"/>
    </row>
    <row r="38" spans="1:14" ht="6" customHeight="1">
      <c r="A38" s="7"/>
      <c r="B38" s="7"/>
      <c r="C38" s="137"/>
      <c r="D38" s="137"/>
      <c r="E38" s="137"/>
      <c r="F38" s="137"/>
      <c r="G38" s="137"/>
      <c r="H38" s="137"/>
      <c r="I38" s="2"/>
      <c r="J38" s="2"/>
      <c r="K38" s="2"/>
      <c r="L38" s="2"/>
      <c r="M38" s="2"/>
      <c r="N38" s="2"/>
    </row>
    <row r="39" spans="1:14" ht="15.75">
      <c r="A39" s="7"/>
      <c r="B39" s="20" t="s">
        <v>209</v>
      </c>
      <c r="C39" s="137"/>
      <c r="D39" s="137"/>
      <c r="E39" s="137"/>
      <c r="F39" s="137"/>
      <c r="G39" s="137"/>
      <c r="H39" s="137"/>
      <c r="I39" s="2"/>
      <c r="J39" s="2"/>
      <c r="K39" s="2"/>
      <c r="L39" s="2"/>
      <c r="M39" s="2"/>
      <c r="N39" s="2"/>
    </row>
    <row r="40" spans="1:14">
      <c r="A40" s="7"/>
      <c r="B40" s="7"/>
      <c r="C40" s="7"/>
      <c r="D40" s="7"/>
      <c r="E40" s="137"/>
      <c r="F40" s="8"/>
      <c r="G40" s="137"/>
      <c r="H40" s="137"/>
      <c r="I40" s="2"/>
      <c r="J40" s="2"/>
      <c r="K40" s="2"/>
      <c r="L40" s="2"/>
      <c r="M40" s="2"/>
      <c r="N40" s="2"/>
    </row>
    <row r="41" spans="1:14">
      <c r="A41" s="7"/>
      <c r="B41" s="421"/>
      <c r="C41" s="24" t="s">
        <v>22</v>
      </c>
      <c r="D41" s="24" t="s">
        <v>35</v>
      </c>
      <c r="E41" s="137"/>
      <c r="F41" s="8"/>
      <c r="G41" s="137"/>
      <c r="H41" s="137"/>
      <c r="I41" s="2"/>
      <c r="J41" s="2"/>
      <c r="K41" s="2"/>
      <c r="L41" s="2"/>
      <c r="M41" s="2"/>
      <c r="N41" s="2"/>
    </row>
    <row r="42" spans="1:14">
      <c r="A42" s="7"/>
      <c r="B42" s="421"/>
      <c r="C42" s="24" t="s">
        <v>18</v>
      </c>
      <c r="D42" s="163" t="s">
        <v>337</v>
      </c>
      <c r="E42" s="137"/>
      <c r="F42" s="8"/>
      <c r="G42" s="137"/>
      <c r="H42" s="137"/>
      <c r="I42" s="2"/>
      <c r="J42" s="2"/>
      <c r="K42" s="2"/>
      <c r="L42" s="2"/>
      <c r="M42" s="2"/>
      <c r="N42" s="2"/>
    </row>
    <row r="43" spans="1:14">
      <c r="A43" s="7"/>
      <c r="B43" s="7"/>
      <c r="C43" s="24" t="s">
        <v>55</v>
      </c>
      <c r="D43" s="24" t="s">
        <v>56</v>
      </c>
      <c r="E43" s="137"/>
      <c r="F43" s="8"/>
      <c r="G43" s="137"/>
      <c r="H43" s="137"/>
      <c r="I43" s="2"/>
      <c r="J43" s="2"/>
      <c r="K43" s="2"/>
      <c r="L43" s="2"/>
      <c r="M43" s="2"/>
      <c r="N43" s="2"/>
    </row>
    <row r="44" spans="1:14">
      <c r="A44" s="7"/>
      <c r="B44" s="421"/>
      <c r="C44" s="24" t="s">
        <v>61</v>
      </c>
      <c r="D44" s="24" t="s">
        <v>62</v>
      </c>
      <c r="E44" s="137"/>
      <c r="F44" s="8"/>
      <c r="G44" s="137"/>
      <c r="H44" s="137"/>
      <c r="I44" s="2"/>
      <c r="J44" s="2"/>
      <c r="K44" s="2"/>
      <c r="L44" s="2"/>
      <c r="M44" s="2"/>
      <c r="N44" s="2"/>
    </row>
    <row r="45" spans="1:14">
      <c r="A45" s="7"/>
      <c r="B45" s="421"/>
      <c r="C45" s="24" t="s">
        <v>19</v>
      </c>
      <c r="D45" s="24" t="s">
        <v>36</v>
      </c>
      <c r="E45" s="137"/>
      <c r="F45" s="8"/>
      <c r="G45" s="137"/>
      <c r="H45" s="137"/>
      <c r="I45" s="2"/>
      <c r="J45" s="2"/>
      <c r="K45" s="2"/>
      <c r="L45" s="2"/>
      <c r="M45" s="2"/>
      <c r="N45" s="2"/>
    </row>
    <row r="46" spans="1:14">
      <c r="A46" s="7"/>
      <c r="B46" s="7"/>
      <c r="C46" s="163" t="s">
        <v>435</v>
      </c>
      <c r="D46" s="24" t="s">
        <v>57</v>
      </c>
      <c r="E46" s="137"/>
      <c r="F46" s="8"/>
      <c r="G46" s="137"/>
      <c r="H46" s="137"/>
      <c r="I46" s="2"/>
      <c r="J46" s="2"/>
      <c r="K46" s="2"/>
      <c r="L46" s="2"/>
      <c r="M46" s="2"/>
      <c r="N46" s="2"/>
    </row>
    <row r="47" spans="1:14">
      <c r="A47" s="7"/>
      <c r="B47" s="421"/>
      <c r="C47" s="24" t="s">
        <v>20</v>
      </c>
      <c r="D47" s="24" t="s">
        <v>37</v>
      </c>
      <c r="E47" s="137"/>
      <c r="F47" s="8"/>
      <c r="G47" s="137"/>
      <c r="H47" s="137"/>
      <c r="I47" s="2"/>
      <c r="J47" s="2"/>
      <c r="K47" s="2"/>
      <c r="L47" s="2"/>
      <c r="M47" s="2"/>
      <c r="N47" s="2"/>
    </row>
    <row r="48" spans="1:14">
      <c r="A48" s="7"/>
      <c r="B48" s="421"/>
      <c r="C48" s="24" t="s">
        <v>21</v>
      </c>
      <c r="D48" s="24" t="s">
        <v>38</v>
      </c>
      <c r="E48" s="7"/>
      <c r="F48" s="8"/>
      <c r="G48" s="7"/>
      <c r="H48" s="7"/>
    </row>
    <row r="49" spans="1:8">
      <c r="A49" s="7"/>
      <c r="B49" s="421"/>
      <c r="C49" s="163" t="s">
        <v>347</v>
      </c>
      <c r="D49" s="24" t="s">
        <v>58</v>
      </c>
      <c r="E49" s="7"/>
      <c r="F49" s="8"/>
      <c r="G49" s="7"/>
      <c r="H49" s="7"/>
    </row>
    <row r="50" spans="1:8">
      <c r="A50" s="7"/>
      <c r="B50" s="421"/>
      <c r="C50" s="24" t="s">
        <v>23</v>
      </c>
      <c r="D50" s="24" t="s">
        <v>39</v>
      </c>
      <c r="E50" s="7"/>
      <c r="F50" s="8"/>
      <c r="G50" s="7"/>
      <c r="H50" s="7"/>
    </row>
    <row r="51" spans="1:8">
      <c r="A51" s="7"/>
      <c r="B51" s="421"/>
      <c r="C51" s="24" t="s">
        <v>26</v>
      </c>
      <c r="D51" s="24" t="s">
        <v>41</v>
      </c>
      <c r="E51" s="7"/>
      <c r="F51" s="8"/>
      <c r="G51" s="7"/>
      <c r="H51" s="7"/>
    </row>
    <row r="52" spans="1:8">
      <c r="A52" s="7"/>
      <c r="B52" s="421"/>
      <c r="C52" s="24" t="s">
        <v>25</v>
      </c>
      <c r="D52" s="24" t="s">
        <v>40</v>
      </c>
      <c r="E52" s="7"/>
      <c r="F52" s="8"/>
      <c r="G52" s="7"/>
      <c r="H52" s="7"/>
    </row>
    <row r="53" spans="1:8">
      <c r="A53" s="7"/>
      <c r="B53" s="421"/>
      <c r="C53" s="24" t="s">
        <v>27</v>
      </c>
      <c r="D53" s="24" t="s">
        <v>42</v>
      </c>
      <c r="E53" s="7"/>
      <c r="F53" s="8"/>
      <c r="G53" s="7"/>
      <c r="H53" s="7"/>
    </row>
    <row r="54" spans="1:8">
      <c r="A54" s="7"/>
      <c r="B54" s="421"/>
      <c r="C54" s="24" t="s">
        <v>28</v>
      </c>
      <c r="D54" s="24" t="s">
        <v>43</v>
      </c>
      <c r="E54" s="7"/>
      <c r="F54" s="8"/>
      <c r="G54" s="7"/>
      <c r="H54" s="7"/>
    </row>
    <row r="55" spans="1:8">
      <c r="A55" s="7"/>
      <c r="B55" s="421"/>
      <c r="C55" s="24" t="s">
        <v>30</v>
      </c>
      <c r="D55" s="24" t="s">
        <v>44</v>
      </c>
      <c r="E55" s="7"/>
      <c r="F55" s="8"/>
      <c r="G55" s="7"/>
      <c r="H55" s="7"/>
    </row>
    <row r="56" spans="1:8">
      <c r="A56" s="7"/>
      <c r="B56" s="421"/>
      <c r="C56" s="24" t="s">
        <v>117</v>
      </c>
      <c r="D56" s="24" t="s">
        <v>45</v>
      </c>
      <c r="E56" s="7"/>
      <c r="F56" s="8"/>
      <c r="G56" s="7"/>
      <c r="H56" s="7"/>
    </row>
    <row r="57" spans="1:8">
      <c r="A57" s="7"/>
      <c r="B57" s="421"/>
      <c r="C57" s="24" t="s">
        <v>29</v>
      </c>
      <c r="D57" s="24" t="s">
        <v>46</v>
      </c>
      <c r="E57" s="7"/>
      <c r="F57" s="8"/>
      <c r="G57" s="7"/>
      <c r="H57" s="7"/>
    </row>
    <row r="58" spans="1:8">
      <c r="A58" s="7"/>
      <c r="B58" s="421"/>
      <c r="C58" s="24" t="s">
        <v>24</v>
      </c>
      <c r="D58" s="24" t="s">
        <v>59</v>
      </c>
      <c r="E58" s="7"/>
      <c r="F58" s="8"/>
      <c r="G58" s="7"/>
      <c r="H58" s="7"/>
    </row>
    <row r="59" spans="1:8">
      <c r="A59" s="7"/>
      <c r="B59" s="421"/>
      <c r="C59" s="24" t="s">
        <v>31</v>
      </c>
      <c r="D59" s="24" t="s">
        <v>47</v>
      </c>
      <c r="E59" s="7"/>
      <c r="F59" s="8"/>
      <c r="G59" s="7"/>
      <c r="H59" s="7"/>
    </row>
    <row r="60" spans="1:8">
      <c r="A60" s="7"/>
      <c r="B60" s="421"/>
      <c r="C60" s="24" t="s">
        <v>60</v>
      </c>
      <c r="D60" s="24" t="s">
        <v>63</v>
      </c>
      <c r="E60" s="7"/>
      <c r="F60" s="8"/>
      <c r="G60" s="7"/>
      <c r="H60" s="7"/>
    </row>
    <row r="61" spans="1:8">
      <c r="A61" s="7"/>
      <c r="B61" s="421"/>
      <c r="C61" s="24" t="s">
        <v>32</v>
      </c>
      <c r="D61" s="163" t="s">
        <v>48</v>
      </c>
      <c r="E61" s="7"/>
      <c r="F61" s="8"/>
      <c r="G61" s="7"/>
      <c r="H61" s="7"/>
    </row>
    <row r="62" spans="1:8">
      <c r="A62" s="7"/>
      <c r="B62" s="421"/>
      <c r="C62" s="163" t="s">
        <v>346</v>
      </c>
      <c r="D62" s="24" t="s">
        <v>66</v>
      </c>
      <c r="E62" s="7"/>
      <c r="F62" s="8"/>
      <c r="G62" s="7"/>
      <c r="H62" s="7"/>
    </row>
    <row r="63" spans="1:8">
      <c r="A63" s="7"/>
      <c r="B63" s="421"/>
      <c r="C63" s="24" t="s">
        <v>51</v>
      </c>
      <c r="D63" s="24" t="s">
        <v>52</v>
      </c>
      <c r="E63" s="7"/>
      <c r="F63" s="8"/>
      <c r="G63" s="7"/>
      <c r="H63" s="7"/>
    </row>
    <row r="64" spans="1:8">
      <c r="A64" s="7"/>
      <c r="B64" s="421"/>
      <c r="C64" s="24" t="s">
        <v>64</v>
      </c>
      <c r="D64" s="24" t="s">
        <v>65</v>
      </c>
      <c r="E64" s="7"/>
      <c r="F64" s="8"/>
      <c r="G64" s="7"/>
      <c r="H64" s="7"/>
    </row>
    <row r="65" spans="1:8">
      <c r="A65" s="7"/>
      <c r="B65" s="421"/>
      <c r="C65" s="24" t="s">
        <v>33</v>
      </c>
      <c r="D65" s="24" t="s">
        <v>49</v>
      </c>
      <c r="E65" s="7"/>
      <c r="F65" s="8"/>
      <c r="G65" s="7"/>
      <c r="H65" s="7"/>
    </row>
    <row r="66" spans="1:8">
      <c r="A66" s="7"/>
      <c r="B66" s="421"/>
      <c r="C66" s="24" t="s">
        <v>34</v>
      </c>
      <c r="D66" s="24" t="s">
        <v>50</v>
      </c>
      <c r="E66" s="7"/>
      <c r="F66" s="7"/>
      <c r="G66" s="7"/>
      <c r="H66" s="7"/>
    </row>
    <row r="67" spans="1:8">
      <c r="A67" s="7"/>
      <c r="B67" s="7"/>
      <c r="C67" s="7"/>
      <c r="D67" s="7"/>
      <c r="E67" s="7"/>
      <c r="F67" s="7"/>
      <c r="G67" s="7"/>
      <c r="H67" s="7"/>
    </row>
    <row r="69" spans="1:8">
      <c r="C69" s="1025" t="str" cm="1">
        <f t="array" aca="1" ref="C69" ca="1">CELL("filename",A7)</f>
        <v>S:\Real Estate &amp; Facilities\__OREF PROGRAMS\Planning\2 Capital and Budget\Capital Plans USG\FY 27-30 Update\Template\[FY27-30 USG Cap Project Template 12-18-2024 BASE.xlsx]Reference + Summary Copy</v>
      </c>
    </row>
    <row r="70" spans="1:8">
      <c r="C70" s="1026" t="str">
        <f ca="1">MID(C69,FIND("[",C69)+1,FIND("]",C69)-FIND("[",C69)-1)</f>
        <v>FY27-30 USG Cap Project Template 12-18-2024 BASE.xlsx</v>
      </c>
    </row>
    <row r="72" spans="1:8" ht="36.75" customHeight="1"/>
    <row r="76" spans="1:8" ht="39.75" customHeight="1"/>
    <row r="77" spans="1:8" ht="24" customHeight="1"/>
    <row r="78" spans="1:8" ht="24" customHeight="1"/>
    <row r="79" spans="1:8" ht="35.25" customHeight="1"/>
    <row r="80" spans="1:8" ht="30" customHeight="1"/>
    <row r="81" ht="27" customHeight="1"/>
    <row r="82" ht="45" customHeight="1"/>
    <row r="83" ht="49.5" customHeight="1"/>
    <row r="84" ht="54" customHeight="1"/>
    <row r="85" ht="45.75" customHeight="1"/>
    <row r="86" ht="54.75" customHeight="1"/>
    <row r="87" ht="45" customHeight="1"/>
    <row r="88" ht="41.25" customHeight="1"/>
    <row r="89" ht="45" customHeight="1"/>
    <row r="90" ht="37.5" customHeight="1"/>
    <row r="91" ht="45" customHeight="1"/>
    <row r="92" ht="45" customHeight="1"/>
    <row r="93" ht="41.25" customHeight="1"/>
    <row r="94" ht="42.75" customHeight="1"/>
    <row r="95" ht="55.5" customHeight="1"/>
    <row r="96" ht="37.5" customHeight="1"/>
    <row r="97" spans="2:17" ht="27" customHeight="1">
      <c r="B97" s="5"/>
      <c r="C97" s="61"/>
      <c r="D97" s="443"/>
      <c r="E97" s="442"/>
      <c r="F97" s="1414"/>
      <c r="G97" s="1415"/>
      <c r="H97" s="1415"/>
      <c r="I97" s="1415"/>
      <c r="J97" s="1416"/>
      <c r="K97" s="1414"/>
      <c r="L97" s="1414"/>
      <c r="M97" s="1415"/>
      <c r="N97" s="1415"/>
      <c r="O97" s="1415"/>
      <c r="P97" s="1415"/>
      <c r="Q97" s="1415"/>
    </row>
    <row r="98" spans="2:17" ht="27" customHeight="1">
      <c r="B98" s="5"/>
      <c r="C98" s="61"/>
      <c r="D98" s="443"/>
      <c r="E98" s="442"/>
      <c r="F98" s="1414"/>
      <c r="G98" s="1415"/>
      <c r="H98" s="1415"/>
      <c r="I98" s="1415"/>
      <c r="J98" s="1416"/>
      <c r="K98" s="1414"/>
      <c r="L98" s="1414"/>
      <c r="M98" s="1415"/>
      <c r="N98" s="1415"/>
      <c r="O98" s="1415"/>
      <c r="P98" s="1415"/>
      <c r="Q98" s="1415"/>
    </row>
    <row r="99" spans="2:17" ht="27" customHeight="1">
      <c r="B99" s="5"/>
      <c r="C99" s="61"/>
      <c r="D99" s="443"/>
      <c r="E99" s="442"/>
      <c r="F99" s="1414"/>
      <c r="G99" s="1415"/>
      <c r="H99" s="1415"/>
      <c r="I99" s="1415"/>
      <c r="J99" s="1416"/>
      <c r="K99" s="1414"/>
      <c r="L99" s="1414"/>
      <c r="M99" s="1415"/>
      <c r="N99" s="1415"/>
      <c r="O99" s="1415"/>
      <c r="P99" s="1415"/>
      <c r="Q99" s="1415"/>
    </row>
    <row r="100" spans="2:17" ht="27" customHeight="1">
      <c r="B100" s="5"/>
      <c r="C100" s="61"/>
      <c r="D100" s="443"/>
      <c r="E100" s="442"/>
      <c r="F100" s="1414"/>
      <c r="G100" s="1415"/>
      <c r="H100" s="1415"/>
      <c r="I100" s="1415"/>
      <c r="J100" s="1416"/>
      <c r="K100" s="1414"/>
      <c r="L100" s="1414"/>
      <c r="M100" s="1415"/>
      <c r="N100" s="1415"/>
      <c r="O100" s="1415"/>
      <c r="P100" s="1415"/>
      <c r="Q100" s="1415"/>
    </row>
    <row r="101" spans="2:17" ht="27" customHeight="1">
      <c r="B101" s="5"/>
      <c r="C101" s="61"/>
      <c r="D101" s="443"/>
      <c r="E101" s="442"/>
      <c r="F101" s="1414"/>
      <c r="G101" s="1415"/>
      <c r="H101" s="1415"/>
      <c r="I101" s="1415"/>
      <c r="J101" s="1416"/>
      <c r="K101" s="1414"/>
      <c r="L101" s="1414"/>
      <c r="M101" s="1415"/>
      <c r="N101" s="1415"/>
      <c r="O101" s="1415"/>
      <c r="P101" s="1415"/>
      <c r="Q101" s="1415"/>
    </row>
    <row r="102" spans="2:17" ht="27" customHeight="1">
      <c r="B102" s="5"/>
      <c r="C102" s="61"/>
      <c r="D102" s="443"/>
      <c r="E102" s="442"/>
      <c r="F102" s="1414"/>
      <c r="G102" s="1415"/>
      <c r="H102" s="1415"/>
      <c r="I102" s="1415"/>
      <c r="J102" s="1416"/>
      <c r="K102" s="1414"/>
      <c r="L102" s="1414"/>
      <c r="M102" s="1415"/>
      <c r="N102" s="1415"/>
      <c r="O102" s="1415"/>
      <c r="P102" s="1415"/>
      <c r="Q102" s="1415"/>
    </row>
    <row r="103" spans="2:17" ht="27" customHeight="1">
      <c r="B103" s="5"/>
      <c r="C103" s="61"/>
      <c r="D103" s="443"/>
      <c r="E103" s="442"/>
      <c r="F103" s="1414"/>
      <c r="G103" s="1415"/>
      <c r="H103" s="1415"/>
      <c r="I103" s="1415"/>
      <c r="J103" s="1416"/>
      <c r="K103" s="1414"/>
      <c r="L103" s="1414"/>
      <c r="M103" s="1415"/>
      <c r="N103" s="1415"/>
      <c r="O103" s="1415"/>
      <c r="P103" s="1415"/>
      <c r="Q103" s="1415"/>
    </row>
    <row r="104" spans="2:17" ht="27" customHeight="1">
      <c r="B104" s="5"/>
      <c r="C104" s="61"/>
      <c r="D104" s="443"/>
      <c r="E104" s="442"/>
      <c r="F104" s="1414"/>
      <c r="G104" s="1415"/>
      <c r="H104" s="1415"/>
      <c r="I104" s="1415"/>
      <c r="J104" s="1416"/>
      <c r="K104" s="1414"/>
      <c r="L104" s="1414"/>
      <c r="M104" s="1415"/>
      <c r="N104" s="1415"/>
      <c r="O104" s="1415"/>
      <c r="P104" s="1415"/>
      <c r="Q104" s="1415"/>
    </row>
    <row r="105" spans="2:17" ht="27" customHeight="1">
      <c r="B105" s="5"/>
      <c r="C105" s="61"/>
      <c r="D105" s="443"/>
      <c r="E105" s="442"/>
      <c r="F105" s="1414"/>
      <c r="G105" s="1415"/>
      <c r="H105" s="1415"/>
      <c r="I105" s="1415"/>
      <c r="J105" s="1416"/>
      <c r="K105" s="1414"/>
      <c r="L105" s="1414"/>
      <c r="M105" s="1415"/>
      <c r="N105" s="1415"/>
      <c r="O105" s="1415"/>
      <c r="P105" s="1415"/>
      <c r="Q105" s="1415"/>
    </row>
    <row r="106" spans="2:17" ht="27" customHeight="1">
      <c r="B106" s="5"/>
      <c r="C106" s="61"/>
      <c r="D106" s="443"/>
      <c r="E106" s="442"/>
      <c r="F106" s="1414"/>
      <c r="G106" s="1415"/>
      <c r="H106" s="1415"/>
      <c r="I106" s="1415"/>
      <c r="J106" s="1416"/>
      <c r="K106" s="1414"/>
      <c r="L106" s="1414"/>
      <c r="M106" s="1415"/>
      <c r="N106" s="1415"/>
      <c r="O106" s="1415"/>
      <c r="P106" s="1415"/>
      <c r="Q106" s="1415"/>
    </row>
    <row r="107" spans="2:17" ht="27" customHeight="1">
      <c r="B107" s="5"/>
      <c r="C107" s="61"/>
      <c r="D107" s="443"/>
      <c r="E107" s="442"/>
      <c r="F107" s="1414"/>
      <c r="G107" s="1415"/>
      <c r="H107" s="1415"/>
      <c r="I107" s="1415"/>
      <c r="J107" s="1416"/>
      <c r="K107" s="1414"/>
      <c r="L107" s="1414"/>
      <c r="M107" s="1415"/>
      <c r="N107" s="1415"/>
      <c r="O107" s="1415"/>
      <c r="P107" s="1415"/>
      <c r="Q107" s="1415"/>
    </row>
    <row r="108" spans="2:17" ht="27" customHeight="1">
      <c r="B108" s="5"/>
      <c r="C108" s="61"/>
      <c r="D108" s="443"/>
      <c r="E108" s="442"/>
      <c r="F108" s="1414"/>
      <c r="G108" s="1415"/>
      <c r="H108" s="1415"/>
      <c r="I108" s="1415"/>
      <c r="J108" s="1416"/>
      <c r="K108" s="1414"/>
      <c r="L108" s="1414"/>
      <c r="M108" s="1415"/>
      <c r="N108" s="1415"/>
      <c r="O108" s="1415"/>
      <c r="P108" s="1415"/>
      <c r="Q108" s="1415"/>
    </row>
    <row r="109" spans="2:17" ht="27" customHeight="1">
      <c r="B109" s="5"/>
      <c r="C109" s="61"/>
      <c r="D109" s="443"/>
      <c r="E109" s="442"/>
      <c r="F109" s="1414"/>
      <c r="G109" s="1415"/>
      <c r="H109" s="1415"/>
      <c r="I109" s="1415"/>
      <c r="J109" s="1416"/>
      <c r="K109" s="1414"/>
      <c r="L109" s="1414"/>
      <c r="M109" s="1415"/>
      <c r="N109" s="1415"/>
      <c r="O109" s="1415"/>
      <c r="P109" s="1415"/>
      <c r="Q109" s="1415"/>
    </row>
    <row r="110" spans="2:17" ht="27" customHeight="1">
      <c r="B110" s="5"/>
      <c r="C110" s="61"/>
      <c r="D110" s="443"/>
      <c r="E110" s="442"/>
      <c r="F110" s="1414"/>
      <c r="G110" s="1415"/>
      <c r="H110" s="1415"/>
      <c r="I110" s="1415"/>
      <c r="J110" s="1416"/>
      <c r="K110" s="1414"/>
      <c r="L110" s="1414"/>
      <c r="M110" s="1415"/>
      <c r="N110" s="1415"/>
      <c r="O110" s="1415"/>
      <c r="P110" s="1415"/>
      <c r="Q110" s="1415"/>
    </row>
    <row r="111" spans="2:17" ht="27" customHeight="1">
      <c r="B111" s="5"/>
      <c r="C111" s="61"/>
      <c r="D111" s="443"/>
      <c r="E111" s="442"/>
      <c r="F111" s="1414"/>
      <c r="G111" s="1415"/>
      <c r="H111" s="1415"/>
      <c r="I111" s="1415"/>
      <c r="J111" s="1416"/>
      <c r="K111" s="1414"/>
      <c r="L111" s="1414"/>
      <c r="M111" s="1415"/>
      <c r="N111" s="1415"/>
      <c r="O111" s="1415"/>
      <c r="P111" s="1415"/>
      <c r="Q111" s="1415"/>
    </row>
    <row r="112" spans="2:17" ht="27" customHeight="1">
      <c r="B112" s="5"/>
      <c r="C112" s="61"/>
      <c r="D112" s="443"/>
      <c r="E112" s="442"/>
      <c r="F112" s="1414"/>
      <c r="G112" s="1415"/>
      <c r="H112" s="1415"/>
      <c r="I112" s="1415"/>
      <c r="J112" s="1416"/>
      <c r="K112" s="1414"/>
      <c r="L112" s="1414"/>
      <c r="M112" s="1415"/>
      <c r="N112" s="1415"/>
      <c r="O112" s="1415"/>
      <c r="P112" s="1415"/>
      <c r="Q112" s="1415"/>
    </row>
    <row r="113" spans="2:17" ht="27" customHeight="1">
      <c r="B113" s="5"/>
      <c r="C113" s="61"/>
      <c r="D113" s="443"/>
      <c r="E113" s="442"/>
      <c r="F113" s="1414"/>
      <c r="G113" s="1415"/>
      <c r="H113" s="1415"/>
      <c r="I113" s="1415"/>
      <c r="J113" s="1416"/>
      <c r="K113" s="1414"/>
      <c r="L113" s="1414"/>
      <c r="M113" s="1415"/>
      <c r="N113" s="1415"/>
      <c r="O113" s="1415"/>
      <c r="P113" s="1415"/>
      <c r="Q113" s="1415"/>
    </row>
    <row r="114" spans="2:17" ht="27" customHeight="1">
      <c r="B114" s="5"/>
      <c r="C114" s="61"/>
      <c r="D114" s="443"/>
      <c r="E114" s="442"/>
      <c r="F114" s="1414"/>
      <c r="G114" s="1415"/>
      <c r="H114" s="1415"/>
      <c r="I114" s="1415"/>
      <c r="J114" s="1416"/>
      <c r="K114" s="1414"/>
      <c r="L114" s="1414"/>
      <c r="M114" s="1415"/>
      <c r="N114" s="1415"/>
      <c r="O114" s="1415"/>
      <c r="P114" s="1415"/>
      <c r="Q114" s="1415"/>
    </row>
    <row r="115" spans="2:17" ht="27" customHeight="1">
      <c r="B115" s="5"/>
      <c r="C115" s="61"/>
      <c r="D115" s="443"/>
      <c r="E115" s="442"/>
      <c r="F115" s="1414"/>
      <c r="G115" s="1415"/>
      <c r="H115" s="1415"/>
      <c r="I115" s="1415"/>
      <c r="J115" s="1416"/>
      <c r="K115" s="1414"/>
      <c r="L115" s="1414"/>
      <c r="M115" s="1415"/>
      <c r="N115" s="1415"/>
      <c r="O115" s="1415"/>
      <c r="P115" s="1415"/>
      <c r="Q115" s="1415"/>
    </row>
    <row r="116" spans="2:17" ht="27" customHeight="1">
      <c r="B116" s="5"/>
      <c r="C116" s="61"/>
      <c r="D116" s="443"/>
      <c r="E116" s="442"/>
      <c r="F116" s="1414"/>
      <c r="G116" s="1415"/>
      <c r="H116" s="1415"/>
      <c r="I116" s="1415"/>
      <c r="J116" s="1416"/>
      <c r="K116" s="1414"/>
      <c r="L116" s="1414"/>
      <c r="M116" s="1415"/>
      <c r="N116" s="1415"/>
      <c r="O116" s="1415"/>
      <c r="P116" s="1415"/>
      <c r="Q116" s="1415"/>
    </row>
    <row r="117" spans="2:17" ht="27" customHeight="1">
      <c r="B117" s="5"/>
      <c r="C117" s="61"/>
      <c r="D117" s="443"/>
      <c r="E117" s="442"/>
      <c r="F117" s="1414"/>
      <c r="G117" s="1415"/>
      <c r="H117" s="1415"/>
      <c r="I117" s="1415"/>
      <c r="J117" s="1416"/>
      <c r="K117" s="1414"/>
      <c r="L117" s="1414"/>
      <c r="M117" s="1415"/>
      <c r="N117" s="1415"/>
      <c r="O117" s="1415"/>
      <c r="P117" s="1415"/>
      <c r="Q117" s="1415"/>
    </row>
    <row r="118" spans="2:17" ht="27" customHeight="1">
      <c r="B118" s="5"/>
      <c r="C118" s="61"/>
      <c r="D118" s="443"/>
      <c r="E118" s="442"/>
      <c r="F118" s="1414"/>
      <c r="G118" s="1415"/>
      <c r="H118" s="1415"/>
      <c r="I118" s="1415"/>
      <c r="J118" s="1416"/>
      <c r="K118" s="1414"/>
      <c r="L118" s="1414"/>
      <c r="M118" s="1415"/>
      <c r="N118" s="1415"/>
      <c r="O118" s="1415"/>
      <c r="P118" s="1415"/>
      <c r="Q118" s="1415"/>
    </row>
    <row r="119" spans="2:17" ht="27" customHeight="1">
      <c r="B119" s="5"/>
      <c r="C119" s="61"/>
      <c r="D119" s="443"/>
      <c r="E119" s="442"/>
      <c r="F119" s="1414"/>
      <c r="G119" s="1415"/>
      <c r="H119" s="1415"/>
      <c r="I119" s="1415"/>
      <c r="J119" s="1416"/>
      <c r="K119" s="1414"/>
      <c r="L119" s="1414"/>
      <c r="M119" s="1415"/>
      <c r="N119" s="1415"/>
      <c r="O119" s="1415"/>
      <c r="P119" s="1415"/>
      <c r="Q119" s="1415"/>
    </row>
    <row r="120" spans="2:17" ht="27" customHeight="1">
      <c r="B120" s="5"/>
      <c r="C120" s="61"/>
      <c r="D120" s="443"/>
      <c r="E120" s="442"/>
      <c r="F120" s="1414"/>
      <c r="G120" s="1415"/>
      <c r="H120" s="1415"/>
      <c r="I120" s="1415"/>
      <c r="J120" s="1416"/>
      <c r="K120" s="1414"/>
      <c r="L120" s="1414"/>
      <c r="M120" s="1415"/>
      <c r="N120" s="1415"/>
      <c r="O120" s="1415"/>
      <c r="P120" s="1415"/>
      <c r="Q120" s="1415"/>
    </row>
    <row r="121" spans="2:17" ht="27" customHeight="1">
      <c r="B121" s="5"/>
      <c r="C121" s="61"/>
      <c r="D121" s="443"/>
      <c r="E121" s="442"/>
      <c r="F121" s="1414"/>
      <c r="G121" s="1415"/>
      <c r="H121" s="1415"/>
      <c r="I121" s="1415"/>
      <c r="J121" s="1416"/>
      <c r="K121" s="1414"/>
      <c r="L121" s="1414"/>
      <c r="M121" s="1415"/>
      <c r="N121" s="1415"/>
      <c r="O121" s="1415"/>
      <c r="P121" s="1415"/>
      <c r="Q121" s="1415"/>
    </row>
    <row r="122" spans="2:17" ht="27" customHeight="1">
      <c r="B122" s="5"/>
      <c r="C122" s="61"/>
      <c r="D122" s="443"/>
      <c r="E122" s="442"/>
      <c r="F122" s="1414"/>
      <c r="G122" s="1415"/>
      <c r="H122" s="1415"/>
      <c r="I122" s="1415"/>
      <c r="J122" s="1416"/>
      <c r="K122" s="1414"/>
      <c r="L122" s="1414"/>
      <c r="M122" s="1415"/>
      <c r="N122" s="1415"/>
      <c r="O122" s="1415"/>
      <c r="P122" s="1415"/>
      <c r="Q122" s="1415"/>
    </row>
    <row r="123" spans="2:17" ht="27" customHeight="1">
      <c r="B123" s="5"/>
      <c r="C123" s="61"/>
      <c r="D123" s="443"/>
      <c r="E123" s="442"/>
      <c r="F123" s="1414"/>
      <c r="G123" s="1415"/>
      <c r="H123" s="1415"/>
      <c r="I123" s="1415"/>
      <c r="J123" s="1416"/>
      <c r="K123" s="1414"/>
      <c r="L123" s="1414"/>
      <c r="M123" s="1415"/>
      <c r="N123" s="1415"/>
      <c r="O123" s="1415"/>
      <c r="P123" s="1415"/>
      <c r="Q123" s="1415"/>
    </row>
    <row r="124" spans="2:17" ht="27" customHeight="1">
      <c r="B124" s="5"/>
      <c r="C124" s="61"/>
      <c r="D124" s="443"/>
      <c r="E124" s="442"/>
      <c r="F124" s="1414"/>
      <c r="G124" s="1415"/>
      <c r="H124" s="1415"/>
      <c r="I124" s="1415"/>
      <c r="J124" s="1416"/>
      <c r="K124" s="1414"/>
      <c r="L124" s="1414"/>
      <c r="M124" s="1415"/>
      <c r="N124" s="1415"/>
      <c r="O124" s="1415"/>
      <c r="P124" s="1415"/>
      <c r="Q124" s="1415"/>
    </row>
    <row r="125" spans="2:17" ht="27" customHeight="1">
      <c r="B125" s="5"/>
      <c r="C125" s="61"/>
      <c r="D125" s="443"/>
      <c r="E125" s="442"/>
      <c r="F125" s="1414"/>
      <c r="G125" s="1415"/>
      <c r="H125" s="1415"/>
      <c r="I125" s="1415"/>
      <c r="J125" s="1416"/>
      <c r="K125" s="1414"/>
      <c r="L125" s="1414"/>
      <c r="M125" s="1415"/>
      <c r="N125" s="1415"/>
      <c r="O125" s="1415"/>
      <c r="P125" s="1415"/>
      <c r="Q125" s="1415"/>
    </row>
    <row r="126" spans="2:17" ht="27" customHeight="1">
      <c r="B126" s="5"/>
      <c r="C126" s="61"/>
      <c r="D126" s="443"/>
      <c r="E126" s="442"/>
      <c r="F126" s="1414"/>
      <c r="G126" s="1415"/>
      <c r="H126" s="1415"/>
      <c r="I126" s="1415"/>
      <c r="J126" s="1416"/>
      <c r="K126" s="1414"/>
      <c r="L126" s="1414"/>
      <c r="M126" s="1415"/>
      <c r="N126" s="1415"/>
      <c r="O126" s="1415"/>
      <c r="P126" s="1415"/>
      <c r="Q126" s="1415"/>
    </row>
    <row r="127" spans="2:17" ht="27" customHeight="1">
      <c r="B127" s="5"/>
      <c r="C127" s="61"/>
      <c r="D127" s="443"/>
      <c r="E127" s="442"/>
      <c r="F127" s="1414"/>
      <c r="G127" s="1415"/>
      <c r="H127" s="1415"/>
      <c r="I127" s="1415"/>
      <c r="J127" s="1416"/>
      <c r="K127" s="1414"/>
      <c r="L127" s="1414"/>
      <c r="M127" s="1415"/>
      <c r="N127" s="1415"/>
      <c r="O127" s="1415"/>
      <c r="P127" s="1415"/>
      <c r="Q127" s="1415"/>
    </row>
    <row r="128" spans="2:17" ht="27" customHeight="1">
      <c r="B128" s="5"/>
      <c r="C128" s="61"/>
      <c r="D128" s="443"/>
      <c r="E128" s="442"/>
      <c r="F128" s="1414"/>
      <c r="G128" s="1415"/>
      <c r="H128" s="1415"/>
      <c r="I128" s="1415"/>
      <c r="J128" s="1416"/>
      <c r="K128" s="1414"/>
      <c r="L128" s="1414"/>
      <c r="M128" s="1415"/>
      <c r="N128" s="1415"/>
      <c r="O128" s="1415"/>
      <c r="P128" s="1415"/>
      <c r="Q128" s="1415"/>
    </row>
    <row r="129" spans="2:17" ht="27" customHeight="1">
      <c r="B129" s="5"/>
      <c r="C129" s="61"/>
      <c r="D129" s="443"/>
      <c r="E129" s="442"/>
      <c r="F129" s="1414"/>
      <c r="G129" s="1415"/>
      <c r="H129" s="1415"/>
      <c r="I129" s="1415"/>
      <c r="J129" s="1416"/>
      <c r="K129" s="1414"/>
      <c r="L129" s="1414"/>
      <c r="M129" s="1415"/>
      <c r="N129" s="1415"/>
      <c r="O129" s="1415"/>
      <c r="P129" s="1415"/>
      <c r="Q129" s="1415"/>
    </row>
    <row r="130" spans="2:17" ht="27" customHeight="1">
      <c r="B130" s="5"/>
      <c r="C130" s="61"/>
      <c r="D130" s="443"/>
      <c r="E130" s="442"/>
      <c r="F130" s="1414"/>
      <c r="G130" s="1415"/>
      <c r="H130" s="1415"/>
      <c r="I130" s="1415"/>
      <c r="J130" s="1416"/>
      <c r="K130" s="1414"/>
      <c r="L130" s="1414"/>
      <c r="M130" s="1415"/>
      <c r="N130" s="1415"/>
      <c r="O130" s="1415"/>
      <c r="P130" s="1415"/>
      <c r="Q130" s="1415"/>
    </row>
    <row r="131" spans="2:17" ht="27" customHeight="1">
      <c r="B131" s="5"/>
      <c r="C131" s="61"/>
      <c r="D131" s="443"/>
      <c r="E131" s="442"/>
      <c r="F131" s="1414"/>
      <c r="G131" s="1415"/>
      <c r="H131" s="1415"/>
      <c r="I131" s="1415"/>
      <c r="J131" s="1416"/>
      <c r="K131" s="1414"/>
      <c r="L131" s="1414"/>
      <c r="M131" s="1415"/>
      <c r="N131" s="1415"/>
      <c r="O131" s="1415"/>
      <c r="P131" s="1415"/>
      <c r="Q131" s="1415"/>
    </row>
    <row r="132" spans="2:17" ht="27" customHeight="1">
      <c r="B132" s="5"/>
      <c r="C132" s="61"/>
      <c r="D132" s="443"/>
      <c r="E132" s="442"/>
      <c r="F132" s="1414"/>
      <c r="G132" s="1415"/>
      <c r="H132" s="1415"/>
      <c r="I132" s="1415"/>
      <c r="J132" s="1416"/>
      <c r="K132" s="1414"/>
      <c r="L132" s="1414"/>
      <c r="M132" s="1415"/>
      <c r="N132" s="1415"/>
      <c r="O132" s="1415"/>
      <c r="P132" s="1415"/>
      <c r="Q132" s="1415"/>
    </row>
    <row r="133" spans="2:17" ht="27" customHeight="1">
      <c r="B133" s="5"/>
      <c r="C133" s="61"/>
      <c r="D133" s="54"/>
      <c r="E133" s="442"/>
      <c r="F133" s="1414"/>
      <c r="G133" s="1415"/>
      <c r="H133" s="1415"/>
      <c r="I133" s="1415"/>
      <c r="J133" s="1416"/>
      <c r="K133" s="1414"/>
      <c r="L133" s="1414"/>
      <c r="M133" s="1415"/>
      <c r="N133" s="1415"/>
      <c r="O133" s="1415"/>
      <c r="P133" s="1415"/>
      <c r="Q133" s="1415"/>
    </row>
    <row r="134" spans="2:17" ht="27" customHeight="1">
      <c r="B134" s="5"/>
      <c r="C134" s="61"/>
      <c r="D134" s="54"/>
      <c r="E134" s="442"/>
      <c r="F134" s="1414"/>
      <c r="G134" s="1415"/>
      <c r="H134" s="1415"/>
      <c r="I134" s="1415"/>
      <c r="J134" s="1416"/>
      <c r="K134" s="1414"/>
      <c r="L134" s="1414"/>
      <c r="M134" s="1415"/>
      <c r="N134" s="1415"/>
      <c r="O134" s="1415"/>
      <c r="P134" s="1415"/>
      <c r="Q134" s="1415"/>
    </row>
    <row r="135" spans="2:17" ht="27" customHeight="1">
      <c r="B135" s="5"/>
      <c r="C135" s="61"/>
      <c r="D135" s="54"/>
      <c r="E135" s="442"/>
      <c r="F135" s="1414"/>
      <c r="G135" s="1415"/>
      <c r="H135" s="1415"/>
      <c r="I135" s="1415"/>
      <c r="J135" s="1416"/>
      <c r="K135" s="1414"/>
      <c r="L135" s="1414"/>
      <c r="M135" s="1415"/>
      <c r="N135" s="1415"/>
      <c r="O135" s="1415"/>
      <c r="P135" s="1415"/>
      <c r="Q135" s="1415"/>
    </row>
    <row r="136" spans="2:17" ht="27" customHeight="1">
      <c r="B136" s="5"/>
      <c r="C136" s="61"/>
      <c r="D136" s="54"/>
      <c r="E136" s="442"/>
      <c r="F136" s="1414"/>
      <c r="G136" s="1415"/>
      <c r="H136" s="1415"/>
      <c r="I136" s="1415"/>
      <c r="J136" s="1416"/>
      <c r="K136" s="1414"/>
      <c r="L136" s="1414"/>
      <c r="M136" s="1415"/>
      <c r="N136" s="1415"/>
      <c r="O136" s="1415"/>
      <c r="P136" s="1415"/>
      <c r="Q136" s="1415"/>
    </row>
    <row r="137" spans="2:17" ht="27" customHeight="1">
      <c r="B137" s="5"/>
      <c r="C137" s="61"/>
      <c r="D137" s="54"/>
      <c r="E137" s="442"/>
      <c r="F137" s="1414"/>
      <c r="G137" s="1415"/>
      <c r="H137" s="1415"/>
      <c r="I137" s="1415"/>
      <c r="J137" s="1416"/>
      <c r="K137" s="1414"/>
      <c r="L137" s="1414"/>
      <c r="M137" s="1415"/>
      <c r="N137" s="1415"/>
      <c r="O137" s="1415"/>
      <c r="P137" s="1415"/>
      <c r="Q137" s="1415"/>
    </row>
    <row r="138" spans="2:17" ht="27" customHeight="1">
      <c r="B138" s="5"/>
      <c r="C138" s="61"/>
      <c r="D138" s="54"/>
      <c r="E138" s="442"/>
      <c r="F138" s="1414"/>
      <c r="G138" s="1415"/>
      <c r="H138" s="1415"/>
      <c r="I138" s="1415"/>
      <c r="J138" s="1416"/>
      <c r="K138" s="1414"/>
      <c r="L138" s="1414"/>
      <c r="M138" s="1415"/>
      <c r="N138" s="1415"/>
      <c r="O138" s="1415"/>
      <c r="P138" s="1415"/>
      <c r="Q138" s="1415"/>
    </row>
    <row r="139" spans="2:17" ht="27" customHeight="1">
      <c r="B139" s="5"/>
      <c r="C139" s="61"/>
      <c r="D139" s="54"/>
      <c r="E139" s="442"/>
      <c r="F139" s="1414"/>
      <c r="G139" s="1415"/>
      <c r="H139" s="1415"/>
      <c r="I139" s="1415"/>
      <c r="J139" s="1416"/>
      <c r="K139" s="1414"/>
      <c r="L139" s="1414"/>
      <c r="M139" s="1415"/>
      <c r="N139" s="1415"/>
      <c r="O139" s="1415"/>
      <c r="P139" s="1415"/>
      <c r="Q139" s="1415"/>
    </row>
    <row r="140" spans="2:17" ht="27" customHeight="1">
      <c r="B140" s="5"/>
      <c r="C140" s="61"/>
      <c r="D140" s="54"/>
      <c r="E140" s="442"/>
      <c r="F140" s="1414"/>
      <c r="G140" s="1415"/>
      <c r="H140" s="1415"/>
      <c r="I140" s="1415"/>
      <c r="J140" s="1416"/>
      <c r="K140" s="1414"/>
      <c r="L140" s="1414"/>
      <c r="M140" s="1415"/>
      <c r="N140" s="1415"/>
      <c r="O140" s="1415"/>
      <c r="P140" s="1415"/>
      <c r="Q140" s="1415"/>
    </row>
    <row r="141" spans="2:17" ht="27" customHeight="1">
      <c r="B141" s="5"/>
      <c r="C141" s="61"/>
      <c r="D141" s="54"/>
      <c r="E141" s="442"/>
      <c r="F141" s="1414"/>
      <c r="G141" s="1415"/>
      <c r="H141" s="1415"/>
      <c r="I141" s="1415"/>
      <c r="J141" s="1416"/>
      <c r="K141" s="1414"/>
      <c r="L141" s="1414"/>
      <c r="M141" s="1415"/>
      <c r="N141" s="1415"/>
      <c r="O141" s="1415"/>
      <c r="P141" s="1415"/>
      <c r="Q141" s="1415"/>
    </row>
    <row r="142" spans="2:17" ht="27" customHeight="1">
      <c r="B142" s="5"/>
      <c r="C142" s="61"/>
      <c r="D142" s="54"/>
      <c r="E142" s="442"/>
      <c r="F142" s="1414"/>
      <c r="G142" s="1415"/>
      <c r="H142" s="1415"/>
      <c r="I142" s="1415"/>
      <c r="J142" s="1416"/>
      <c r="K142" s="1414"/>
      <c r="L142" s="1414"/>
      <c r="M142" s="1415"/>
      <c r="N142" s="1415"/>
      <c r="O142" s="1415"/>
      <c r="P142" s="1415"/>
      <c r="Q142" s="1415"/>
    </row>
    <row r="143" spans="2:17" ht="27" customHeight="1">
      <c r="B143" s="5"/>
      <c r="C143" s="61"/>
      <c r="D143" s="54"/>
      <c r="E143" s="442"/>
      <c r="F143" s="1414"/>
      <c r="G143" s="1415"/>
      <c r="H143" s="1415"/>
      <c r="I143" s="1415"/>
      <c r="J143" s="1416"/>
      <c r="K143" s="1414"/>
      <c r="L143" s="1414"/>
      <c r="M143" s="1415"/>
      <c r="N143" s="1415"/>
      <c r="O143" s="1415"/>
      <c r="P143" s="1415"/>
      <c r="Q143" s="1415"/>
    </row>
    <row r="144" spans="2:17" ht="27" customHeight="1">
      <c r="B144" s="5"/>
      <c r="C144" s="61"/>
      <c r="D144" s="54"/>
      <c r="E144" s="442"/>
      <c r="F144" s="1414"/>
      <c r="G144" s="1415"/>
      <c r="H144" s="1415"/>
      <c r="I144" s="1415"/>
      <c r="J144" s="1416"/>
      <c r="K144" s="1414"/>
      <c r="L144" s="1414"/>
      <c r="M144" s="1415"/>
      <c r="N144" s="1415"/>
      <c r="O144" s="1415"/>
      <c r="P144" s="1415"/>
      <c r="Q144" s="1415"/>
    </row>
    <row r="145" spans="2:17" ht="27" customHeight="1">
      <c r="B145" s="5"/>
      <c r="C145" s="61"/>
      <c r="D145" s="54"/>
      <c r="E145" s="442"/>
      <c r="F145" s="1414"/>
      <c r="G145" s="1415"/>
      <c r="H145" s="1415"/>
      <c r="I145" s="1415"/>
      <c r="J145" s="1416"/>
      <c r="K145" s="1414"/>
      <c r="L145" s="1414"/>
      <c r="M145" s="1415"/>
      <c r="N145" s="1415"/>
      <c r="O145" s="1415"/>
      <c r="P145" s="1415"/>
      <c r="Q145" s="1415"/>
    </row>
    <row r="146" spans="2:17" ht="27" customHeight="1">
      <c r="B146" s="5"/>
      <c r="C146" s="61"/>
      <c r="D146" s="54"/>
      <c r="E146" s="442"/>
      <c r="F146" s="1414"/>
      <c r="G146" s="1415"/>
      <c r="H146" s="1415"/>
      <c r="I146" s="1415"/>
      <c r="J146" s="1416"/>
      <c r="K146" s="1414"/>
      <c r="L146" s="1414"/>
      <c r="M146" s="1415"/>
      <c r="N146" s="1415"/>
      <c r="O146" s="1415"/>
      <c r="P146" s="1415"/>
      <c r="Q146" s="1415"/>
    </row>
    <row r="147" spans="2:17" ht="27" customHeight="1">
      <c r="B147" s="5"/>
      <c r="C147" s="61"/>
      <c r="D147" s="54"/>
      <c r="E147" s="442"/>
      <c r="F147" s="1414"/>
      <c r="G147" s="1415"/>
      <c r="H147" s="1415"/>
      <c r="I147" s="1415"/>
      <c r="J147" s="1416"/>
      <c r="K147" s="1414"/>
      <c r="L147" s="1414"/>
      <c r="M147" s="1415"/>
      <c r="N147" s="1415"/>
      <c r="O147" s="1415"/>
      <c r="P147" s="1415"/>
      <c r="Q147" s="1415"/>
    </row>
    <row r="148" spans="2:17" ht="27" customHeight="1">
      <c r="B148" s="5"/>
      <c r="C148" s="61"/>
      <c r="D148" s="54"/>
      <c r="E148" s="442"/>
      <c r="F148" s="1414"/>
      <c r="G148" s="1415"/>
      <c r="H148" s="1415"/>
      <c r="I148" s="1415"/>
      <c r="J148" s="1416"/>
      <c r="K148" s="1414"/>
      <c r="L148" s="1414"/>
      <c r="M148" s="1415"/>
      <c r="N148" s="1415"/>
      <c r="O148" s="1415"/>
      <c r="P148" s="1415"/>
      <c r="Q148" s="1415"/>
    </row>
  </sheetData>
  <mergeCells count="109">
    <mergeCell ref="F141:J141"/>
    <mergeCell ref="K141:Q141"/>
    <mergeCell ref="F142:J142"/>
    <mergeCell ref="K142:Q142"/>
    <mergeCell ref="F143:J143"/>
    <mergeCell ref="K143:Q143"/>
    <mergeCell ref="F138:J138"/>
    <mergeCell ref="K138:Q138"/>
    <mergeCell ref="F139:J139"/>
    <mergeCell ref="K139:Q139"/>
    <mergeCell ref="F140:J140"/>
    <mergeCell ref="K140:Q140"/>
    <mergeCell ref="F147:J147"/>
    <mergeCell ref="K147:Q147"/>
    <mergeCell ref="F148:J148"/>
    <mergeCell ref="K148:Q148"/>
    <mergeCell ref="F144:J144"/>
    <mergeCell ref="K144:Q144"/>
    <mergeCell ref="F145:J145"/>
    <mergeCell ref="K145:Q145"/>
    <mergeCell ref="F146:J146"/>
    <mergeCell ref="K146:Q146"/>
    <mergeCell ref="K135:Q135"/>
    <mergeCell ref="F136:J136"/>
    <mergeCell ref="K136:Q136"/>
    <mergeCell ref="F137:J137"/>
    <mergeCell ref="K137:Q137"/>
    <mergeCell ref="F132:J132"/>
    <mergeCell ref="K132:Q132"/>
    <mergeCell ref="F133:J133"/>
    <mergeCell ref="K133:Q133"/>
    <mergeCell ref="F134:J134"/>
    <mergeCell ref="K134:Q134"/>
    <mergeCell ref="F135:J135"/>
    <mergeCell ref="F129:J129"/>
    <mergeCell ref="K129:Q129"/>
    <mergeCell ref="F130:J130"/>
    <mergeCell ref="K130:Q130"/>
    <mergeCell ref="F131:J131"/>
    <mergeCell ref="K131:Q131"/>
    <mergeCell ref="F126:J126"/>
    <mergeCell ref="K126:Q126"/>
    <mergeCell ref="F127:J127"/>
    <mergeCell ref="K127:Q127"/>
    <mergeCell ref="F128:J128"/>
    <mergeCell ref="K128:Q128"/>
    <mergeCell ref="F123:J123"/>
    <mergeCell ref="K123:Q123"/>
    <mergeCell ref="F124:J124"/>
    <mergeCell ref="K124:Q124"/>
    <mergeCell ref="F125:J125"/>
    <mergeCell ref="K125:Q125"/>
    <mergeCell ref="F120:J120"/>
    <mergeCell ref="K120:Q120"/>
    <mergeCell ref="F121:J121"/>
    <mergeCell ref="K121:Q121"/>
    <mergeCell ref="F122:J122"/>
    <mergeCell ref="K122:Q122"/>
    <mergeCell ref="F117:J117"/>
    <mergeCell ref="K117:Q117"/>
    <mergeCell ref="F118:J118"/>
    <mergeCell ref="K118:Q118"/>
    <mergeCell ref="F119:J119"/>
    <mergeCell ref="K119:Q119"/>
    <mergeCell ref="F114:J114"/>
    <mergeCell ref="K114:Q114"/>
    <mergeCell ref="F115:J115"/>
    <mergeCell ref="K115:Q115"/>
    <mergeCell ref="F116:J116"/>
    <mergeCell ref="K116:Q116"/>
    <mergeCell ref="F112:J112"/>
    <mergeCell ref="K112:Q112"/>
    <mergeCell ref="F113:J113"/>
    <mergeCell ref="K113:Q113"/>
    <mergeCell ref="F108:J108"/>
    <mergeCell ref="K108:Q108"/>
    <mergeCell ref="F109:J109"/>
    <mergeCell ref="K109:Q109"/>
    <mergeCell ref="F110:J110"/>
    <mergeCell ref="K110:Q110"/>
    <mergeCell ref="F107:J107"/>
    <mergeCell ref="K107:Q107"/>
    <mergeCell ref="F102:J102"/>
    <mergeCell ref="K102:Q102"/>
    <mergeCell ref="F103:J103"/>
    <mergeCell ref="K103:Q103"/>
    <mergeCell ref="F104:J104"/>
    <mergeCell ref="K104:Q104"/>
    <mergeCell ref="F111:J111"/>
    <mergeCell ref="K111:Q111"/>
    <mergeCell ref="F101:J101"/>
    <mergeCell ref="K101:Q101"/>
    <mergeCell ref="F97:J97"/>
    <mergeCell ref="K97:Q97"/>
    <mergeCell ref="F98:J98"/>
    <mergeCell ref="K98:Q98"/>
    <mergeCell ref="F105:J105"/>
    <mergeCell ref="K105:Q105"/>
    <mergeCell ref="F106:J106"/>
    <mergeCell ref="K106:Q106"/>
    <mergeCell ref="C11:D11"/>
    <mergeCell ref="C12:D12"/>
    <mergeCell ref="C13:D13"/>
    <mergeCell ref="C14:D14"/>
    <mergeCell ref="C15:D15"/>
    <mergeCell ref="F99:J99"/>
    <mergeCell ref="K99:Q99"/>
    <mergeCell ref="F100:J100"/>
    <mergeCell ref="K100:Q100"/>
  </mergeCells>
  <phoneticPr fontId="1" type="noConversion"/>
  <pageMargins left="0.2" right="0.2" top="0.25" bottom="0.25" header="0.3" footer="0.3"/>
  <pageSetup paperSize="5" scale="97"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8D223-66CB-45C5-8F97-988B72B765E3}">
  <sheetPr codeName="Sheet11"/>
  <dimension ref="A1:Q28"/>
  <sheetViews>
    <sheetView workbookViewId="0">
      <selection activeCell="J7" sqref="J7"/>
    </sheetView>
  </sheetViews>
  <sheetFormatPr defaultRowHeight="12.75"/>
  <cols>
    <col min="1" max="1" width="9" style="2" customWidth="1"/>
    <col min="2" max="3" width="10.42578125" style="2" customWidth="1"/>
    <col min="4" max="4" width="30" style="2" customWidth="1"/>
    <col min="5" max="5" width="12.42578125" style="2" customWidth="1"/>
    <col min="6" max="6" width="28.7109375" style="2" customWidth="1"/>
    <col min="7" max="8" width="9.28515625" style="2" customWidth="1"/>
    <col min="9" max="9" width="11.5703125" style="2" customWidth="1"/>
    <col min="10" max="10" width="71.85546875" style="2" customWidth="1"/>
  </cols>
  <sheetData>
    <row r="1" spans="1:17" ht="39" customHeight="1" thickBot="1">
      <c r="A1" s="810" t="s">
        <v>7481</v>
      </c>
      <c r="B1" s="811"/>
      <c r="C1" s="811"/>
      <c r="D1" s="811"/>
      <c r="E1" s="811"/>
      <c r="F1" s="811"/>
      <c r="G1" s="811"/>
      <c r="H1" s="811"/>
      <c r="I1" s="811"/>
      <c r="J1" s="811"/>
    </row>
    <row r="2" spans="1:17" ht="25.5">
      <c r="A2" s="812" t="s">
        <v>7259</v>
      </c>
      <c r="B2" s="813" t="s">
        <v>7247</v>
      </c>
      <c r="C2" s="813" t="s">
        <v>7248</v>
      </c>
      <c r="D2" s="814" t="s">
        <v>6783</v>
      </c>
      <c r="E2" s="815" t="s">
        <v>6791</v>
      </c>
      <c r="F2" s="1757" t="s">
        <v>6784</v>
      </c>
      <c r="G2" s="1758"/>
      <c r="H2" s="1758"/>
      <c r="I2" s="1758"/>
      <c r="J2" s="816" t="s">
        <v>6785</v>
      </c>
    </row>
    <row r="3" spans="1:17" ht="39" customHeight="1">
      <c r="A3" s="817" t="s">
        <v>6865</v>
      </c>
      <c r="B3" s="991" t="s">
        <v>7320</v>
      </c>
      <c r="C3" s="992" t="s">
        <v>7321</v>
      </c>
      <c r="D3" s="991" t="s">
        <v>7322</v>
      </c>
      <c r="E3" s="993" t="s">
        <v>7253</v>
      </c>
      <c r="F3" s="1756" t="s">
        <v>7325</v>
      </c>
      <c r="G3" s="1756"/>
      <c r="H3" s="1756"/>
      <c r="I3" s="1756"/>
      <c r="J3" s="818" t="s">
        <v>7260</v>
      </c>
      <c r="K3" s="744"/>
      <c r="L3" s="740"/>
      <c r="M3" s="740"/>
      <c r="N3" s="740"/>
      <c r="O3" s="740"/>
      <c r="P3" s="740"/>
      <c r="Q3" s="740"/>
    </row>
    <row r="4" spans="1:17" ht="36.75" customHeight="1">
      <c r="A4" s="817" t="s">
        <v>7321</v>
      </c>
      <c r="B4" s="991" t="s">
        <v>7253</v>
      </c>
      <c r="C4" s="992" t="s">
        <v>7321</v>
      </c>
      <c r="D4" s="991" t="s">
        <v>7323</v>
      </c>
      <c r="E4" s="993" t="s">
        <v>7253</v>
      </c>
      <c r="F4" s="1756" t="s">
        <v>7324</v>
      </c>
      <c r="G4" s="1756"/>
      <c r="H4" s="1756"/>
      <c r="I4" s="1756"/>
      <c r="J4" s="818" t="s">
        <v>7260</v>
      </c>
      <c r="K4" s="744"/>
      <c r="L4" s="740"/>
      <c r="M4" s="740"/>
      <c r="N4" s="740"/>
      <c r="O4" s="740"/>
      <c r="P4" s="740"/>
      <c r="Q4" s="740"/>
    </row>
    <row r="5" spans="1:17" ht="41.25" customHeight="1">
      <c r="A5" s="817" t="s">
        <v>7246</v>
      </c>
      <c r="B5" s="991" t="s">
        <v>7250</v>
      </c>
      <c r="C5" s="992" t="s">
        <v>7250</v>
      </c>
      <c r="D5" s="991" t="s">
        <v>7251</v>
      </c>
      <c r="E5" s="993" t="s">
        <v>7250</v>
      </c>
      <c r="F5" s="1756" t="s">
        <v>7476</v>
      </c>
      <c r="G5" s="1756"/>
      <c r="H5" s="1756"/>
      <c r="I5" s="1756"/>
      <c r="J5" s="818" t="s">
        <v>7260</v>
      </c>
    </row>
    <row r="6" spans="1:17" ht="41.25" customHeight="1">
      <c r="A6" s="817" t="s">
        <v>7246</v>
      </c>
      <c r="B6" s="991" t="s">
        <v>7253</v>
      </c>
      <c r="C6" s="992" t="s">
        <v>7254</v>
      </c>
      <c r="D6" s="991" t="s">
        <v>7242</v>
      </c>
      <c r="E6" s="993" t="s">
        <v>6790</v>
      </c>
      <c r="F6" s="1756" t="s">
        <v>7255</v>
      </c>
      <c r="G6" s="1756"/>
      <c r="H6" s="1756"/>
      <c r="I6" s="1756"/>
      <c r="J6" s="818" t="s">
        <v>7256</v>
      </c>
    </row>
    <row r="7" spans="1:17" ht="41.25" customHeight="1">
      <c r="A7" s="817" t="s">
        <v>7252</v>
      </c>
      <c r="B7" s="991" t="s">
        <v>6768</v>
      </c>
      <c r="C7" s="992" t="s">
        <v>7249</v>
      </c>
      <c r="D7" s="991" t="s">
        <v>6826</v>
      </c>
      <c r="E7" s="993" t="s">
        <v>6789</v>
      </c>
      <c r="F7" s="1756" t="s">
        <v>7261</v>
      </c>
      <c r="G7" s="1756"/>
      <c r="H7" s="1756"/>
      <c r="I7" s="1756"/>
      <c r="J7" s="818" t="s">
        <v>7260</v>
      </c>
    </row>
    <row r="8" spans="1:17" ht="41.25" customHeight="1">
      <c r="A8" s="817" t="s">
        <v>7252</v>
      </c>
      <c r="B8" s="991" t="s">
        <v>6779</v>
      </c>
      <c r="C8" s="992" t="s">
        <v>415</v>
      </c>
      <c r="D8" s="991" t="s">
        <v>6821</v>
      </c>
      <c r="E8" s="993" t="s">
        <v>6790</v>
      </c>
      <c r="F8" s="1756" t="s">
        <v>7262</v>
      </c>
      <c r="G8" s="1756"/>
      <c r="H8" s="1756"/>
      <c r="I8" s="1756"/>
      <c r="J8" s="818" t="s">
        <v>7263</v>
      </c>
    </row>
    <row r="9" spans="1:17" ht="48" customHeight="1">
      <c r="A9" s="817" t="s">
        <v>7246</v>
      </c>
      <c r="B9" s="991" t="s">
        <v>7253</v>
      </c>
      <c r="C9" s="992" t="s">
        <v>7254</v>
      </c>
      <c r="D9" s="991" t="s">
        <v>7242</v>
      </c>
      <c r="E9" s="993" t="s">
        <v>6790</v>
      </c>
      <c r="F9" s="1756" t="s">
        <v>7474</v>
      </c>
      <c r="G9" s="1756"/>
      <c r="H9" s="1756"/>
      <c r="I9" s="1756"/>
      <c r="J9" s="818" t="s">
        <v>7475</v>
      </c>
    </row>
    <row r="10" spans="1:17" ht="41.25" customHeight="1">
      <c r="A10" s="817" t="s">
        <v>7265</v>
      </c>
      <c r="B10" s="991" t="s">
        <v>7253</v>
      </c>
      <c r="C10" s="991" t="s">
        <v>7264</v>
      </c>
      <c r="D10" s="991" t="s">
        <v>7003</v>
      </c>
      <c r="E10" s="993" t="s">
        <v>7477</v>
      </c>
      <c r="F10" s="1756" t="s">
        <v>7473</v>
      </c>
      <c r="G10" s="1756"/>
      <c r="H10" s="1756"/>
      <c r="I10" s="1756"/>
      <c r="J10" s="818" t="s">
        <v>7260</v>
      </c>
    </row>
    <row r="11" spans="1:17" ht="41.25" customHeight="1">
      <c r="A11" s="817" t="s">
        <v>7257</v>
      </c>
      <c r="B11" s="991" t="s">
        <v>7266</v>
      </c>
      <c r="C11" s="992" t="s">
        <v>7258</v>
      </c>
      <c r="D11" s="991" t="s">
        <v>7269</v>
      </c>
      <c r="E11" s="993" t="s">
        <v>7310</v>
      </c>
      <c r="F11" s="1756" t="s">
        <v>7472</v>
      </c>
      <c r="G11" s="1756"/>
      <c r="H11" s="1756"/>
      <c r="I11" s="1756"/>
      <c r="J11" s="818" t="s">
        <v>7260</v>
      </c>
    </row>
    <row r="12" spans="1:17" ht="41.25" customHeight="1">
      <c r="A12" s="817" t="s">
        <v>7257</v>
      </c>
      <c r="B12" s="991" t="s">
        <v>7270</v>
      </c>
      <c r="C12" s="992" t="s">
        <v>7267</v>
      </c>
      <c r="D12" s="991" t="s">
        <v>7268</v>
      </c>
      <c r="E12" s="993" t="s">
        <v>7310</v>
      </c>
      <c r="F12" s="1756" t="s">
        <v>7471</v>
      </c>
      <c r="G12" s="1756"/>
      <c r="H12" s="1756"/>
      <c r="I12" s="1756"/>
      <c r="J12" s="818" t="s">
        <v>7271</v>
      </c>
    </row>
    <row r="13" spans="1:17" ht="41.25" customHeight="1">
      <c r="A13" s="817" t="s">
        <v>6787</v>
      </c>
      <c r="B13" s="991" t="s">
        <v>7272</v>
      </c>
      <c r="C13" s="992" t="s">
        <v>7253</v>
      </c>
      <c r="D13" s="991" t="s">
        <v>7273</v>
      </c>
      <c r="E13" s="993" t="s">
        <v>7478</v>
      </c>
      <c r="F13" s="1756" t="s">
        <v>7470</v>
      </c>
      <c r="G13" s="1756"/>
      <c r="H13" s="1756"/>
      <c r="I13" s="1756"/>
      <c r="J13" s="818" t="s">
        <v>7271</v>
      </c>
    </row>
    <row r="14" spans="1:17" ht="41.25" customHeight="1">
      <c r="A14" s="817" t="s">
        <v>7274</v>
      </c>
      <c r="B14" s="991" t="s">
        <v>7275</v>
      </c>
      <c r="C14" s="991" t="s">
        <v>7275</v>
      </c>
      <c r="D14" s="991" t="s">
        <v>7276</v>
      </c>
      <c r="E14" s="993" t="s">
        <v>6790</v>
      </c>
      <c r="F14" s="1756" t="s">
        <v>7468</v>
      </c>
      <c r="G14" s="1756"/>
      <c r="H14" s="1756"/>
      <c r="I14" s="1756"/>
      <c r="J14" s="818" t="s">
        <v>7469</v>
      </c>
    </row>
    <row r="15" spans="1:17" ht="41.25" customHeight="1">
      <c r="A15" s="817" t="s">
        <v>7274</v>
      </c>
      <c r="B15" s="991" t="s">
        <v>7280</v>
      </c>
      <c r="C15" s="991" t="s">
        <v>7279</v>
      </c>
      <c r="D15" s="991" t="s">
        <v>2</v>
      </c>
      <c r="E15" s="993" t="s">
        <v>7250</v>
      </c>
      <c r="F15" s="1756" t="s">
        <v>7281</v>
      </c>
      <c r="G15" s="1756"/>
      <c r="H15" s="1756"/>
      <c r="I15" s="1756"/>
      <c r="J15" s="818" t="s">
        <v>7260</v>
      </c>
    </row>
    <row r="16" spans="1:17" ht="41.25" customHeight="1">
      <c r="A16" s="817" t="s">
        <v>7274</v>
      </c>
      <c r="B16" s="991" t="s">
        <v>7277</v>
      </c>
      <c r="C16" s="991" t="s">
        <v>7275</v>
      </c>
      <c r="D16" s="991" t="s">
        <v>7278</v>
      </c>
      <c r="E16" s="993" t="s">
        <v>6790</v>
      </c>
      <c r="F16" s="1756" t="s">
        <v>7282</v>
      </c>
      <c r="G16" s="1756"/>
      <c r="H16" s="1756"/>
      <c r="I16" s="1756"/>
      <c r="J16" s="818" t="s">
        <v>7260</v>
      </c>
    </row>
    <row r="17" spans="1:10" ht="41.25" customHeight="1">
      <c r="A17" s="817" t="s">
        <v>7285</v>
      </c>
      <c r="B17" s="991" t="s">
        <v>7564</v>
      </c>
      <c r="C17" s="992"/>
      <c r="D17" s="991" t="s">
        <v>7565</v>
      </c>
      <c r="E17" s="993" t="s">
        <v>7566</v>
      </c>
      <c r="F17" s="1756" t="s">
        <v>7567</v>
      </c>
      <c r="G17" s="1756"/>
      <c r="H17" s="1756"/>
      <c r="I17" s="1756"/>
      <c r="J17" s="818" t="s">
        <v>7568</v>
      </c>
    </row>
    <row r="18" spans="1:10" ht="41.25" customHeight="1">
      <c r="A18" s="817" t="s">
        <v>7285</v>
      </c>
      <c r="B18" s="991" t="s">
        <v>7283</v>
      </c>
      <c r="C18" s="992" t="s">
        <v>7284</v>
      </c>
      <c r="D18" s="991" t="s">
        <v>7286</v>
      </c>
      <c r="E18" s="993" t="s">
        <v>6830</v>
      </c>
      <c r="F18" s="1756" t="s">
        <v>7291</v>
      </c>
      <c r="G18" s="1756"/>
      <c r="H18" s="1756"/>
      <c r="I18" s="1756"/>
      <c r="J18" s="818" t="s">
        <v>7287</v>
      </c>
    </row>
    <row r="19" spans="1:10" ht="41.25" customHeight="1">
      <c r="A19" s="817" t="s">
        <v>7285</v>
      </c>
      <c r="B19" s="991" t="s">
        <v>7293</v>
      </c>
      <c r="C19" s="992" t="s">
        <v>7294</v>
      </c>
      <c r="D19" s="991" t="s">
        <v>7292</v>
      </c>
      <c r="E19" s="993" t="s">
        <v>6800</v>
      </c>
      <c r="F19" s="1756" t="s">
        <v>7308</v>
      </c>
      <c r="G19" s="1756"/>
      <c r="H19" s="1756"/>
      <c r="I19" s="1756"/>
      <c r="J19" s="818" t="s">
        <v>7298</v>
      </c>
    </row>
    <row r="20" spans="1:10" ht="41.25" customHeight="1">
      <c r="A20" s="817" t="s">
        <v>7285</v>
      </c>
      <c r="B20" s="991" t="s">
        <v>7288</v>
      </c>
      <c r="C20" s="992" t="s">
        <v>7289</v>
      </c>
      <c r="D20" s="991" t="s">
        <v>7290</v>
      </c>
      <c r="E20" s="993" t="s">
        <v>6830</v>
      </c>
      <c r="F20" s="1756" t="s">
        <v>7291</v>
      </c>
      <c r="G20" s="1756"/>
      <c r="H20" s="1756"/>
      <c r="I20" s="1756"/>
      <c r="J20" s="818" t="s">
        <v>7287</v>
      </c>
    </row>
    <row r="21" spans="1:10" ht="41.25" customHeight="1">
      <c r="A21" s="817" t="s">
        <v>7285</v>
      </c>
      <c r="B21" s="991" t="s">
        <v>7295</v>
      </c>
      <c r="C21" s="992" t="s">
        <v>7296</v>
      </c>
      <c r="D21" s="991" t="s">
        <v>7297</v>
      </c>
      <c r="E21" s="993" t="s">
        <v>6800</v>
      </c>
      <c r="F21" s="1756" t="s">
        <v>7463</v>
      </c>
      <c r="G21" s="1756"/>
      <c r="H21" s="1756"/>
      <c r="I21" s="1756"/>
      <c r="J21" s="818" t="s">
        <v>7299</v>
      </c>
    </row>
    <row r="22" spans="1:10" ht="41.25" customHeight="1">
      <c r="A22" s="817" t="s">
        <v>7300</v>
      </c>
      <c r="B22" s="991" t="s">
        <v>7253</v>
      </c>
      <c r="C22" s="992" t="s">
        <v>416</v>
      </c>
      <c r="D22" s="991" t="s">
        <v>7304</v>
      </c>
      <c r="E22" s="993" t="s">
        <v>6790</v>
      </c>
      <c r="F22" s="1756" t="s">
        <v>7465</v>
      </c>
      <c r="G22" s="1756"/>
      <c r="H22" s="1756"/>
      <c r="I22" s="1756"/>
      <c r="J22" s="818" t="s">
        <v>7466</v>
      </c>
    </row>
    <row r="23" spans="1:10" ht="75.75" customHeight="1">
      <c r="A23" s="817" t="s">
        <v>7300</v>
      </c>
      <c r="B23" s="991" t="s">
        <v>7301</v>
      </c>
      <c r="C23" s="992" t="s">
        <v>7302</v>
      </c>
      <c r="D23" s="991" t="s">
        <v>7303</v>
      </c>
      <c r="E23" s="993" t="s">
        <v>6800</v>
      </c>
      <c r="F23" s="1756" t="s">
        <v>7464</v>
      </c>
      <c r="G23" s="1756"/>
      <c r="H23" s="1756"/>
      <c r="I23" s="1756"/>
      <c r="J23" s="818" t="s">
        <v>7299</v>
      </c>
    </row>
    <row r="24" spans="1:10" ht="85.5" customHeight="1">
      <c r="A24" s="817" t="s">
        <v>7305</v>
      </c>
      <c r="B24" s="991" t="s">
        <v>7253</v>
      </c>
      <c r="C24" s="991" t="s">
        <v>7306</v>
      </c>
      <c r="D24" s="991" t="s">
        <v>7307</v>
      </c>
      <c r="E24" s="993" t="s">
        <v>6800</v>
      </c>
      <c r="F24" s="1756" t="s">
        <v>7479</v>
      </c>
      <c r="G24" s="1756"/>
      <c r="H24" s="1756"/>
      <c r="I24" s="1756"/>
      <c r="J24" s="818" t="s">
        <v>7480</v>
      </c>
    </row>
    <row r="25" spans="1:10" ht="45.75" customHeight="1">
      <c r="A25" s="817" t="s">
        <v>7314</v>
      </c>
      <c r="B25" s="991" t="s">
        <v>7253</v>
      </c>
      <c r="C25" s="992" t="s">
        <v>342</v>
      </c>
      <c r="D25" s="991" t="s">
        <v>7312</v>
      </c>
      <c r="E25" s="993" t="s">
        <v>6830</v>
      </c>
      <c r="F25" s="1756" t="s">
        <v>7313</v>
      </c>
      <c r="G25" s="1756"/>
      <c r="H25" s="1756"/>
      <c r="I25" s="1756"/>
      <c r="J25" s="818" t="s">
        <v>7260</v>
      </c>
    </row>
    <row r="26" spans="1:10" ht="41.25" customHeight="1">
      <c r="A26" s="817" t="s">
        <v>7315</v>
      </c>
      <c r="B26" s="991" t="s">
        <v>7253</v>
      </c>
      <c r="C26" s="992" t="s">
        <v>7316</v>
      </c>
      <c r="D26" s="991" t="s">
        <v>7317</v>
      </c>
      <c r="E26" s="993" t="s">
        <v>6790</v>
      </c>
      <c r="F26" s="1756" t="s">
        <v>7318</v>
      </c>
      <c r="G26" s="1756"/>
      <c r="H26" s="1756"/>
      <c r="I26" s="1756"/>
      <c r="J26" s="818" t="s">
        <v>7319</v>
      </c>
    </row>
    <row r="27" spans="1:10" ht="41.25" customHeight="1">
      <c r="A27" s="817" t="s">
        <v>6822</v>
      </c>
      <c r="B27" s="991" t="s">
        <v>7250</v>
      </c>
      <c r="C27" s="991" t="s">
        <v>7253</v>
      </c>
      <c r="D27" s="991" t="s">
        <v>7309</v>
      </c>
      <c r="E27" s="993" t="s">
        <v>7310</v>
      </c>
      <c r="F27" s="1756" t="s">
        <v>7467</v>
      </c>
      <c r="G27" s="1756"/>
      <c r="H27" s="1756"/>
      <c r="I27" s="1756"/>
      <c r="J27" s="818" t="s">
        <v>7311</v>
      </c>
    </row>
    <row r="28" spans="1:10" ht="46.5" customHeight="1" thickBot="1">
      <c r="A28" s="819" t="s">
        <v>7462</v>
      </c>
      <c r="B28" s="820" t="s">
        <v>7253</v>
      </c>
      <c r="C28" s="820" t="s">
        <v>7253</v>
      </c>
      <c r="D28" s="820" t="s">
        <v>7569</v>
      </c>
      <c r="E28" s="821" t="s">
        <v>7310</v>
      </c>
      <c r="F28" s="1759" t="s">
        <v>7570</v>
      </c>
      <c r="G28" s="1759"/>
      <c r="H28" s="1759"/>
      <c r="I28" s="1759"/>
      <c r="J28" s="822" t="s">
        <v>7571</v>
      </c>
    </row>
  </sheetData>
  <mergeCells count="27">
    <mergeCell ref="F27:I27"/>
    <mergeCell ref="F28:I28"/>
    <mergeCell ref="F22:I22"/>
    <mergeCell ref="F23:I23"/>
    <mergeCell ref="F24:I24"/>
    <mergeCell ref="F25:I25"/>
    <mergeCell ref="F26:I26"/>
    <mergeCell ref="F21:I21"/>
    <mergeCell ref="F10:I10"/>
    <mergeCell ref="F11:I11"/>
    <mergeCell ref="F12:I12"/>
    <mergeCell ref="F13:I13"/>
    <mergeCell ref="F14:I14"/>
    <mergeCell ref="F15:I15"/>
    <mergeCell ref="F16:I16"/>
    <mergeCell ref="F17:I17"/>
    <mergeCell ref="F18:I18"/>
    <mergeCell ref="F19:I19"/>
    <mergeCell ref="F20:I20"/>
    <mergeCell ref="F9:I9"/>
    <mergeCell ref="F3:I3"/>
    <mergeCell ref="F4:I4"/>
    <mergeCell ref="F2:I2"/>
    <mergeCell ref="F5:I5"/>
    <mergeCell ref="F6:I6"/>
    <mergeCell ref="F7:I7"/>
    <mergeCell ref="F8:I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8C38E-4D3F-43D1-BD6D-2BBB69704089}">
  <sheetPr codeName="Sheet12"/>
  <dimension ref="A1:Q21"/>
  <sheetViews>
    <sheetView workbookViewId="0"/>
  </sheetViews>
  <sheetFormatPr defaultRowHeight="12.75"/>
  <cols>
    <col min="4" max="4" width="28.7109375" customWidth="1"/>
    <col min="5" max="5" width="12.42578125" customWidth="1"/>
    <col min="9" max="9" width="32.5703125" customWidth="1"/>
    <col min="10" max="10" width="89.140625" customWidth="1"/>
  </cols>
  <sheetData>
    <row r="1" spans="1:17" ht="18.75" thickBot="1">
      <c r="A1" s="7"/>
      <c r="B1" s="16" t="s">
        <v>6869</v>
      </c>
      <c r="C1" s="7"/>
      <c r="D1" s="7"/>
      <c r="E1" s="7"/>
      <c r="F1" s="7"/>
      <c r="G1" s="7"/>
      <c r="H1" s="7"/>
      <c r="I1" s="7"/>
      <c r="J1" s="7"/>
      <c r="K1" s="257"/>
      <c r="L1" s="7"/>
      <c r="M1" s="7"/>
      <c r="N1" s="7"/>
      <c r="O1" s="7"/>
      <c r="P1" s="7"/>
      <c r="Q1" s="7"/>
    </row>
    <row r="2" spans="1:17" ht="13.5" thickBot="1">
      <c r="A2" s="444"/>
      <c r="B2" s="445" t="s">
        <v>6782</v>
      </c>
      <c r="C2" s="446" t="s">
        <v>6788</v>
      </c>
      <c r="D2" s="446" t="s">
        <v>6783</v>
      </c>
      <c r="E2" s="447" t="s">
        <v>6791</v>
      </c>
      <c r="F2" s="1768" t="s">
        <v>6784</v>
      </c>
      <c r="G2" s="1769"/>
      <c r="H2" s="1769"/>
      <c r="I2" s="1770"/>
      <c r="J2" s="682" t="s">
        <v>6785</v>
      </c>
      <c r="K2" s="743"/>
      <c r="L2" s="129"/>
      <c r="M2" s="129"/>
      <c r="N2" s="129"/>
      <c r="O2" s="129"/>
      <c r="P2" s="129"/>
      <c r="Q2" s="129"/>
    </row>
    <row r="3" spans="1:17" ht="13.5" thickBot="1">
      <c r="A3" s="444"/>
      <c r="B3" s="455" t="s">
        <v>6865</v>
      </c>
      <c r="C3" s="456" t="s">
        <v>6866</v>
      </c>
      <c r="D3" s="471" t="s">
        <v>6867</v>
      </c>
      <c r="E3" s="472" t="s">
        <v>6855</v>
      </c>
      <c r="F3" s="1771" t="s">
        <v>6868</v>
      </c>
      <c r="G3" s="1772"/>
      <c r="H3" s="1772"/>
      <c r="I3" s="1773"/>
      <c r="J3" s="681"/>
      <c r="K3" s="744"/>
      <c r="L3" s="740"/>
      <c r="M3" s="740"/>
      <c r="N3" s="740"/>
      <c r="O3" s="740"/>
      <c r="P3" s="740"/>
      <c r="Q3" s="740"/>
    </row>
    <row r="4" spans="1:17" ht="45" customHeight="1">
      <c r="A4" s="1760" t="s">
        <v>6838</v>
      </c>
      <c r="B4" s="448" t="s">
        <v>6787</v>
      </c>
      <c r="C4" s="449" t="s">
        <v>6768</v>
      </c>
      <c r="D4" s="467" t="s">
        <v>6826</v>
      </c>
      <c r="E4" s="468" t="s">
        <v>6789</v>
      </c>
      <c r="F4" s="1762" t="s">
        <v>6827</v>
      </c>
      <c r="G4" s="1763"/>
      <c r="H4" s="1763"/>
      <c r="I4" s="1763"/>
      <c r="J4" s="739" t="s">
        <v>6828</v>
      </c>
      <c r="K4" s="745"/>
      <c r="L4" s="32"/>
      <c r="M4" s="32"/>
      <c r="N4" s="32"/>
      <c r="O4" s="32"/>
      <c r="P4" s="32"/>
      <c r="Q4" s="32"/>
    </row>
    <row r="5" spans="1:17" ht="45.75" customHeight="1" thickBot="1">
      <c r="A5" s="1761"/>
      <c r="B5" s="451" t="s">
        <v>6787</v>
      </c>
      <c r="C5" s="452" t="s">
        <v>6779</v>
      </c>
      <c r="D5" s="469" t="s">
        <v>6821</v>
      </c>
      <c r="E5" s="470" t="s">
        <v>6790</v>
      </c>
      <c r="F5" s="1764" t="s">
        <v>6806</v>
      </c>
      <c r="G5" s="1765"/>
      <c r="H5" s="1765"/>
      <c r="I5" s="1765"/>
      <c r="J5" s="741" t="s">
        <v>6786</v>
      </c>
      <c r="K5" s="745"/>
      <c r="L5" s="32"/>
      <c r="M5" s="32"/>
      <c r="N5" s="32"/>
      <c r="O5" s="32"/>
      <c r="P5" s="32"/>
      <c r="Q5" s="32"/>
    </row>
    <row r="6" spans="1:17" ht="45.75" customHeight="1" thickBot="1">
      <c r="A6" s="454"/>
      <c r="B6" s="455" t="s">
        <v>6793</v>
      </c>
      <c r="C6" s="456" t="s">
        <v>6780</v>
      </c>
      <c r="D6" s="471" t="s">
        <v>6781</v>
      </c>
      <c r="E6" s="472" t="s">
        <v>6790</v>
      </c>
      <c r="F6" s="1766" t="s">
        <v>6792</v>
      </c>
      <c r="G6" s="1767"/>
      <c r="H6" s="1767"/>
      <c r="I6" s="1767"/>
      <c r="J6" s="681" t="s">
        <v>6807</v>
      </c>
      <c r="K6" s="745"/>
      <c r="L6" s="32"/>
      <c r="M6" s="32"/>
      <c r="N6" s="32"/>
      <c r="O6" s="32"/>
      <c r="P6" s="32"/>
      <c r="Q6" s="32"/>
    </row>
    <row r="7" spans="1:17" ht="46.5" customHeight="1" thickBot="1">
      <c r="A7" s="458"/>
      <c r="B7" s="455" t="s">
        <v>6793</v>
      </c>
      <c r="C7" s="456" t="s">
        <v>6794</v>
      </c>
      <c r="D7" s="471" t="s">
        <v>6795</v>
      </c>
      <c r="E7" s="472" t="s">
        <v>6790</v>
      </c>
      <c r="F7" s="1766" t="s">
        <v>6796</v>
      </c>
      <c r="G7" s="1767"/>
      <c r="H7" s="1767"/>
      <c r="I7" s="1767"/>
      <c r="J7" s="681" t="s">
        <v>6797</v>
      </c>
      <c r="K7" s="745"/>
      <c r="L7" s="32"/>
      <c r="M7" s="32"/>
      <c r="N7" s="32"/>
      <c r="O7" s="32"/>
      <c r="P7" s="32"/>
      <c r="Q7" s="32"/>
    </row>
    <row r="8" spans="1:17" ht="54.75" customHeight="1" thickBot="1">
      <c r="A8" s="462"/>
      <c r="B8" s="463" t="s">
        <v>6793</v>
      </c>
      <c r="C8" s="464" t="s">
        <v>6839</v>
      </c>
      <c r="D8" s="473" t="s">
        <v>6840</v>
      </c>
      <c r="E8" s="474" t="s">
        <v>6800</v>
      </c>
      <c r="F8" s="1766" t="s">
        <v>6841</v>
      </c>
      <c r="G8" s="1767"/>
      <c r="H8" s="1767"/>
      <c r="I8" s="1767"/>
      <c r="J8" s="681" t="s">
        <v>6842</v>
      </c>
      <c r="K8" s="745"/>
      <c r="L8" s="32"/>
      <c r="M8" s="32"/>
      <c r="N8" s="32"/>
      <c r="O8" s="32"/>
      <c r="P8" s="32"/>
      <c r="Q8" s="32"/>
    </row>
    <row r="9" spans="1:17" ht="61.5" customHeight="1">
      <c r="A9" s="1760" t="s">
        <v>6831</v>
      </c>
      <c r="B9" s="448" t="s">
        <v>6798</v>
      </c>
      <c r="C9" s="449" t="s">
        <v>6799</v>
      </c>
      <c r="D9" s="467" t="s">
        <v>6816</v>
      </c>
      <c r="E9" s="468" t="s">
        <v>6800</v>
      </c>
      <c r="F9" s="1762" t="s">
        <v>6837</v>
      </c>
      <c r="G9" s="1763"/>
      <c r="H9" s="1763"/>
      <c r="I9" s="1763"/>
      <c r="J9" s="739" t="s">
        <v>6801</v>
      </c>
      <c r="K9" s="745"/>
      <c r="L9" s="32"/>
      <c r="M9" s="32"/>
      <c r="N9" s="32"/>
      <c r="O9" s="32"/>
      <c r="P9" s="32"/>
      <c r="Q9" s="32"/>
    </row>
    <row r="10" spans="1:17" ht="51" customHeight="1">
      <c r="A10" s="1774"/>
      <c r="B10" s="459" t="s">
        <v>6798</v>
      </c>
      <c r="C10" s="460" t="s">
        <v>6766</v>
      </c>
      <c r="D10" s="475" t="s">
        <v>6814</v>
      </c>
      <c r="E10" s="476" t="s">
        <v>6830</v>
      </c>
      <c r="F10" s="1775" t="s">
        <v>6836</v>
      </c>
      <c r="G10" s="1776"/>
      <c r="H10" s="1776"/>
      <c r="I10" s="1776"/>
      <c r="J10" s="742" t="s">
        <v>6803</v>
      </c>
      <c r="K10" s="745"/>
      <c r="L10" s="32"/>
      <c r="M10" s="32"/>
      <c r="N10" s="32"/>
      <c r="O10" s="32"/>
      <c r="P10" s="32"/>
      <c r="Q10" s="32"/>
    </row>
    <row r="11" spans="1:17" ht="57" customHeight="1">
      <c r="A11" s="1774"/>
      <c r="B11" s="459" t="s">
        <v>6798</v>
      </c>
      <c r="C11" s="460" t="s">
        <v>6802</v>
      </c>
      <c r="D11" s="475" t="s">
        <v>6815</v>
      </c>
      <c r="E11" s="476" t="s">
        <v>6830</v>
      </c>
      <c r="F11" s="1775" t="s">
        <v>6835</v>
      </c>
      <c r="G11" s="1776"/>
      <c r="H11" s="1776"/>
      <c r="I11" s="1776"/>
      <c r="J11" s="742" t="s">
        <v>6804</v>
      </c>
      <c r="K11" s="745"/>
      <c r="L11" s="32"/>
      <c r="M11" s="32"/>
      <c r="N11" s="32"/>
      <c r="O11" s="32"/>
      <c r="P11" s="32"/>
      <c r="Q11" s="32"/>
    </row>
    <row r="12" spans="1:17" ht="63.75" customHeight="1">
      <c r="A12" s="1774"/>
      <c r="B12" s="459" t="s">
        <v>6798</v>
      </c>
      <c r="C12" s="460" t="s">
        <v>6805</v>
      </c>
      <c r="D12" s="475" t="s">
        <v>6809</v>
      </c>
      <c r="E12" s="476" t="s">
        <v>6800</v>
      </c>
      <c r="F12" s="1775" t="s">
        <v>6834</v>
      </c>
      <c r="G12" s="1776"/>
      <c r="H12" s="1776"/>
      <c r="I12" s="1776"/>
      <c r="J12" s="742" t="s">
        <v>6808</v>
      </c>
      <c r="K12" s="745"/>
      <c r="L12" s="32"/>
      <c r="M12" s="32"/>
      <c r="N12" s="32"/>
      <c r="O12" s="32"/>
      <c r="P12" s="32"/>
      <c r="Q12" s="32"/>
    </row>
    <row r="13" spans="1:17" ht="62.25" customHeight="1">
      <c r="A13" s="1774"/>
      <c r="B13" s="459" t="s">
        <v>6798</v>
      </c>
      <c r="C13" s="460" t="s">
        <v>413</v>
      </c>
      <c r="D13" s="475" t="s">
        <v>6811</v>
      </c>
      <c r="E13" s="476" t="s">
        <v>6830</v>
      </c>
      <c r="F13" s="1775" t="s">
        <v>6833</v>
      </c>
      <c r="G13" s="1776"/>
      <c r="H13" s="1776"/>
      <c r="I13" s="1776"/>
      <c r="J13" s="742" t="s">
        <v>6812</v>
      </c>
      <c r="K13" s="745"/>
      <c r="L13" s="32"/>
      <c r="M13" s="32"/>
      <c r="N13" s="32"/>
      <c r="O13" s="32"/>
      <c r="P13" s="32"/>
      <c r="Q13" s="32"/>
    </row>
    <row r="14" spans="1:17" ht="55.5" customHeight="1" thickBot="1">
      <c r="A14" s="1761"/>
      <c r="B14" s="451" t="s">
        <v>6798</v>
      </c>
      <c r="C14" s="452" t="s">
        <v>414</v>
      </c>
      <c r="D14" s="469" t="s">
        <v>6810</v>
      </c>
      <c r="E14" s="470" t="s">
        <v>6830</v>
      </c>
      <c r="F14" s="1764" t="s">
        <v>6832</v>
      </c>
      <c r="G14" s="1765"/>
      <c r="H14" s="1765"/>
      <c r="I14" s="1765"/>
      <c r="J14" s="741" t="s">
        <v>6813</v>
      </c>
      <c r="K14" s="745"/>
      <c r="L14" s="32"/>
      <c r="M14" s="32"/>
      <c r="N14" s="32"/>
      <c r="O14" s="32"/>
      <c r="P14" s="32"/>
      <c r="Q14" s="32"/>
    </row>
    <row r="15" spans="1:17" ht="55.5" customHeight="1" thickBot="1">
      <c r="A15" s="679"/>
      <c r="B15" s="465" t="s">
        <v>6798</v>
      </c>
      <c r="C15" s="466" t="s">
        <v>6843</v>
      </c>
      <c r="D15" s="477" t="s">
        <v>6844</v>
      </c>
      <c r="E15" s="478" t="s">
        <v>6800</v>
      </c>
      <c r="F15" s="1766" t="s">
        <v>6845</v>
      </c>
      <c r="G15" s="1767"/>
      <c r="H15" s="1767"/>
      <c r="I15" s="1767"/>
      <c r="J15" s="681" t="s">
        <v>6848</v>
      </c>
      <c r="K15" s="745"/>
      <c r="L15" s="32"/>
      <c r="M15" s="32"/>
      <c r="N15" s="32"/>
      <c r="O15" s="32"/>
      <c r="P15" s="32"/>
      <c r="Q15" s="32"/>
    </row>
    <row r="16" spans="1:17" ht="51" customHeight="1" thickBot="1">
      <c r="A16" s="679"/>
      <c r="B16" s="465" t="s">
        <v>6798</v>
      </c>
      <c r="C16" s="466" t="s">
        <v>6849</v>
      </c>
      <c r="D16" s="477" t="s">
        <v>6851</v>
      </c>
      <c r="E16" s="478" t="s">
        <v>6800</v>
      </c>
      <c r="F16" s="1766" t="s">
        <v>6850</v>
      </c>
      <c r="G16" s="1767"/>
      <c r="H16" s="1767"/>
      <c r="I16" s="1767"/>
      <c r="J16" s="681" t="s">
        <v>6852</v>
      </c>
      <c r="K16" s="745"/>
      <c r="L16" s="32"/>
      <c r="M16" s="32"/>
      <c r="N16" s="32"/>
      <c r="O16" s="32"/>
      <c r="P16" s="32"/>
      <c r="Q16" s="32"/>
    </row>
    <row r="17" spans="1:17" ht="44.25" customHeight="1" thickBot="1">
      <c r="A17" s="679"/>
      <c r="B17" s="465" t="s">
        <v>6798</v>
      </c>
      <c r="C17" s="466" t="s">
        <v>6846</v>
      </c>
      <c r="D17" s="477" t="s">
        <v>6847</v>
      </c>
      <c r="E17" s="478" t="s">
        <v>6830</v>
      </c>
      <c r="F17" s="1766" t="s">
        <v>6853</v>
      </c>
      <c r="G17" s="1767"/>
      <c r="H17" s="1767"/>
      <c r="I17" s="1767"/>
      <c r="J17" s="681" t="s">
        <v>6854</v>
      </c>
      <c r="K17" s="745"/>
      <c r="L17" s="32"/>
      <c r="M17" s="32"/>
      <c r="N17" s="32"/>
      <c r="O17" s="32"/>
      <c r="P17" s="32"/>
      <c r="Q17" s="32"/>
    </row>
    <row r="18" spans="1:17" ht="48" customHeight="1">
      <c r="A18" s="1760" t="s">
        <v>6863</v>
      </c>
      <c r="B18" s="448" t="s">
        <v>6798</v>
      </c>
      <c r="C18" s="450" t="s">
        <v>6856</v>
      </c>
      <c r="D18" s="467" t="s">
        <v>6857</v>
      </c>
      <c r="E18" s="468" t="s">
        <v>6864</v>
      </c>
      <c r="F18" s="1762" t="s">
        <v>6859</v>
      </c>
      <c r="G18" s="1763"/>
      <c r="H18" s="1763"/>
      <c r="I18" s="1763"/>
      <c r="J18" s="739" t="s">
        <v>6861</v>
      </c>
      <c r="K18" s="745"/>
      <c r="L18" s="32"/>
      <c r="M18" s="32"/>
      <c r="N18" s="32"/>
      <c r="O18" s="32"/>
      <c r="P18" s="32"/>
      <c r="Q18" s="32"/>
    </row>
    <row r="19" spans="1:17" ht="43.5" customHeight="1" thickBot="1">
      <c r="A19" s="1761"/>
      <c r="B19" s="451" t="s">
        <v>6798</v>
      </c>
      <c r="C19" s="453" t="s">
        <v>412</v>
      </c>
      <c r="D19" s="469" t="s">
        <v>6858</v>
      </c>
      <c r="E19" s="470" t="s">
        <v>6864</v>
      </c>
      <c r="F19" s="1764" t="s">
        <v>6860</v>
      </c>
      <c r="G19" s="1765"/>
      <c r="H19" s="1765"/>
      <c r="I19" s="1765"/>
      <c r="J19" s="741" t="s">
        <v>6862</v>
      </c>
      <c r="K19" s="745"/>
      <c r="L19" s="32"/>
      <c r="M19" s="32"/>
      <c r="N19" s="32"/>
      <c r="O19" s="32"/>
      <c r="P19" s="32"/>
      <c r="Q19" s="32"/>
    </row>
    <row r="20" spans="1:17" ht="48" customHeight="1" thickBot="1">
      <c r="A20" s="461"/>
      <c r="B20" s="455" t="s">
        <v>6817</v>
      </c>
      <c r="C20" s="456" t="s">
        <v>6818</v>
      </c>
      <c r="D20" s="471" t="s">
        <v>6819</v>
      </c>
      <c r="E20" s="472" t="s">
        <v>6830</v>
      </c>
      <c r="F20" s="1766" t="s">
        <v>6820</v>
      </c>
      <c r="G20" s="1767"/>
      <c r="H20" s="1767"/>
      <c r="I20" s="1767"/>
      <c r="J20" s="681" t="s">
        <v>6829</v>
      </c>
      <c r="K20" s="745"/>
      <c r="L20" s="32"/>
      <c r="M20" s="32"/>
      <c r="N20" s="32"/>
      <c r="O20" s="32"/>
      <c r="P20" s="32"/>
      <c r="Q20" s="32"/>
    </row>
    <row r="21" spans="1:17" ht="39" thickBot="1">
      <c r="A21" s="461"/>
      <c r="B21" s="455" t="s">
        <v>6822</v>
      </c>
      <c r="C21" s="457" t="s">
        <v>6823</v>
      </c>
      <c r="D21" s="471" t="s">
        <v>6824</v>
      </c>
      <c r="E21" s="472" t="s">
        <v>6830</v>
      </c>
      <c r="F21" s="1766" t="s">
        <v>6825</v>
      </c>
      <c r="G21" s="1767"/>
      <c r="H21" s="1767"/>
      <c r="I21" s="1767"/>
      <c r="J21" s="681"/>
      <c r="K21" s="745"/>
      <c r="L21" s="32"/>
      <c r="M21" s="32"/>
      <c r="N21" s="32"/>
      <c r="O21" s="32"/>
      <c r="P21" s="32"/>
      <c r="Q21" s="32"/>
    </row>
  </sheetData>
  <mergeCells count="23">
    <mergeCell ref="F20:I20"/>
    <mergeCell ref="F21:I21"/>
    <mergeCell ref="F17:I17"/>
    <mergeCell ref="A18:A19"/>
    <mergeCell ref="F18:I18"/>
    <mergeCell ref="F19:I19"/>
    <mergeCell ref="F16:I16"/>
    <mergeCell ref="A9:A14"/>
    <mergeCell ref="F9:I9"/>
    <mergeCell ref="F10:I10"/>
    <mergeCell ref="F11:I11"/>
    <mergeCell ref="F12:I12"/>
    <mergeCell ref="F13:I13"/>
    <mergeCell ref="F8:I8"/>
    <mergeCell ref="F2:I2"/>
    <mergeCell ref="F3:I3"/>
    <mergeCell ref="F14:I14"/>
    <mergeCell ref="F15:I15"/>
    <mergeCell ref="A4:A5"/>
    <mergeCell ref="F4:I4"/>
    <mergeCell ref="F5:I5"/>
    <mergeCell ref="F6:I6"/>
    <mergeCell ref="F7:I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9CBB-56BD-4F4E-9054-BA94FFE8B44E}">
  <sheetPr codeName="Sheet17">
    <tabColor rgb="FFFF0000"/>
  </sheetPr>
  <dimension ref="A1:IH2"/>
  <sheetViews>
    <sheetView workbookViewId="0"/>
  </sheetViews>
  <sheetFormatPr defaultColWidth="0" defaultRowHeight="12.75" zeroHeight="1"/>
  <cols>
    <col min="1" max="3" width="9.28515625" style="96" bestFit="1" customWidth="1"/>
    <col min="4" max="4" width="9.28515625" style="96" customWidth="1"/>
    <col min="5" max="5" width="8.42578125" style="96" customWidth="1"/>
    <col min="6" max="9" width="9.28515625" style="96" bestFit="1" customWidth="1"/>
    <col min="10" max="10" width="9.140625" style="96" customWidth="1"/>
    <col min="11" max="14" width="9.28515625" style="96" bestFit="1" customWidth="1"/>
    <col min="15" max="15" width="9.140625" style="96" customWidth="1"/>
    <col min="16" max="16" width="10.140625" style="96" bestFit="1" customWidth="1"/>
    <col min="17" max="17" width="9.28515625" style="96" bestFit="1" customWidth="1"/>
    <col min="18" max="18" width="10.140625" style="96" bestFit="1" customWidth="1"/>
    <col min="19" max="19" width="10.140625" style="96" customWidth="1"/>
    <col min="20" max="20" width="10.85546875" style="96" customWidth="1"/>
    <col min="21" max="62" width="9.28515625" style="96" bestFit="1" customWidth="1"/>
    <col min="63" max="99" width="9.28515625" style="96" customWidth="1"/>
    <col min="100" max="108" width="9.28515625" style="96" bestFit="1" customWidth="1"/>
    <col min="109" max="109" width="9.28515625" style="96" customWidth="1"/>
    <col min="110" max="118" width="9.28515625" style="96" bestFit="1" customWidth="1"/>
    <col min="119" max="119" width="9.28515625" style="96" customWidth="1"/>
    <col min="120" max="122" width="9.28515625" style="96" bestFit="1" customWidth="1"/>
    <col min="123" max="130" width="9.28515625" style="96" customWidth="1"/>
    <col min="131" max="131" width="9.140625" style="96" customWidth="1"/>
    <col min="132" max="144" width="9.28515625" style="96" customWidth="1"/>
    <col min="145" max="145" width="9.140625" style="96" customWidth="1"/>
    <col min="146" max="147" width="9.28515625" style="96" customWidth="1"/>
    <col min="148" max="149" width="9.140625" style="96" customWidth="1"/>
    <col min="150" max="164" width="9.28515625" style="96" customWidth="1"/>
    <col min="165" max="235" width="9.28515625" style="96" bestFit="1" customWidth="1"/>
    <col min="236" max="242" width="9.28515625" style="96" customWidth="1"/>
    <col min="243" max="16384" width="9.140625" hidden="1"/>
  </cols>
  <sheetData>
    <row r="1" spans="1:242" ht="51">
      <c r="A1" s="1396" t="s">
        <v>6701</v>
      </c>
      <c r="B1" s="1396" t="s">
        <v>154</v>
      </c>
      <c r="C1" s="1396" t="s">
        <v>100</v>
      </c>
      <c r="D1" s="1396" t="s">
        <v>7482</v>
      </c>
      <c r="E1" s="1396" t="s">
        <v>6702</v>
      </c>
      <c r="F1" s="1396" t="s">
        <v>8079</v>
      </c>
      <c r="G1" s="1396" t="s">
        <v>8064</v>
      </c>
      <c r="H1" s="1396" t="s">
        <v>6707</v>
      </c>
      <c r="I1" s="1396" t="s">
        <v>7483</v>
      </c>
      <c r="J1" s="1396" t="s">
        <v>8078</v>
      </c>
      <c r="K1" s="1396" t="s">
        <v>7415</v>
      </c>
      <c r="L1" s="1396" t="s">
        <v>7413</v>
      </c>
      <c r="M1" s="1396" t="s">
        <v>7414</v>
      </c>
      <c r="N1" s="1396" t="s">
        <v>8080</v>
      </c>
      <c r="O1" s="1396" t="s">
        <v>7192</v>
      </c>
      <c r="P1" s="1396" t="s">
        <v>255</v>
      </c>
      <c r="Q1" s="1396" t="s">
        <v>256</v>
      </c>
      <c r="R1" s="1396" t="s">
        <v>7416</v>
      </c>
      <c r="S1" s="1396" t="s">
        <v>261</v>
      </c>
      <c r="T1" s="1396" t="s">
        <v>158</v>
      </c>
      <c r="U1" s="1396" t="s">
        <v>260</v>
      </c>
      <c r="V1" s="1396" t="s">
        <v>6709</v>
      </c>
      <c r="W1" s="1396" t="s">
        <v>6735</v>
      </c>
      <c r="X1" s="1396" t="s">
        <v>6736</v>
      </c>
      <c r="Y1" s="1396" t="s">
        <v>6737</v>
      </c>
      <c r="Z1" s="1396" t="s">
        <v>6738</v>
      </c>
      <c r="AA1" s="1396" t="s">
        <v>6710</v>
      </c>
      <c r="AB1" s="1396" t="s">
        <v>7193</v>
      </c>
      <c r="AC1" s="1396" t="s">
        <v>6711</v>
      </c>
      <c r="AD1" s="1396" t="s">
        <v>262</v>
      </c>
      <c r="AE1" s="1396" t="s">
        <v>263</v>
      </c>
      <c r="AF1" s="1396" t="s">
        <v>264</v>
      </c>
      <c r="AG1" s="1396" t="s">
        <v>292</v>
      </c>
      <c r="AH1" s="1396" t="s">
        <v>257</v>
      </c>
      <c r="AI1" s="1396" t="s">
        <v>258</v>
      </c>
      <c r="AJ1" s="1396" t="s">
        <v>259</v>
      </c>
      <c r="AK1" s="1396" t="s">
        <v>7418</v>
      </c>
      <c r="AL1" s="1396" t="s">
        <v>7420</v>
      </c>
      <c r="AM1" s="1396" t="s">
        <v>7487</v>
      </c>
      <c r="AN1" s="1396" t="s">
        <v>7200</v>
      </c>
      <c r="AO1" s="1396" t="s">
        <v>8065</v>
      </c>
      <c r="AP1" s="1396" t="s">
        <v>7194</v>
      </c>
      <c r="AQ1" s="1396" t="s">
        <v>7422</v>
      </c>
      <c r="AR1" s="1396" t="s">
        <v>7423</v>
      </c>
      <c r="AS1" s="1396" t="s">
        <v>7425</v>
      </c>
      <c r="AT1" s="1396" t="s">
        <v>7426</v>
      </c>
      <c r="AU1" s="1396" t="s">
        <v>7428</v>
      </c>
      <c r="AV1" s="1396" t="s">
        <v>7433</v>
      </c>
      <c r="AW1" s="1396" t="s">
        <v>7430</v>
      </c>
      <c r="AX1" s="1396" t="s">
        <v>7434</v>
      </c>
      <c r="AY1" s="1396" t="s">
        <v>7436</v>
      </c>
      <c r="AZ1" s="1396" t="s">
        <v>7438</v>
      </c>
      <c r="BA1" s="1396" t="s">
        <v>7440</v>
      </c>
      <c r="BB1" s="1396" t="s">
        <v>7442</v>
      </c>
      <c r="BC1" s="1396" t="s">
        <v>7444</v>
      </c>
      <c r="BD1" s="1396" t="s">
        <v>7446</v>
      </c>
      <c r="BE1" s="1396" t="s">
        <v>7448</v>
      </c>
      <c r="BF1" s="1396" t="s">
        <v>277</v>
      </c>
      <c r="BG1" s="1396" t="s">
        <v>293</v>
      </c>
      <c r="BH1" s="1396" t="s">
        <v>7450</v>
      </c>
      <c r="BI1" s="1396" t="s">
        <v>7452</v>
      </c>
      <c r="BJ1" s="1396" t="s">
        <v>7454</v>
      </c>
      <c r="BK1" s="1396" t="s">
        <v>7417</v>
      </c>
      <c r="BL1" s="1396" t="s">
        <v>7419</v>
      </c>
      <c r="BM1" s="1396" t="s">
        <v>7421</v>
      </c>
      <c r="BN1" s="1396" t="s">
        <v>266</v>
      </c>
      <c r="BO1" s="1396" t="s">
        <v>7488</v>
      </c>
      <c r="BP1" s="1396" t="s">
        <v>8066</v>
      </c>
      <c r="BQ1" s="1396" t="s">
        <v>7203</v>
      </c>
      <c r="BR1" s="1396" t="s">
        <v>7204</v>
      </c>
      <c r="BS1" s="1396" t="s">
        <v>7205</v>
      </c>
      <c r="BT1" s="1396" t="s">
        <v>7424</v>
      </c>
      <c r="BU1" s="1396" t="s">
        <v>7427</v>
      </c>
      <c r="BV1" s="1396" t="s">
        <v>7429</v>
      </c>
      <c r="BW1" s="1396" t="s">
        <v>7432</v>
      </c>
      <c r="BX1" s="1396" t="s">
        <v>7431</v>
      </c>
      <c r="BY1" s="1396" t="s">
        <v>7435</v>
      </c>
      <c r="BZ1" s="1396" t="s">
        <v>7437</v>
      </c>
      <c r="CA1" s="1396" t="s">
        <v>7439</v>
      </c>
      <c r="CB1" s="1396" t="s">
        <v>7441</v>
      </c>
      <c r="CC1" s="1396" t="s">
        <v>7443</v>
      </c>
      <c r="CD1" s="1396" t="s">
        <v>7445</v>
      </c>
      <c r="CE1" s="1396" t="s">
        <v>7447</v>
      </c>
      <c r="CF1" s="1396" t="s">
        <v>7449</v>
      </c>
      <c r="CG1" s="1396" t="s">
        <v>277</v>
      </c>
      <c r="CH1" s="1396" t="s">
        <v>293</v>
      </c>
      <c r="CI1" s="1396" t="s">
        <v>7451</v>
      </c>
      <c r="CJ1" s="1396" t="s">
        <v>7453</v>
      </c>
      <c r="CK1" s="1396" t="s">
        <v>7455</v>
      </c>
      <c r="CL1" s="1396" t="s">
        <v>7198</v>
      </c>
      <c r="CM1" s="1396" t="s">
        <v>306</v>
      </c>
      <c r="CN1" s="1396" t="s">
        <v>276</v>
      </c>
      <c r="CO1" s="1396" t="s">
        <v>288</v>
      </c>
      <c r="CP1" s="1396" t="s">
        <v>6718</v>
      </c>
      <c r="CQ1" s="1396" t="s">
        <v>6705</v>
      </c>
      <c r="CR1" s="1396" t="s">
        <v>258</v>
      </c>
      <c r="CS1" s="1396" t="s">
        <v>333</v>
      </c>
      <c r="CT1" s="1396" t="s">
        <v>7199</v>
      </c>
      <c r="CU1" s="1396" t="s">
        <v>8124</v>
      </c>
      <c r="CV1" s="1396" t="s">
        <v>7198</v>
      </c>
      <c r="CW1" s="1396" t="s">
        <v>306</v>
      </c>
      <c r="CX1" s="1396" t="s">
        <v>276</v>
      </c>
      <c r="CY1" s="1396" t="s">
        <v>288</v>
      </c>
      <c r="CZ1" s="1396" t="s">
        <v>6718</v>
      </c>
      <c r="DA1" s="1396" t="s">
        <v>6705</v>
      </c>
      <c r="DB1" s="1396" t="s">
        <v>258</v>
      </c>
      <c r="DC1" s="1396" t="s">
        <v>333</v>
      </c>
      <c r="DD1" s="1396" t="s">
        <v>7199</v>
      </c>
      <c r="DE1" s="1396" t="s">
        <v>8124</v>
      </c>
      <c r="DF1" s="1396" t="s">
        <v>7198</v>
      </c>
      <c r="DG1" s="1396" t="s">
        <v>306</v>
      </c>
      <c r="DH1" s="1396" t="s">
        <v>276</v>
      </c>
      <c r="DI1" s="1396" t="s">
        <v>288</v>
      </c>
      <c r="DJ1" s="1396" t="s">
        <v>258</v>
      </c>
      <c r="DK1" s="1396" t="s">
        <v>6705</v>
      </c>
      <c r="DL1" s="1396" t="s">
        <v>258</v>
      </c>
      <c r="DM1" s="1396" t="s">
        <v>333</v>
      </c>
      <c r="DN1" s="1396" t="s">
        <v>7199</v>
      </c>
      <c r="DO1" s="1396" t="s">
        <v>8124</v>
      </c>
      <c r="DP1" s="1397" t="s">
        <v>7213</v>
      </c>
      <c r="DQ1" s="1396" t="s">
        <v>7210</v>
      </c>
      <c r="DR1" s="1396" t="s">
        <v>7504</v>
      </c>
      <c r="DS1" s="1396" t="s">
        <v>7510</v>
      </c>
      <c r="DT1" s="1396" t="s">
        <v>7513</v>
      </c>
      <c r="DU1" s="1396" t="s">
        <v>7506</v>
      </c>
      <c r="DV1" s="1396" t="s">
        <v>7505</v>
      </c>
      <c r="DW1" s="1396" t="s">
        <v>7507</v>
      </c>
      <c r="DX1" s="1396" t="s">
        <v>7508</v>
      </c>
      <c r="DY1" s="1396" t="s">
        <v>7509</v>
      </c>
      <c r="DZ1" s="1396" t="s">
        <v>7457</v>
      </c>
      <c r="EA1" s="1398" t="s">
        <v>7489</v>
      </c>
      <c r="EB1" s="1396" t="s">
        <v>7498</v>
      </c>
      <c r="EC1" s="1396" t="s">
        <v>7511</v>
      </c>
      <c r="ED1" s="1396" t="s">
        <v>7514</v>
      </c>
      <c r="EE1" s="1396" t="s">
        <v>7499</v>
      </c>
      <c r="EF1" s="1396" t="s">
        <v>7500</v>
      </c>
      <c r="EG1" s="1396" t="s">
        <v>7501</v>
      </c>
      <c r="EH1" s="1396" t="s">
        <v>7502</v>
      </c>
      <c r="EI1" s="1396" t="s">
        <v>7503</v>
      </c>
      <c r="EJ1" s="1396" t="s">
        <v>7490</v>
      </c>
      <c r="EK1" s="1396" t="s">
        <v>7212</v>
      </c>
      <c r="EL1" s="1397" t="s">
        <v>7497</v>
      </c>
      <c r="EM1" s="1396" t="s">
        <v>7512</v>
      </c>
      <c r="EN1" s="1396" t="s">
        <v>7515</v>
      </c>
      <c r="EO1" s="1396" t="s">
        <v>7496</v>
      </c>
      <c r="EP1" s="1396" t="s">
        <v>7495</v>
      </c>
      <c r="EQ1" s="1396" t="s">
        <v>7494</v>
      </c>
      <c r="ER1" s="1396" t="s">
        <v>7493</v>
      </c>
      <c r="ES1" s="1396" t="s">
        <v>7492</v>
      </c>
      <c r="ET1" s="1396" t="s">
        <v>7491</v>
      </c>
      <c r="EU1" s="1398" t="s">
        <v>7211</v>
      </c>
      <c r="EV1" s="1396" t="s">
        <v>7516</v>
      </c>
      <c r="EW1" s="1396" t="s">
        <v>8068</v>
      </c>
      <c r="EX1" s="1396" t="s">
        <v>7218</v>
      </c>
      <c r="EY1" s="1396" t="s">
        <v>7219</v>
      </c>
      <c r="EZ1" s="1396" t="s">
        <v>7220</v>
      </c>
      <c r="FA1" s="1396" t="s">
        <v>7517</v>
      </c>
      <c r="FB1" s="1396" t="s">
        <v>7222</v>
      </c>
      <c r="FC1" s="1396" t="s">
        <v>7221</v>
      </c>
      <c r="FD1" s="1396" t="s">
        <v>7223</v>
      </c>
      <c r="FE1" s="1396" t="s">
        <v>7224</v>
      </c>
      <c r="FF1" s="1396" t="s">
        <v>7225</v>
      </c>
      <c r="FG1" s="1396" t="s">
        <v>7226</v>
      </c>
      <c r="FH1" s="1398" t="s">
        <v>7227</v>
      </c>
      <c r="FI1" s="1396" t="s">
        <v>279</v>
      </c>
      <c r="FJ1" s="1396" t="s">
        <v>196</v>
      </c>
      <c r="FK1" s="1396" t="s">
        <v>6720</v>
      </c>
      <c r="FL1" s="1396" t="s">
        <v>280</v>
      </c>
      <c r="FM1" s="1396" t="s">
        <v>281</v>
      </c>
      <c r="FN1" s="1396" t="s">
        <v>7216</v>
      </c>
      <c r="FO1" s="1398" t="s">
        <v>7215</v>
      </c>
      <c r="FP1" s="1397" t="s">
        <v>282</v>
      </c>
      <c r="FQ1" s="1396" t="s">
        <v>283</v>
      </c>
      <c r="FR1" s="1398" t="s">
        <v>284</v>
      </c>
      <c r="FS1" s="1396" t="s">
        <v>285</v>
      </c>
      <c r="FT1" s="1396" t="s">
        <v>286</v>
      </c>
      <c r="FU1" s="1396" t="s">
        <v>287</v>
      </c>
      <c r="FV1" s="1396" t="s">
        <v>288</v>
      </c>
      <c r="FW1" s="1396" t="s">
        <v>289</v>
      </c>
      <c r="FX1" s="1396" t="s">
        <v>290</v>
      </c>
      <c r="FY1" s="1398" t="s">
        <v>7228</v>
      </c>
      <c r="FZ1" s="1396" t="s">
        <v>295</v>
      </c>
      <c r="GA1" s="1396" t="s">
        <v>330</v>
      </c>
      <c r="GB1" s="1396" t="s">
        <v>331</v>
      </c>
      <c r="GC1" s="1396" t="s">
        <v>296</v>
      </c>
      <c r="GD1" s="1396" t="s">
        <v>297</v>
      </c>
      <c r="GE1" s="1396" t="s">
        <v>298</v>
      </c>
      <c r="GF1" s="1396" t="s">
        <v>299</v>
      </c>
      <c r="GG1" s="1396" t="s">
        <v>300</v>
      </c>
      <c r="GH1" s="1396" t="s">
        <v>301</v>
      </c>
      <c r="GI1" s="1396" t="s">
        <v>302</v>
      </c>
      <c r="GJ1" s="1396" t="s">
        <v>295</v>
      </c>
      <c r="GK1" s="1396" t="s">
        <v>330</v>
      </c>
      <c r="GL1" s="1396" t="s">
        <v>331</v>
      </c>
      <c r="GM1" s="1396" t="s">
        <v>296</v>
      </c>
      <c r="GN1" s="1396" t="s">
        <v>297</v>
      </c>
      <c r="GO1" s="1396" t="s">
        <v>298</v>
      </c>
      <c r="GP1" s="1396" t="s">
        <v>299</v>
      </c>
      <c r="GQ1" s="1396" t="s">
        <v>300</v>
      </c>
      <c r="GR1" s="1396" t="s">
        <v>301</v>
      </c>
      <c r="GS1" s="1396" t="s">
        <v>302</v>
      </c>
      <c r="GT1" s="1396" t="s">
        <v>295</v>
      </c>
      <c r="GU1" s="1396" t="s">
        <v>330</v>
      </c>
      <c r="GV1" s="1396" t="s">
        <v>331</v>
      </c>
      <c r="GW1" s="1396" t="s">
        <v>296</v>
      </c>
      <c r="GX1" s="1396" t="s">
        <v>297</v>
      </c>
      <c r="GY1" s="1396" t="s">
        <v>298</v>
      </c>
      <c r="GZ1" s="1396" t="s">
        <v>299</v>
      </c>
      <c r="HA1" s="1396" t="s">
        <v>300</v>
      </c>
      <c r="HB1" s="1396" t="s">
        <v>301</v>
      </c>
      <c r="HC1" s="1396" t="s">
        <v>302</v>
      </c>
      <c r="HD1" s="1396" t="s">
        <v>295</v>
      </c>
      <c r="HE1" s="1396" t="s">
        <v>330</v>
      </c>
      <c r="HF1" s="1396" t="s">
        <v>331</v>
      </c>
      <c r="HG1" s="1396" t="s">
        <v>296</v>
      </c>
      <c r="HH1" s="1396" t="s">
        <v>297</v>
      </c>
      <c r="HI1" s="1396" t="s">
        <v>298</v>
      </c>
      <c r="HJ1" s="1396" t="s">
        <v>299</v>
      </c>
      <c r="HK1" s="1396" t="s">
        <v>300</v>
      </c>
      <c r="HL1" s="1396" t="s">
        <v>301</v>
      </c>
      <c r="HM1" s="1396" t="s">
        <v>302</v>
      </c>
      <c r="HN1" s="1396" t="s">
        <v>7009</v>
      </c>
      <c r="HO1" s="1396" t="s">
        <v>7010</v>
      </c>
      <c r="HP1" s="1396" t="s">
        <v>6733</v>
      </c>
      <c r="HQ1" s="1396" t="s">
        <v>309</v>
      </c>
      <c r="HR1" s="1396" t="s">
        <v>311</v>
      </c>
      <c r="HS1" s="1396" t="s">
        <v>310</v>
      </c>
      <c r="HT1" s="1396" t="s">
        <v>312</v>
      </c>
      <c r="HU1" s="1396" t="s">
        <v>313</v>
      </c>
      <c r="HV1" s="1396" t="s">
        <v>314</v>
      </c>
      <c r="HW1" s="1396" t="s">
        <v>315</v>
      </c>
      <c r="HX1" s="1396" t="s">
        <v>316</v>
      </c>
      <c r="HY1" s="1396" t="s">
        <v>332</v>
      </c>
      <c r="HZ1" s="1396" t="s">
        <v>317</v>
      </c>
      <c r="IA1" s="1396" t="s">
        <v>318</v>
      </c>
      <c r="IB1" s="1396" t="s">
        <v>8081</v>
      </c>
      <c r="IC1" s="1396" t="s">
        <v>8082</v>
      </c>
      <c r="ID1" s="1396" t="s">
        <v>8083</v>
      </c>
      <c r="IE1" s="1396" t="s">
        <v>8089</v>
      </c>
      <c r="IF1" s="1396" t="s">
        <v>8086</v>
      </c>
      <c r="IG1" s="1396" t="s">
        <v>8087</v>
      </c>
      <c r="IH1" s="1396" t="s">
        <v>8088</v>
      </c>
    </row>
    <row r="2" spans="1:242" ht="84" customHeight="1">
      <c r="A2" s="1396">
        <f>'TAB 1 Proj. ID &amp; Prim Narrative'!B7</f>
        <v>0</v>
      </c>
      <c r="B2" s="1396">
        <f>'TAB 1 Proj. ID &amp; Prim Narrative'!D10</f>
        <v>0</v>
      </c>
      <c r="C2" s="1396">
        <f>'TAB 1 Proj. ID &amp; Prim Narrative'!F7</f>
        <v>0</v>
      </c>
      <c r="D2" s="1396">
        <f>'TAB 1 Proj. ID &amp; Prim Narrative'!I7</f>
        <v>0</v>
      </c>
      <c r="E2" s="1396">
        <f>'TAB 1 Proj. ID &amp; Prim Narrative'!B17</f>
        <v>0</v>
      </c>
      <c r="F2" s="1396" t="str">
        <f>'TAB 1 Proj. ID &amp; Prim Narrative'!U13</f>
        <v/>
      </c>
      <c r="G2" s="1396" t="str">
        <f>'TAB 1 Proj. ID &amp; Prim Narrative'!O1</f>
        <v>Not In FY26 BOR Budget</v>
      </c>
      <c r="H2" s="1399" t="str">
        <f>'TAB 4 Project Funding'!F24</f>
        <v/>
      </c>
      <c r="I2" s="1396">
        <f>'TAB 1 Proj. ID &amp; Prim Narrative'!G23</f>
        <v>0</v>
      </c>
      <c r="J2" s="1396" t="str">
        <f>IF('TAB 1 Proj. ID &amp; Prim Narrative'!U13='TAB 1 Proj. ID &amp; Prim Narrative'!S3,"Multi-Year","Single-Year")</f>
        <v>Single-Year</v>
      </c>
      <c r="K2" s="1396" t="str">
        <f>'TAB 4 Project Funding'!F28</f>
        <v/>
      </c>
      <c r="L2" s="1396" t="str">
        <f>'TAB 4 Project Funding'!F29</f>
        <v/>
      </c>
      <c r="M2" s="1396" t="str">
        <f>'TAB 4 Project Funding'!F30</f>
        <v/>
      </c>
      <c r="N2" s="1396">
        <f>'TAB 4 Project Funding'!T20</f>
        <v>0</v>
      </c>
      <c r="O2" s="1396">
        <f>'TAB 1 Proj. ID &amp; Prim Narrative'!L17</f>
        <v>0</v>
      </c>
      <c r="P2" s="1399">
        <f>'TAB 3 Project Cost'!D5</f>
        <v>0</v>
      </c>
      <c r="Q2" s="1399">
        <f>'TAB 3 Project Cost'!E5</f>
        <v>0</v>
      </c>
      <c r="R2" s="1399">
        <f>'TAB 3 Project Cost'!F5</f>
        <v>0</v>
      </c>
      <c r="S2" s="1399">
        <f>'TAB 4 Project Funding'!F20</f>
        <v>0</v>
      </c>
      <c r="T2" s="1399">
        <f>'TAB 4 Project Funding'!F19</f>
        <v>0</v>
      </c>
      <c r="U2" s="1399" t="str">
        <f>'TAB 4 Project Funding'!F34</f>
        <v/>
      </c>
      <c r="V2" s="1399">
        <f>'TAB 4 Project Funding'!F11</f>
        <v>0</v>
      </c>
      <c r="W2" s="1399">
        <f>'TAB 4 Project Funding'!F12</f>
        <v>0</v>
      </c>
      <c r="X2" s="1396">
        <f>'TAB 4 Project Funding'!F13</f>
        <v>0</v>
      </c>
      <c r="Y2" s="1396">
        <f>'TAB 4 Project Funding'!F14</f>
        <v>0</v>
      </c>
      <c r="Z2" s="1396">
        <f>'TAB 4 Project Funding'!F15</f>
        <v>0</v>
      </c>
      <c r="AA2" s="1396">
        <f>'TAB 4 Project Funding'!F16</f>
        <v>0</v>
      </c>
      <c r="AB2" s="1396">
        <f>'TAB 4 Project Funding'!F17</f>
        <v>0</v>
      </c>
      <c r="AC2" s="1396">
        <f>'TAB 4 Project Funding'!F18</f>
        <v>0</v>
      </c>
      <c r="AD2" s="1396">
        <f>'TAB 4 Project Funding'!F35</f>
        <v>0</v>
      </c>
      <c r="AE2" s="1396">
        <f>'TAB 4 Project Funding'!F36</f>
        <v>0</v>
      </c>
      <c r="AF2" s="1396">
        <f>'TAB 4 Project Funding'!F37</f>
        <v>0</v>
      </c>
      <c r="AG2" s="1396">
        <f>'TAB 2 Project Specs'!J7</f>
        <v>0</v>
      </c>
      <c r="AH2" s="1399">
        <f>'TAB 2 Project Specs'!D8</f>
        <v>0</v>
      </c>
      <c r="AI2" s="1400">
        <f>'TAB 2 Project Specs'!H8</f>
        <v>0</v>
      </c>
      <c r="AJ2" s="1399">
        <f>'TAB 2 Project Specs'!O8</f>
        <v>0</v>
      </c>
      <c r="AK2" s="1396">
        <f>'TAB 3 Project Cost'!H12</f>
        <v>0</v>
      </c>
      <c r="AL2" s="1396">
        <f>'TAB 3 Project Cost'!G16</f>
        <v>0</v>
      </c>
      <c r="AM2" s="1401" t="str">
        <f>'TAB 3 Project Cost'!R13</f>
        <v/>
      </c>
      <c r="AN2" s="1401" t="str">
        <f>'TAB 3 Project Cost'!R14</f>
        <v/>
      </c>
      <c r="AO2" s="1396">
        <f>'TAB 3 Project Cost'!G15</f>
        <v>0</v>
      </c>
      <c r="AP2" s="1401" t="str">
        <f>'TAB 3 Project Cost'!F17</f>
        <v/>
      </c>
      <c r="AQ2" s="1401" t="str">
        <f>'TAB 3 Project Cost'!F19</f>
        <v/>
      </c>
      <c r="AR2" s="1402" t="str">
        <f>'TAB 3 Project Cost'!F18</f>
        <v/>
      </c>
      <c r="AS2" s="1396">
        <f>'TAB 3 Project Cost'!G20</f>
        <v>0</v>
      </c>
      <c r="AT2" s="1396">
        <f>'TAB 3 Project Cost'!H20</f>
        <v>0</v>
      </c>
      <c r="AU2" s="1396">
        <f>'TAB 3 Project Cost'!G21</f>
        <v>0</v>
      </c>
      <c r="AV2" s="1396">
        <f>'TAB 3 Project Cost'!H21</f>
        <v>0</v>
      </c>
      <c r="AW2" s="1396">
        <f>'TAB 3 Project Cost'!F21</f>
        <v>0</v>
      </c>
      <c r="AX2" s="1401" t="str">
        <f>'TAB 3 Project Cost'!R22</f>
        <v/>
      </c>
      <c r="AY2" s="1401" t="str">
        <f>'TAB 3 Project Cost'!R23</f>
        <v/>
      </c>
      <c r="AZ2" s="1401" t="str">
        <f>'TAB 3 Project Cost'!R24</f>
        <v/>
      </c>
      <c r="BA2" s="1401" t="str">
        <f>'TAB 3 Project Cost'!R25</f>
        <v/>
      </c>
      <c r="BB2" s="1401" t="str">
        <f>'TAB 3 Project Cost'!R26</f>
        <v/>
      </c>
      <c r="BC2" s="1401" t="str">
        <f>'TAB 3 Project Cost'!R27</f>
        <v/>
      </c>
      <c r="BD2" s="1401" t="str">
        <f>'TAB 3 Project Cost'!R28</f>
        <v/>
      </c>
      <c r="BE2" s="1401" t="str">
        <f>'TAB 3 Project Cost'!R29</f>
        <v/>
      </c>
      <c r="BF2" s="1401" t="str">
        <f>'TAB 3 Project Cost'!R31</f>
        <v/>
      </c>
      <c r="BG2" s="1401" t="str">
        <f>'TAB 3 Project Cost'!R32</f>
        <v/>
      </c>
      <c r="BH2" s="1401" t="str">
        <f>'TAB 3 Project Cost'!R33</f>
        <v/>
      </c>
      <c r="BI2" s="1396">
        <f>'TAB 3 Project Cost'!G34</f>
        <v>0</v>
      </c>
      <c r="BJ2" s="1396">
        <f>'TAB 3 Project Cost'!H34</f>
        <v>0</v>
      </c>
      <c r="BK2" s="1399">
        <f>'TAB 3 Project Cost'!G36</f>
        <v>0</v>
      </c>
      <c r="BL2" s="1396">
        <f>'TAB 3 Project Cost'!H42</f>
        <v>0</v>
      </c>
      <c r="BM2" s="1399">
        <f>'TAB 3 Project Cost'!G47</f>
        <v>0</v>
      </c>
      <c r="BN2" s="1401" t="str">
        <f>'TAB 3 Project Cost'!R43</f>
        <v/>
      </c>
      <c r="BO2" s="1401" t="str">
        <f>'TAB 3 Project Cost'!R44</f>
        <v/>
      </c>
      <c r="BP2" s="1396">
        <f>'TAB 3 Project Cost'!G46</f>
        <v>0</v>
      </c>
      <c r="BQ2" s="1401" t="str">
        <f>'TAB 3 Project Cost'!F48</f>
        <v/>
      </c>
      <c r="BR2" s="1401" t="str">
        <f>'TAB 3 Project Cost'!F50</f>
        <v/>
      </c>
      <c r="BS2" s="1401" t="str">
        <f>'TAB 3 Project Cost'!F49</f>
        <v/>
      </c>
      <c r="BT2" s="1396">
        <f>'TAB 3 Project Cost'!G51</f>
        <v>0</v>
      </c>
      <c r="BU2" s="1396">
        <f>'TAB 3 Project Cost'!H51</f>
        <v>0</v>
      </c>
      <c r="BV2" s="1396">
        <f>'TAB 3 Project Cost'!G52</f>
        <v>0</v>
      </c>
      <c r="BW2" s="1396">
        <f>'TAB 3 Project Cost'!H52</f>
        <v>0</v>
      </c>
      <c r="BX2" s="1396">
        <f>'TAB 3 Project Cost'!F52</f>
        <v>0</v>
      </c>
      <c r="BY2" s="1401" t="str">
        <f>'TAB 3 Project Cost'!R53</f>
        <v/>
      </c>
      <c r="BZ2" s="1401" t="str">
        <f>'TAB 3 Project Cost'!R54</f>
        <v/>
      </c>
      <c r="CA2" s="1401" t="str">
        <f>'TAB 3 Project Cost'!R55</f>
        <v/>
      </c>
      <c r="CB2" s="1401" t="str">
        <f>'TAB 3 Project Cost'!R56</f>
        <v/>
      </c>
      <c r="CC2" s="1401" t="str">
        <f>'TAB 3 Project Cost'!R57</f>
        <v/>
      </c>
      <c r="CD2" s="1401" t="str">
        <f>'TAB 3 Project Cost'!R58</f>
        <v/>
      </c>
      <c r="CE2" s="1401" t="str">
        <f>'TAB 3 Project Cost'!R59</f>
        <v/>
      </c>
      <c r="CF2" s="1401" t="str">
        <f>'TAB 3 Project Cost'!R60</f>
        <v/>
      </c>
      <c r="CG2" s="1401" t="str">
        <f>'TAB 3 Project Cost'!R62</f>
        <v/>
      </c>
      <c r="CH2" s="1401" t="str">
        <f>'TAB 3 Project Cost'!R63</f>
        <v/>
      </c>
      <c r="CI2" s="1401" t="str">
        <f>'TAB 3 Project Cost'!R64</f>
        <v/>
      </c>
      <c r="CJ2" s="1396">
        <f>'TAB 3 Project Cost'!G65</f>
        <v>0</v>
      </c>
      <c r="CK2" s="1396">
        <f>'TAB 3 Project Cost'!H65</f>
        <v>0</v>
      </c>
      <c r="CL2" s="1396">
        <f>'TAB 2 Project Specs'!I19</f>
        <v>0</v>
      </c>
      <c r="CM2" s="1396">
        <f>'TAB 2 Project Specs'!O24</f>
        <v>0</v>
      </c>
      <c r="CN2" s="1396">
        <f>'TAB 2 Project Specs'!M20</f>
        <v>0</v>
      </c>
      <c r="CO2" s="1399" t="str">
        <f>'TAB 2 Project Specs'!D22</f>
        <v/>
      </c>
      <c r="CP2" s="1403">
        <f>'TAB 2 Project Specs'!D24</f>
        <v>1</v>
      </c>
      <c r="CQ2" s="1399" t="str">
        <f>'TAB 2 Project Specs'!D26</f>
        <v/>
      </c>
      <c r="CR2" s="1400">
        <f>'TAB 2 Project Specs'!G26</f>
        <v>0</v>
      </c>
      <c r="CS2" s="1399" t="str">
        <f>'TAB 2 Project Specs'!I26</f>
        <v/>
      </c>
      <c r="CT2" s="1396">
        <f>'TAB 3 Project Cost'!H39</f>
        <v>0</v>
      </c>
      <c r="CU2" s="1396">
        <f>'TAB 3 Project Cost'!AC51</f>
        <v>0</v>
      </c>
      <c r="CV2" s="1396">
        <f>'TAB 2 Project Specs'!I36</f>
        <v>0</v>
      </c>
      <c r="CW2" s="1396">
        <f>'TAB 2 Project Specs'!O41</f>
        <v>0</v>
      </c>
      <c r="CX2" s="1396">
        <f>'TAB 2 Project Specs'!M37</f>
        <v>0</v>
      </c>
      <c r="CY2" s="1399" t="str">
        <f>'TAB 2 Project Specs'!D39</f>
        <v/>
      </c>
      <c r="CZ2" s="1403">
        <f>'TAB 2 Project Specs'!D41</f>
        <v>1</v>
      </c>
      <c r="DA2" s="1399" t="str">
        <f>'TAB 2 Project Specs'!D43</f>
        <v/>
      </c>
      <c r="DB2" s="1400">
        <f>'TAB 2 Project Specs'!G43</f>
        <v>0</v>
      </c>
      <c r="DC2" s="1399" t="str">
        <f>'TAB 2 Project Specs'!I43</f>
        <v/>
      </c>
      <c r="DD2" s="1396">
        <f>'TAB 3 Project Cost'!H40</f>
        <v>0</v>
      </c>
      <c r="DE2" s="1396">
        <f>'TAB 3 Project Cost'!AD51</f>
        <v>0</v>
      </c>
      <c r="DF2" s="1396">
        <f>'TAB 2 Project Specs'!I53</f>
        <v>0</v>
      </c>
      <c r="DG2" s="1396">
        <f>'TAB 2 Project Specs'!O58</f>
        <v>0</v>
      </c>
      <c r="DH2" s="1396">
        <f>'TAB 2 Project Specs'!M54</f>
        <v>0</v>
      </c>
      <c r="DI2" s="1399" t="str">
        <f>'TAB 2 Project Specs'!D56</f>
        <v/>
      </c>
      <c r="DJ2" s="1403">
        <f>'TAB 2 Project Specs'!D58</f>
        <v>1</v>
      </c>
      <c r="DK2" s="1399" t="str">
        <f>'TAB 2 Project Specs'!D60</f>
        <v/>
      </c>
      <c r="DL2" s="1400">
        <f>'TAB 2 Project Specs'!G60</f>
        <v>0</v>
      </c>
      <c r="DM2" s="1399" t="str">
        <f>'TAB 2 Project Specs'!I60</f>
        <v/>
      </c>
      <c r="DN2" s="1396">
        <f>'TAB 3 Project Cost'!H41</f>
        <v>0</v>
      </c>
      <c r="DO2" s="1396">
        <f>'TAB 3 Project Cost'!AE51</f>
        <v>0</v>
      </c>
      <c r="DP2" s="1397">
        <f>'TAB 3 Project Cost'!G80</f>
        <v>0</v>
      </c>
      <c r="DQ2" s="1396">
        <f>'TAB 3 Project Cost'!H80</f>
        <v>0</v>
      </c>
      <c r="DR2" s="1396" t="str">
        <f>'TAB 3 Project Cost'!D77</f>
        <v/>
      </c>
      <c r="DS2" s="1404" t="str">
        <f>'TAB 2 Project Specs'!K78</f>
        <v/>
      </c>
      <c r="DT2" s="1404">
        <f>'TAB 2 Project Specs'!O76</f>
        <v>0</v>
      </c>
      <c r="DU2" s="1399" t="str">
        <f>'TAB 2 Project Specs'!D78</f>
        <v/>
      </c>
      <c r="DV2" s="1399">
        <f>'TAB 2 Project Specs'!H78</f>
        <v>1</v>
      </c>
      <c r="DW2" s="1399">
        <f>'TAB 2 Project Specs'!N78</f>
        <v>0</v>
      </c>
      <c r="DX2" s="1399">
        <f>'TAB 3 Project Cost'!I77</f>
        <v>0</v>
      </c>
      <c r="DY2" s="1399">
        <f>'TAB 3 Project Cost'!J77</f>
        <v>0</v>
      </c>
      <c r="DZ2" s="1399">
        <f>'TAB 3 Project Cost'!G77</f>
        <v>0</v>
      </c>
      <c r="EA2" s="1405">
        <f>'TAB 3 Project Cost'!H77</f>
        <v>0</v>
      </c>
      <c r="EB2" s="1396" t="str">
        <f>'TAB 3 Project Cost'!D78</f>
        <v/>
      </c>
      <c r="EC2" s="1404" t="str">
        <f>'TAB 2 Project Specs'!K83</f>
        <v/>
      </c>
      <c r="ED2" s="1404">
        <f>'TAB 2 Project Specs'!O81</f>
        <v>0</v>
      </c>
      <c r="EE2" s="1399" t="str">
        <f>'TAB 2 Project Specs'!D83</f>
        <v/>
      </c>
      <c r="EF2" s="1399">
        <f>'TAB 2 Project Specs'!H83</f>
        <v>1</v>
      </c>
      <c r="EG2" s="1399">
        <f>'TAB 2 Project Specs'!N83</f>
        <v>0</v>
      </c>
      <c r="EH2" s="1399">
        <f>'TAB 3 Project Cost'!I78</f>
        <v>0</v>
      </c>
      <c r="EI2" s="1399">
        <f>'TAB 3 Project Cost'!J78</f>
        <v>0</v>
      </c>
      <c r="EJ2" s="1399">
        <f>'TAB 3 Project Cost'!G78</f>
        <v>0</v>
      </c>
      <c r="EK2" s="1396">
        <f>'TAB 3 Project Cost'!H78</f>
        <v>0</v>
      </c>
      <c r="EL2" s="1397" t="str">
        <f>'TAB 3 Project Cost'!D79</f>
        <v/>
      </c>
      <c r="EM2" s="1404" t="str">
        <f>'TAB 2 Project Specs'!K88</f>
        <v/>
      </c>
      <c r="EN2" s="1404">
        <f>'TAB 2 Project Specs'!O86</f>
        <v>0</v>
      </c>
      <c r="EO2" s="1399" t="str">
        <f>'TAB 2 Project Specs'!D88</f>
        <v/>
      </c>
      <c r="EP2" s="1399">
        <f>'TAB 2 Project Specs'!H88</f>
        <v>1</v>
      </c>
      <c r="EQ2" s="1399">
        <f>'TAB 2 Project Specs'!N88</f>
        <v>0</v>
      </c>
      <c r="ER2" s="1399">
        <f>'TAB 3 Project Cost'!I79</f>
        <v>0</v>
      </c>
      <c r="ES2" s="1399">
        <f>'TAB 3 Project Cost'!J79</f>
        <v>0</v>
      </c>
      <c r="ET2" s="1399">
        <f>'TAB 3 Project Cost'!G79</f>
        <v>0</v>
      </c>
      <c r="EU2" s="1398">
        <f>'TAB 3 Project Cost'!H79</f>
        <v>0</v>
      </c>
      <c r="EV2" s="1396" t="str">
        <f>'TAB 3 Project Cost'!R91</f>
        <v/>
      </c>
      <c r="EW2" s="1396">
        <f>'TAB 3 Project Cost'!G92</f>
        <v>0</v>
      </c>
      <c r="EX2" s="1401" t="str">
        <f>'TAB 3 Project Cost'!F93</f>
        <v/>
      </c>
      <c r="EY2" s="1401" t="str">
        <f>'TAB 3 Project Cost'!F95</f>
        <v/>
      </c>
      <c r="EZ2" s="1401" t="str">
        <f>'TAB 3 Project Cost'!F94</f>
        <v/>
      </c>
      <c r="FA2" s="1396">
        <f>'TAB 3 Project Cost'!G96</f>
        <v>0</v>
      </c>
      <c r="FB2" s="1396">
        <f>'TAB 3 Project Cost'!F97</f>
        <v>0</v>
      </c>
      <c r="FC2" s="1401" t="str">
        <f>'TAB 3 Project Cost'!R98</f>
        <v/>
      </c>
      <c r="FD2" s="1401" t="str">
        <f>'TAB 3 Project Cost'!R99</f>
        <v/>
      </c>
      <c r="FE2" s="1401" t="str">
        <f>'TAB 3 Project Cost'!R100</f>
        <v/>
      </c>
      <c r="FF2" s="1401" t="str">
        <f>'TAB 3 Project Cost'!R102</f>
        <v/>
      </c>
      <c r="FG2" s="1401" t="str">
        <f>'TAB 3 Project Cost'!R103</f>
        <v/>
      </c>
      <c r="FH2" s="1398">
        <f>'TAB 3 Project Cost'!G104</f>
        <v>0</v>
      </c>
      <c r="FI2" s="1399">
        <f>'TAB 3 Project Cost'!F85</f>
        <v>0</v>
      </c>
      <c r="FJ2" s="1396">
        <f>'TAB 3 Project Cost'!H85</f>
        <v>0</v>
      </c>
      <c r="FK2" s="1396">
        <f>'TAB 3 Project Cost'!G85</f>
        <v>0</v>
      </c>
      <c r="FL2" s="1399">
        <f>'TAB 3 Project Cost'!F86</f>
        <v>0</v>
      </c>
      <c r="FM2" s="1396">
        <f>'TAB 3 Project Cost'!H86</f>
        <v>0</v>
      </c>
      <c r="FN2" s="1396">
        <f>'TAB 3 Project Cost'!G86</f>
        <v>0</v>
      </c>
      <c r="FO2" s="1398">
        <f>'TAB 3 Project Cost'!G87</f>
        <v>0</v>
      </c>
      <c r="FP2" s="1397">
        <f>'TAB 3 Project Cost'!G88</f>
        <v>0</v>
      </c>
      <c r="FQ2" s="1396">
        <f>'TAB 3 Project Cost'!G89</f>
        <v>0</v>
      </c>
      <c r="FR2" s="1398">
        <f>'TAB 3 Project Cost'!G90</f>
        <v>0</v>
      </c>
      <c r="FS2" s="1399">
        <f>'TAB 3 Project Cost'!F108</f>
        <v>0</v>
      </c>
      <c r="FT2" s="1396">
        <f>'TAB 3 Project Cost'!H110</f>
        <v>0</v>
      </c>
      <c r="FU2" s="1396">
        <f>'TAB 3 Project Cost'!G110</f>
        <v>0</v>
      </c>
      <c r="FV2" s="1399">
        <f>'TAB 3 Project Cost'!H108</f>
        <v>0</v>
      </c>
      <c r="FW2" s="1396">
        <f>'TAB 3 Project Cost'!H111</f>
        <v>0</v>
      </c>
      <c r="FX2" s="1396">
        <f>'TAB 3 Project Cost'!G111</f>
        <v>0</v>
      </c>
      <c r="FY2" s="1398">
        <f>'TAB 3 Project Cost'!G112</f>
        <v>0</v>
      </c>
      <c r="FZ2" s="1404">
        <f>'TAB 2 Project Specs'!D13</f>
        <v>0</v>
      </c>
      <c r="GA2" s="1404">
        <f>'TAB 2 Project Specs'!E13</f>
        <v>0</v>
      </c>
      <c r="GB2" s="1404">
        <f>'TAB 2 Project Specs'!F13</f>
        <v>0</v>
      </c>
      <c r="GC2" s="1404">
        <f>'TAB 2 Project Specs'!G13</f>
        <v>0</v>
      </c>
      <c r="GD2" s="1404">
        <f>'TAB 2 Project Specs'!H13</f>
        <v>0</v>
      </c>
      <c r="GE2" s="1404">
        <f>'TAB 2 Project Specs'!I13</f>
        <v>0</v>
      </c>
      <c r="GF2" s="1404">
        <f>'TAB 2 Project Specs'!J13</f>
        <v>0</v>
      </c>
      <c r="GG2" s="1404">
        <f>'TAB 2 Project Specs'!K13</f>
        <v>0</v>
      </c>
      <c r="GH2" s="1404">
        <f>'TAB 2 Project Specs'!L13</f>
        <v>0</v>
      </c>
      <c r="GI2" s="1404">
        <f>'TAB 2 Project Specs'!M13</f>
        <v>0</v>
      </c>
      <c r="GJ2" s="1404">
        <f>'TAB 2 Project Specs'!D31</f>
        <v>0</v>
      </c>
      <c r="GK2" s="1404">
        <f>'TAB 2 Project Specs'!E31</f>
        <v>0</v>
      </c>
      <c r="GL2" s="1404">
        <f>'TAB 2 Project Specs'!F31</f>
        <v>0</v>
      </c>
      <c r="GM2" s="1404">
        <f>'TAB 2 Project Specs'!G31</f>
        <v>0</v>
      </c>
      <c r="GN2" s="1404">
        <f>'TAB 2 Project Specs'!H31</f>
        <v>0</v>
      </c>
      <c r="GO2" s="1404">
        <f>'TAB 2 Project Specs'!I31</f>
        <v>0</v>
      </c>
      <c r="GP2" s="1404">
        <f>'TAB 2 Project Specs'!J31</f>
        <v>0</v>
      </c>
      <c r="GQ2" s="1404">
        <f>'TAB 2 Project Specs'!K31</f>
        <v>0</v>
      </c>
      <c r="GR2" s="1404">
        <f>'TAB 2 Project Specs'!L31</f>
        <v>0</v>
      </c>
      <c r="GS2" s="1404">
        <f>'TAB 2 Project Specs'!M31</f>
        <v>0</v>
      </c>
      <c r="GT2" s="1404">
        <f>'TAB 2 Project Specs'!D48</f>
        <v>0</v>
      </c>
      <c r="GU2" s="1404">
        <f>'TAB 2 Project Specs'!E48</f>
        <v>0</v>
      </c>
      <c r="GV2" s="1404">
        <f>'TAB 2 Project Specs'!F48</f>
        <v>0</v>
      </c>
      <c r="GW2" s="1404">
        <f>'TAB 2 Project Specs'!G48</f>
        <v>0</v>
      </c>
      <c r="GX2" s="1404">
        <f>'TAB 2 Project Specs'!H48</f>
        <v>0</v>
      </c>
      <c r="GY2" s="1404">
        <f>'TAB 2 Project Specs'!I48</f>
        <v>0</v>
      </c>
      <c r="GZ2" s="1404">
        <f>'TAB 2 Project Specs'!J48</f>
        <v>0</v>
      </c>
      <c r="HA2" s="1404">
        <f>'TAB 2 Project Specs'!K48</f>
        <v>0</v>
      </c>
      <c r="HB2" s="1404">
        <f>'TAB 2 Project Specs'!L48</f>
        <v>0</v>
      </c>
      <c r="HC2" s="1404">
        <f>'TAB 2 Project Specs'!M48</f>
        <v>0</v>
      </c>
      <c r="HD2" s="1404">
        <f>'TAB 2 Project Specs'!D65</f>
        <v>0</v>
      </c>
      <c r="HE2" s="1404">
        <f>'TAB 2 Project Specs'!E65</f>
        <v>0</v>
      </c>
      <c r="HF2" s="1404">
        <f>'TAB 2 Project Specs'!F65</f>
        <v>0</v>
      </c>
      <c r="HG2" s="1404">
        <f>'TAB 2 Project Specs'!G65</f>
        <v>0</v>
      </c>
      <c r="HH2" s="1404">
        <f>'TAB 2 Project Specs'!H65</f>
        <v>0</v>
      </c>
      <c r="HI2" s="1404">
        <f>'TAB 2 Project Specs'!I65</f>
        <v>0</v>
      </c>
      <c r="HJ2" s="1404">
        <f>'TAB 2 Project Specs'!J65</f>
        <v>0</v>
      </c>
      <c r="HK2" s="1404">
        <f>'TAB 2 Project Specs'!K65</f>
        <v>0</v>
      </c>
      <c r="HL2" s="1404">
        <f>'TAB 2 Project Specs'!L65</f>
        <v>0</v>
      </c>
      <c r="HM2" s="1404">
        <f>'TAB 2 Project Specs'!M65</f>
        <v>0</v>
      </c>
      <c r="HN2" s="1396" t="str">
        <f>'TAB 1 Proj. ID &amp; Prim Narrative'!B42</f>
        <v>Primary Narrative -  Project Scope and Description</v>
      </c>
      <c r="HO2" s="1396" t="str">
        <f>'TAB 1 Proj. ID &amp; Prim Narrative'!B46</f>
        <v>Primary Narrative - Project Justification</v>
      </c>
      <c r="HP2" s="1396" t="str">
        <f>'TAB 3 Project Cost'!B117</f>
        <v>Project cost supplemental narrative entry</v>
      </c>
      <c r="HQ2" s="1396" t="str">
        <f>'TAB 4 Project Funding'!B42</f>
        <v>Project funding supplemental narrative entry</v>
      </c>
      <c r="HR2" s="1396" t="str">
        <f>'TAB 2 Project Specs'!B16</f>
        <v>New construction narrative entry</v>
      </c>
      <c r="HS2" s="1396" t="str">
        <f>'TAB 2 Project Specs'!B34</f>
        <v>Renovation #2 narrative entry</v>
      </c>
      <c r="HT2" s="1396" t="str">
        <f>'TAB 2 Project Specs'!B51</f>
        <v>Renovation #2 narrative entry</v>
      </c>
      <c r="HU2" s="1396" t="str">
        <f>'TAB 2 Project Specs'!B68</f>
        <v>Renovation #3 narrative entry</v>
      </c>
      <c r="HV2" s="1396" t="str">
        <f>'TAB 2 Project Specs'!B91</f>
        <v>Demolition narrative entry</v>
      </c>
      <c r="HW2" s="1396" t="str">
        <f>'TAB 2 Project Specs'!D97</f>
        <v>Parking infrastructure narrative entry</v>
      </c>
      <c r="HX2" s="1396" t="str">
        <f>'TAB 2 Project Specs'!D103</f>
        <v>Mechanical infrastructure narrative entry.</v>
      </c>
      <c r="HY2" s="1396" t="str">
        <f>'TAB 2 Project Specs'!D106</f>
        <v>Utility infrastructure narrative entry</v>
      </c>
      <c r="HZ2" s="1396" t="str">
        <f>'TAB 2 Project Specs'!D109</f>
        <v>Other infrastructure narrative entry.</v>
      </c>
      <c r="IA2" s="1396" t="str">
        <f>'TAB 2 Project Specs'!D114</f>
        <v>Acquisition narrative entry</v>
      </c>
      <c r="IB2" s="1396" t="str">
        <f>'TAB 1 Proj. ID &amp; Prim Narrative'!B19</f>
        <v/>
      </c>
      <c r="IC2" s="1396" t="str">
        <f>'TAB 1 Proj. ID &amp; Prim Narrative'!B18</f>
        <v/>
      </c>
      <c r="ID2" s="1396" t="str">
        <f>'TAB 1 Proj. ID &amp; Prim Narrative'!G24</f>
        <v/>
      </c>
      <c r="IE2" s="1396" t="str">
        <f>'TAB 4 Project Funding'!B38</f>
        <v/>
      </c>
      <c r="IF2" s="1396" t="str">
        <f>'TAB 4 Project Funding'!G35</f>
        <v/>
      </c>
      <c r="IG2" s="1396" t="str">
        <f>'TAB 4 Project Funding'!G36</f>
        <v/>
      </c>
      <c r="IH2" s="1396" t="str">
        <f>'TAB 4 Project Funding'!G37</f>
        <v/>
      </c>
    </row>
  </sheetData>
  <sheetProtection algorithmName="SHA-512" hashValue="ptDDLOKxtO4P4rJ1NJ83/8y2QB2OxtEtnyKhHfLHC50dRlk8GuCGFUIEFywY6Urzdpx9rgxUuHUdhyMtkfiTyA==" saltValue="r7C3BLtnd735SjIfNrnAzw=="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18C69-CF81-4D95-8BAD-95FC18EC06EB}">
  <sheetPr codeName="Sheet8">
    <tabColor rgb="FFFF0000"/>
  </sheetPr>
  <dimension ref="A1:AEK15"/>
  <sheetViews>
    <sheetView workbookViewId="0">
      <selection activeCell="AL1" sqref="AL1"/>
    </sheetView>
  </sheetViews>
  <sheetFormatPr defaultRowHeight="12.75"/>
  <cols>
    <col min="10" max="10" width="10.140625" bestFit="1" customWidth="1"/>
    <col min="29" max="29" width="7.140625" customWidth="1"/>
    <col min="30" max="30" width="6.140625" customWidth="1"/>
    <col min="31" max="31" width="7" customWidth="1"/>
    <col min="32" max="32" width="6.42578125" customWidth="1"/>
    <col min="33" max="46" width="13.85546875" customWidth="1"/>
    <col min="56" max="58" width="9.28515625" bestFit="1" customWidth="1"/>
    <col min="59" max="59" width="9.28515625" customWidth="1"/>
    <col min="60" max="60" width="8.42578125" customWidth="1"/>
    <col min="61" max="64" width="9.28515625" bestFit="1" customWidth="1"/>
    <col min="66" max="69" width="9.28515625" bestFit="1" customWidth="1"/>
    <col min="71" max="71" width="10.140625" bestFit="1" customWidth="1"/>
    <col min="72" max="72" width="9.28515625" bestFit="1" customWidth="1"/>
    <col min="73" max="73" width="10.140625" bestFit="1" customWidth="1"/>
    <col min="74" max="74" width="10.140625" customWidth="1"/>
    <col min="75" max="75" width="10.85546875" customWidth="1"/>
    <col min="76" max="117" width="9.28515625" bestFit="1" customWidth="1"/>
    <col min="118" max="154" width="9.28515625" customWidth="1"/>
    <col min="155" max="163" width="9.28515625" bestFit="1" customWidth="1"/>
    <col min="164" max="164" width="9.28515625" customWidth="1"/>
    <col min="165" max="173" width="9.28515625" bestFit="1" customWidth="1"/>
    <col min="174" max="174" width="9.28515625" customWidth="1"/>
    <col min="175" max="177" width="9.28515625" bestFit="1" customWidth="1"/>
    <col min="178" max="185" width="9.28515625" customWidth="1"/>
    <col min="186" max="186" width="9.140625" customWidth="1"/>
    <col min="187" max="199" width="9.28515625" customWidth="1"/>
    <col min="200" max="200" width="9.140625" customWidth="1"/>
    <col min="201" max="202" width="9.28515625" customWidth="1"/>
    <col min="203" max="204" width="9.140625" customWidth="1"/>
    <col min="205" max="219" width="9.28515625" customWidth="1"/>
    <col min="220" max="290" width="9.28515625" bestFit="1" customWidth="1"/>
    <col min="291" max="297" width="9.28515625" customWidth="1"/>
    <col min="301" max="301" width="9.85546875" bestFit="1" customWidth="1"/>
    <col min="302" max="302" width="10.7109375" bestFit="1" customWidth="1"/>
    <col min="303" max="303" width="9.85546875" bestFit="1" customWidth="1"/>
    <col min="307" max="307" width="10.7109375" bestFit="1" customWidth="1"/>
    <col min="309" max="309" width="11.140625" customWidth="1"/>
    <col min="313" max="313" width="9.28515625" bestFit="1" customWidth="1"/>
    <col min="314" max="314" width="10.7109375" bestFit="1" customWidth="1"/>
    <col min="321" max="339" width="10.85546875" customWidth="1"/>
  </cols>
  <sheetData>
    <row r="1" spans="1:817" ht="84" customHeight="1" thickBot="1">
      <c r="A1" s="61" t="s">
        <v>7925</v>
      </c>
      <c r="B1" s="1292">
        <f>BD1</f>
        <v>0</v>
      </c>
      <c r="C1" s="1293">
        <f>BE1</f>
        <v>0</v>
      </c>
      <c r="D1" s="1294">
        <f>BF1</f>
        <v>0</v>
      </c>
      <c r="E1" s="1291"/>
      <c r="F1" s="1294" t="str">
        <f>BI1</f>
        <v/>
      </c>
      <c r="G1" s="1316" t="str">
        <f>BK1</f>
        <v/>
      </c>
      <c r="H1" s="1294">
        <f>BL1</f>
        <v>0</v>
      </c>
      <c r="I1" s="1291"/>
      <c r="J1" s="1295">
        <f>BW1</f>
        <v>0</v>
      </c>
      <c r="K1" s="1296" t="str">
        <f>BX1</f>
        <v/>
      </c>
      <c r="L1" s="1297">
        <f>BU1</f>
        <v>0</v>
      </c>
      <c r="M1" s="1406">
        <f>SUM(AG1)</f>
        <v>0</v>
      </c>
      <c r="N1" s="1298">
        <f>SUM(AH1,AO1)</f>
        <v>0</v>
      </c>
      <c r="O1" s="1298">
        <f>SUM(AI1,AP1)</f>
        <v>0</v>
      </c>
      <c r="P1" s="1298">
        <f>SUM(AJ1,AQ1)</f>
        <v>0</v>
      </c>
      <c r="Q1" s="1298">
        <f>SUM(AK1,AR1)</f>
        <v>0</v>
      </c>
      <c r="R1" s="1298">
        <f>SUM(AL1,AS1)</f>
        <v>0</v>
      </c>
      <c r="S1" s="1406">
        <f>SUM(AM1)</f>
        <v>0</v>
      </c>
      <c r="T1" s="1302">
        <f>CK1</f>
        <v>0</v>
      </c>
      <c r="U1" s="1303"/>
      <c r="V1" s="1303"/>
      <c r="W1" s="1303"/>
      <c r="X1" s="1304">
        <f>DN1</f>
        <v>0</v>
      </c>
      <c r="Y1" s="1305">
        <f>FZ1+GJ1+GT1</f>
        <v>0</v>
      </c>
      <c r="Z1" s="1300"/>
      <c r="AA1" s="1300"/>
      <c r="AB1" s="1300"/>
      <c r="AC1" s="1300"/>
      <c r="AD1" s="1300"/>
      <c r="AE1" s="1300"/>
      <c r="AF1" s="1301"/>
      <c r="AG1" s="1299" t="str">
        <f>IF($F1&lt;&gt;"Large (3 YR $)","",IF($I1="FY 2026",AV1,""))</f>
        <v/>
      </c>
      <c r="AH1" s="1299" t="str">
        <f>IF($F1&lt;&gt;"Large (3 YR $)","",IF($I1="FY 2025",$AX1,IF($I1="FY 2026",$AW1,IF($I1="FY 2027",$AV1,""))))</f>
        <v/>
      </c>
      <c r="AI1" s="1299" t="str">
        <f>IF($F1&lt;&gt;"Large (3 YR $)","",IF($I1="FY 2026",$AX1,IF($I1="FY 2027",$AW1,IF($I1="FY 2028",$AV1,""))))</f>
        <v/>
      </c>
      <c r="AJ1" s="1299" t="str">
        <f>IF($F1&lt;&gt;"Large (3 YR $)","",IF($I1="FY 2027",$AX1,IF($I1="FY 2028",$AW1,IF($I1="FY 2029",$AV1,""))))</f>
        <v/>
      </c>
      <c r="AK1" s="1407" t="str">
        <f>IF($F1&lt;&gt;"Large (3 YR $)","",IF($I1="FY 2028",$AX1,IF($I1="FY 2029",$AW1,IF($I1="FY 2030",$AV1,""))))</f>
        <v/>
      </c>
      <c r="AL1" s="1407" t="str">
        <f>IF($F1&lt;&gt;"Large (3 YR $)","",IF($I1="FY 2029",$AX1,IF($I1="FY 2030",AW1,"")))</f>
        <v/>
      </c>
      <c r="AM1" s="1407" t="str">
        <f>IF($F1&lt;&gt;"Large (3 YR $)","",IF($I1="FY 2030",$AX1,""))</f>
        <v/>
      </c>
      <c r="AN1" s="1299">
        <f>SUM(AG1:AM1)</f>
        <v>0</v>
      </c>
      <c r="AO1" s="1299" t="str">
        <f>IF(AND($F1&lt;&gt;"Large (3 YR $)",$I1="FY 2026"),$J1,"")</f>
        <v/>
      </c>
      <c r="AP1" s="1299" t="str">
        <f>IF(AND($F1&lt;&gt;"Large (3 YR $)",$I1="FY 2027"),$J1,"")</f>
        <v/>
      </c>
      <c r="AQ1" s="1299" t="str">
        <f>IF(AND($F1&lt;&gt;"Large (3 YR $)",$I1="FY 2028"),$J1,"")</f>
        <v/>
      </c>
      <c r="AR1" s="1299" t="str">
        <f>IF(AND($F1&lt;&gt;"Large (3 YR $)",$I1="FY 2029"),$J1,"")</f>
        <v/>
      </c>
      <c r="AS1" s="1299" t="str">
        <f>IF(AND($F1&lt;&gt;"Large (3 YR $)",$I1="FY 2030"),$J1,"")</f>
        <v/>
      </c>
      <c r="AT1" s="1299">
        <f>SUM(AO1:AS1)</f>
        <v>0</v>
      </c>
      <c r="AU1" s="1306" t="b">
        <f>BE1=C1</f>
        <v>1</v>
      </c>
      <c r="AV1" s="1308" t="s">
        <v>8091</v>
      </c>
      <c r="AW1" s="1308" t="s">
        <v>8137</v>
      </c>
      <c r="AX1" s="1308" t="s">
        <v>8138</v>
      </c>
      <c r="AY1" s="1307" t="b">
        <f t="shared" ref="AY1" si="0">AV1=BN1</f>
        <v>0</v>
      </c>
      <c r="AZ1" s="1307" t="b">
        <f t="shared" ref="AZ1" si="1">AW1=BO1</f>
        <v>0</v>
      </c>
      <c r="BA1" s="1307" t="b">
        <f t="shared" ref="BA1" si="2">AX1=BP1</f>
        <v>0</v>
      </c>
      <c r="BB1" s="1258"/>
      <c r="BC1" s="1267"/>
      <c r="BD1" s="1268">
        <f>'TAB 1 Proj. ID &amp; Prim Narrative'!B7</f>
        <v>0</v>
      </c>
      <c r="BE1" s="1268">
        <f>'TAB 1 Proj. ID &amp; Prim Narrative'!D10</f>
        <v>0</v>
      </c>
      <c r="BF1" s="1268">
        <f>'TAB 1 Proj. ID &amp; Prim Narrative'!F7</f>
        <v>0</v>
      </c>
      <c r="BG1" s="1268">
        <f>'TAB 1 Proj. ID &amp; Prim Narrative'!I7</f>
        <v>0</v>
      </c>
      <c r="BH1" s="1268">
        <f>'TAB 1 Proj. ID &amp; Prim Narrative'!B17</f>
        <v>0</v>
      </c>
      <c r="BI1" s="1268" t="str">
        <f>'TAB 1 Proj. ID &amp; Prim Narrative'!U13</f>
        <v/>
      </c>
      <c r="BJ1" s="1268" t="str">
        <f>'TAB 1 Proj. ID &amp; Prim Narrative'!O1</f>
        <v>Not In FY26 BOR Budget</v>
      </c>
      <c r="BK1" s="1269" t="str">
        <f>'TAB 4 Project Funding'!F24</f>
        <v/>
      </c>
      <c r="BL1" s="1268">
        <f>'TAB 1 Proj. ID &amp; Prim Narrative'!G23</f>
        <v>0</v>
      </c>
      <c r="BM1" s="1268" t="str">
        <f>IF('TAB 1 Proj. ID &amp; Prim Narrative'!U13='TAB 1 Proj. ID &amp; Prim Narrative'!S3,"Multi-Year","Single-Year")</f>
        <v>Single-Year</v>
      </c>
      <c r="BN1" s="1268" t="str">
        <f>'TAB 4 Project Funding'!F28</f>
        <v/>
      </c>
      <c r="BO1" s="1268" t="str">
        <f>'TAB 4 Project Funding'!F29</f>
        <v/>
      </c>
      <c r="BP1" s="1268" t="str">
        <f>'TAB 4 Project Funding'!F30</f>
        <v/>
      </c>
      <c r="BQ1" s="1268">
        <f>'TAB 4 Project Funding'!T20</f>
        <v>0</v>
      </c>
      <c r="BR1" s="1268">
        <f>'TAB 1 Proj. ID &amp; Prim Narrative'!L17</f>
        <v>0</v>
      </c>
      <c r="BS1" s="1269">
        <f>'TAB 3 Project Cost'!D5</f>
        <v>0</v>
      </c>
      <c r="BT1" s="1269">
        <f>'TAB 3 Project Cost'!E5</f>
        <v>0</v>
      </c>
      <c r="BU1" s="1269">
        <f>'TAB 3 Project Cost'!F5</f>
        <v>0</v>
      </c>
      <c r="BV1" s="1269">
        <f>'TAB 4 Project Funding'!F20</f>
        <v>0</v>
      </c>
      <c r="BW1" s="1269">
        <f>'TAB 4 Project Funding'!F19</f>
        <v>0</v>
      </c>
      <c r="BX1" s="1269" t="str">
        <f>'TAB 4 Project Funding'!F34</f>
        <v/>
      </c>
      <c r="BY1" s="1269">
        <f>'TAB 4 Project Funding'!F11</f>
        <v>0</v>
      </c>
      <c r="BZ1" s="1269">
        <f>'TAB 4 Project Funding'!F12</f>
        <v>0</v>
      </c>
      <c r="CA1" s="1268">
        <f>'TAB 4 Project Funding'!F13</f>
        <v>0</v>
      </c>
      <c r="CB1" s="1268">
        <f>'TAB 4 Project Funding'!F14</f>
        <v>0</v>
      </c>
      <c r="CC1" s="1268">
        <f>'TAB 4 Project Funding'!F15</f>
        <v>0</v>
      </c>
      <c r="CD1" s="1268">
        <f>'TAB 4 Project Funding'!F16</f>
        <v>0</v>
      </c>
      <c r="CE1" s="1268">
        <f>'TAB 4 Project Funding'!F17</f>
        <v>0</v>
      </c>
      <c r="CF1" s="1268">
        <f>'TAB 4 Project Funding'!F18</f>
        <v>0</v>
      </c>
      <c r="CG1" s="1268">
        <f>'TAB 4 Project Funding'!F35</f>
        <v>0</v>
      </c>
      <c r="CH1" s="1268">
        <f>'TAB 4 Project Funding'!F36</f>
        <v>0</v>
      </c>
      <c r="CI1" s="1268">
        <f>'TAB 4 Project Funding'!F37</f>
        <v>0</v>
      </c>
      <c r="CJ1" s="1268">
        <f>'TAB 2 Project Specs'!J7</f>
        <v>0</v>
      </c>
      <c r="CK1" s="1269">
        <f>'TAB 2 Project Specs'!D8</f>
        <v>0</v>
      </c>
      <c r="CL1" s="1270">
        <f>'TAB 2 Project Specs'!H8</f>
        <v>0</v>
      </c>
      <c r="CM1" s="1269">
        <f>'TAB 2 Project Specs'!O8</f>
        <v>0</v>
      </c>
      <c r="CN1" s="1268">
        <f>'TAB 3 Project Cost'!H12</f>
        <v>0</v>
      </c>
      <c r="CO1" s="1268">
        <f>'TAB 3 Project Cost'!G16</f>
        <v>0</v>
      </c>
      <c r="CP1" s="1271" t="str">
        <f>'TAB 3 Project Cost'!R13</f>
        <v/>
      </c>
      <c r="CQ1" s="1271" t="str">
        <f>'TAB 3 Project Cost'!R14</f>
        <v/>
      </c>
      <c r="CR1" s="1268">
        <f>'TAB 3 Project Cost'!G15</f>
        <v>0</v>
      </c>
      <c r="CS1" s="1271" t="str">
        <f>'TAB 3 Project Cost'!F17</f>
        <v/>
      </c>
      <c r="CT1" s="1271" t="str">
        <f>'TAB 3 Project Cost'!F19</f>
        <v/>
      </c>
      <c r="CU1" s="1272" t="str">
        <f>'TAB 3 Project Cost'!F18</f>
        <v/>
      </c>
      <c r="CV1" s="1268">
        <f>'TAB 3 Project Cost'!G20</f>
        <v>0</v>
      </c>
      <c r="CW1" s="1268">
        <f>'TAB 3 Project Cost'!H20</f>
        <v>0</v>
      </c>
      <c r="CX1" s="1268">
        <f>'TAB 3 Project Cost'!G21</f>
        <v>0</v>
      </c>
      <c r="CY1" s="1268">
        <f>'TAB 3 Project Cost'!H21</f>
        <v>0</v>
      </c>
      <c r="CZ1" s="1268">
        <f>'TAB 3 Project Cost'!F21</f>
        <v>0</v>
      </c>
      <c r="DA1" s="1271" t="str">
        <f>'TAB 3 Project Cost'!R22</f>
        <v/>
      </c>
      <c r="DB1" s="1271" t="str">
        <f>'TAB 3 Project Cost'!R23</f>
        <v/>
      </c>
      <c r="DC1" s="1271" t="str">
        <f>'TAB 3 Project Cost'!R24</f>
        <v/>
      </c>
      <c r="DD1" s="1271" t="str">
        <f>'TAB 3 Project Cost'!R25</f>
        <v/>
      </c>
      <c r="DE1" s="1271" t="str">
        <f>'TAB 3 Project Cost'!R26</f>
        <v/>
      </c>
      <c r="DF1" s="1271" t="str">
        <f>'TAB 3 Project Cost'!R27</f>
        <v/>
      </c>
      <c r="DG1" s="1271" t="str">
        <f>'TAB 3 Project Cost'!R28</f>
        <v/>
      </c>
      <c r="DH1" s="1271" t="str">
        <f>'TAB 3 Project Cost'!R29</f>
        <v/>
      </c>
      <c r="DI1" s="1271" t="str">
        <f>'TAB 3 Project Cost'!R31</f>
        <v/>
      </c>
      <c r="DJ1" s="1271" t="str">
        <f>'TAB 3 Project Cost'!R32</f>
        <v/>
      </c>
      <c r="DK1" s="1271" t="str">
        <f>'TAB 3 Project Cost'!R33</f>
        <v/>
      </c>
      <c r="DL1" s="1268">
        <f>'TAB 3 Project Cost'!G34</f>
        <v>0</v>
      </c>
      <c r="DM1" s="1268">
        <f>'TAB 3 Project Cost'!H34</f>
        <v>0</v>
      </c>
      <c r="DN1" s="1269">
        <f>'TAB 3 Project Cost'!G36</f>
        <v>0</v>
      </c>
      <c r="DO1" s="1273">
        <f>'TAB 3 Project Cost'!H42</f>
        <v>0</v>
      </c>
      <c r="DP1" s="1269">
        <f>'TAB 3 Project Cost'!G47</f>
        <v>0</v>
      </c>
      <c r="DQ1" s="1271" t="str">
        <f>'TAB 3 Project Cost'!R43</f>
        <v/>
      </c>
      <c r="DR1" s="1271" t="str">
        <f>'TAB 3 Project Cost'!R44</f>
        <v/>
      </c>
      <c r="DS1" s="1268">
        <f>'TAB 3 Project Cost'!G46</f>
        <v>0</v>
      </c>
      <c r="DT1" s="1271" t="str">
        <f>'TAB 3 Project Cost'!F48</f>
        <v/>
      </c>
      <c r="DU1" s="1271" t="str">
        <f>'TAB 3 Project Cost'!F50</f>
        <v/>
      </c>
      <c r="DV1" s="1271" t="str">
        <f>'TAB 3 Project Cost'!F49</f>
        <v/>
      </c>
      <c r="DW1" s="1268">
        <f>'TAB 3 Project Cost'!G51</f>
        <v>0</v>
      </c>
      <c r="DX1" s="1268">
        <f>'TAB 3 Project Cost'!H51</f>
        <v>0</v>
      </c>
      <c r="DY1" s="1268">
        <f>'TAB 3 Project Cost'!G52</f>
        <v>0</v>
      </c>
      <c r="DZ1" s="1268">
        <f>'TAB 3 Project Cost'!H52</f>
        <v>0</v>
      </c>
      <c r="EA1" s="1268">
        <f>'TAB 3 Project Cost'!F52</f>
        <v>0</v>
      </c>
      <c r="EB1" s="1271" t="str">
        <f>'TAB 3 Project Cost'!R53</f>
        <v/>
      </c>
      <c r="EC1" s="1271" t="str">
        <f>'TAB 3 Project Cost'!R54</f>
        <v/>
      </c>
      <c r="ED1" s="1274" t="str">
        <f>'TAB 3 Project Cost'!R55</f>
        <v/>
      </c>
      <c r="EE1" s="1274" t="str">
        <f>'TAB 3 Project Cost'!R56</f>
        <v/>
      </c>
      <c r="EF1" s="1271" t="str">
        <f>'TAB 3 Project Cost'!R57</f>
        <v/>
      </c>
      <c r="EG1" s="1271" t="str">
        <f>'TAB 3 Project Cost'!R58</f>
        <v/>
      </c>
      <c r="EH1" s="1271" t="str">
        <f>'TAB 3 Project Cost'!R59</f>
        <v/>
      </c>
      <c r="EI1" s="1271" t="str">
        <f>'TAB 3 Project Cost'!R60</f>
        <v/>
      </c>
      <c r="EJ1" s="1271" t="str">
        <f>'TAB 3 Project Cost'!R62</f>
        <v/>
      </c>
      <c r="EK1" s="1271" t="str">
        <f>'TAB 3 Project Cost'!R63</f>
        <v/>
      </c>
      <c r="EL1" s="1271" t="str">
        <f>'TAB 3 Project Cost'!R64</f>
        <v/>
      </c>
      <c r="EM1" s="1268">
        <f>'TAB 3 Project Cost'!G65</f>
        <v>0</v>
      </c>
      <c r="EN1" s="1268">
        <f>'TAB 3 Project Cost'!H65</f>
        <v>0</v>
      </c>
      <c r="EO1" s="1268">
        <f>'TAB 2 Project Specs'!I19</f>
        <v>0</v>
      </c>
      <c r="EP1" s="1268">
        <f>'TAB 2 Project Specs'!O24</f>
        <v>0</v>
      </c>
      <c r="EQ1" s="1268">
        <f>'TAB 2 Project Specs'!M20</f>
        <v>0</v>
      </c>
      <c r="ER1" s="1269" t="str">
        <f>'TAB 2 Project Specs'!D22</f>
        <v/>
      </c>
      <c r="ES1" s="1275">
        <f>'TAB 2 Project Specs'!D24</f>
        <v>1</v>
      </c>
      <c r="ET1" s="1269" t="str">
        <f>'TAB 2 Project Specs'!D26</f>
        <v/>
      </c>
      <c r="EU1" s="1270">
        <f>'TAB 2 Project Specs'!G26</f>
        <v>0</v>
      </c>
      <c r="EV1" s="1269" t="str">
        <f>'TAB 2 Project Specs'!I26</f>
        <v/>
      </c>
      <c r="EW1" s="1268">
        <f>'TAB 3 Project Cost'!H39</f>
        <v>0</v>
      </c>
      <c r="EX1" s="1268">
        <f>'TAB 3 Project Cost'!AC51</f>
        <v>0</v>
      </c>
      <c r="EY1" s="1268">
        <f>'TAB 2 Project Specs'!I36</f>
        <v>0</v>
      </c>
      <c r="EZ1" s="1268">
        <f>'TAB 2 Project Specs'!O41</f>
        <v>0</v>
      </c>
      <c r="FA1" s="1268">
        <f>'TAB 2 Project Specs'!M37</f>
        <v>0</v>
      </c>
      <c r="FB1" s="1269" t="str">
        <f>'TAB 2 Project Specs'!D39</f>
        <v/>
      </c>
      <c r="FC1" s="1275">
        <f>'TAB 2 Project Specs'!D41</f>
        <v>1</v>
      </c>
      <c r="FD1" s="1269" t="str">
        <f>'TAB 2 Project Specs'!D43</f>
        <v/>
      </c>
      <c r="FE1" s="1270">
        <f>'TAB 2 Project Specs'!G43</f>
        <v>0</v>
      </c>
      <c r="FF1" s="1269" t="str">
        <f>'TAB 2 Project Specs'!I43</f>
        <v/>
      </c>
      <c r="FG1" s="1268">
        <f>'TAB 3 Project Cost'!H40</f>
        <v>0</v>
      </c>
      <c r="FH1" s="1268">
        <f>'TAB 3 Project Cost'!AD51</f>
        <v>0</v>
      </c>
      <c r="FI1" s="1268">
        <f>'TAB 2 Project Specs'!I53</f>
        <v>0</v>
      </c>
      <c r="FJ1" s="1268">
        <f>'TAB 2 Project Specs'!O58</f>
        <v>0</v>
      </c>
      <c r="FK1" s="1268">
        <f>'TAB 2 Project Specs'!M54</f>
        <v>0</v>
      </c>
      <c r="FL1" s="1269" t="str">
        <f>'TAB 2 Project Specs'!D56</f>
        <v/>
      </c>
      <c r="FM1" s="1275">
        <f>'TAB 2 Project Specs'!D58</f>
        <v>1</v>
      </c>
      <c r="FN1" s="1269" t="str">
        <f>'TAB 2 Project Specs'!D60</f>
        <v/>
      </c>
      <c r="FO1" s="1270">
        <f>'TAB 2 Project Specs'!G60</f>
        <v>0</v>
      </c>
      <c r="FP1" s="1269" t="str">
        <f>'TAB 2 Project Specs'!I60</f>
        <v/>
      </c>
      <c r="FQ1" s="1268">
        <f>'TAB 3 Project Cost'!H41</f>
        <v>0</v>
      </c>
      <c r="FR1" s="1268">
        <f>'TAB 3 Project Cost'!AE51</f>
        <v>0</v>
      </c>
      <c r="FS1" s="1387">
        <f>'TAB 3 Project Cost'!G80</f>
        <v>0</v>
      </c>
      <c r="FT1" s="1268">
        <f>'TAB 3 Project Cost'!H80</f>
        <v>0</v>
      </c>
      <c r="FU1" s="1268" t="str">
        <f>'TAB 3 Project Cost'!D77</f>
        <v/>
      </c>
      <c r="FV1" s="1277" t="str">
        <f>'TAB 2 Project Specs'!K78</f>
        <v/>
      </c>
      <c r="FW1" s="1277">
        <f>'TAB 2 Project Specs'!O76</f>
        <v>0</v>
      </c>
      <c r="FX1" s="1269" t="str">
        <f>'TAB 2 Project Specs'!D78</f>
        <v/>
      </c>
      <c r="FY1" s="1269">
        <f>'TAB 2 Project Specs'!H78</f>
        <v>1</v>
      </c>
      <c r="FZ1" s="1269">
        <f>'TAB 2 Project Specs'!N78</f>
        <v>0</v>
      </c>
      <c r="GA1" s="1269">
        <f>'TAB 3 Project Cost'!I77</f>
        <v>0</v>
      </c>
      <c r="GB1" s="1269">
        <f>'TAB 3 Project Cost'!J77</f>
        <v>0</v>
      </c>
      <c r="GC1" s="1269">
        <f>'TAB 3 Project Cost'!G77</f>
        <v>0</v>
      </c>
      <c r="GD1" s="1278">
        <f>'TAB 3 Project Cost'!H77</f>
        <v>0</v>
      </c>
      <c r="GE1" s="1268" t="str">
        <f>'TAB 3 Project Cost'!D78</f>
        <v/>
      </c>
      <c r="GF1" s="1277" t="str">
        <f>'TAB 2 Project Specs'!K83</f>
        <v/>
      </c>
      <c r="GG1" s="1277">
        <f>'TAB 2 Project Specs'!O81</f>
        <v>0</v>
      </c>
      <c r="GH1" s="1269" t="str">
        <f>'TAB 2 Project Specs'!D83</f>
        <v/>
      </c>
      <c r="GI1" s="1269">
        <f>'TAB 2 Project Specs'!H83</f>
        <v>1</v>
      </c>
      <c r="GJ1" s="1269">
        <f>'TAB 2 Project Specs'!N83</f>
        <v>0</v>
      </c>
      <c r="GK1" s="1269">
        <f>'TAB 3 Project Cost'!I78</f>
        <v>0</v>
      </c>
      <c r="GL1" s="1269">
        <f>'TAB 3 Project Cost'!J78</f>
        <v>0</v>
      </c>
      <c r="GM1" s="1269">
        <f>'TAB 3 Project Cost'!G78</f>
        <v>0</v>
      </c>
      <c r="GN1" s="1268">
        <f>'TAB 3 Project Cost'!H78</f>
        <v>0</v>
      </c>
      <c r="GO1" s="1276" t="str">
        <f>'TAB 3 Project Cost'!D79</f>
        <v/>
      </c>
      <c r="GP1" s="1277" t="str">
        <f>'TAB 2 Project Specs'!K88</f>
        <v/>
      </c>
      <c r="GQ1" s="1277">
        <f>'TAB 2 Project Specs'!O86</f>
        <v>0</v>
      </c>
      <c r="GR1" s="1269" t="str">
        <f>'TAB 2 Project Specs'!D88</f>
        <v/>
      </c>
      <c r="GS1" s="1269">
        <f>'TAB 2 Project Specs'!H88</f>
        <v>1</v>
      </c>
      <c r="GT1" s="1269">
        <f>'TAB 2 Project Specs'!N88</f>
        <v>0</v>
      </c>
      <c r="GU1" s="1269">
        <f>'TAB 3 Project Cost'!I79</f>
        <v>0</v>
      </c>
      <c r="GV1" s="1269">
        <f>'TAB 3 Project Cost'!J79</f>
        <v>0</v>
      </c>
      <c r="GW1" s="1269">
        <f>'TAB 3 Project Cost'!G79</f>
        <v>0</v>
      </c>
      <c r="GX1" s="1279">
        <f>'TAB 3 Project Cost'!H79</f>
        <v>0</v>
      </c>
      <c r="GY1" s="1268" t="str">
        <f>'TAB 3 Project Cost'!R91</f>
        <v/>
      </c>
      <c r="GZ1" s="1268">
        <f>'TAB 3 Project Cost'!G92</f>
        <v>0</v>
      </c>
      <c r="HA1" s="1271" t="str">
        <f>'TAB 3 Project Cost'!F93</f>
        <v/>
      </c>
      <c r="HB1" s="1271" t="str">
        <f>'TAB 3 Project Cost'!F95</f>
        <v/>
      </c>
      <c r="HC1" s="1271" t="str">
        <f>'TAB 3 Project Cost'!F94</f>
        <v/>
      </c>
      <c r="HD1" s="1268">
        <f>'TAB 3 Project Cost'!G96</f>
        <v>0</v>
      </c>
      <c r="HE1" s="1268">
        <f>'TAB 3 Project Cost'!F97</f>
        <v>0</v>
      </c>
      <c r="HF1" s="1271" t="str">
        <f>'TAB 3 Project Cost'!R98</f>
        <v/>
      </c>
      <c r="HG1" s="1271" t="str">
        <f>'TAB 3 Project Cost'!R99</f>
        <v/>
      </c>
      <c r="HH1" s="1271" t="str">
        <f>'TAB 3 Project Cost'!R100</f>
        <v/>
      </c>
      <c r="HI1" s="1271" t="str">
        <f>'TAB 3 Project Cost'!R102</f>
        <v/>
      </c>
      <c r="HJ1" s="1271" t="str">
        <f>'TAB 3 Project Cost'!R103</f>
        <v/>
      </c>
      <c r="HK1" s="1279">
        <f>'TAB 3 Project Cost'!G104</f>
        <v>0</v>
      </c>
      <c r="HL1" s="1269">
        <f>'TAB 3 Project Cost'!F85</f>
        <v>0</v>
      </c>
      <c r="HM1" s="1268">
        <f>'TAB 3 Project Cost'!H85</f>
        <v>0</v>
      </c>
      <c r="HN1" s="1268">
        <f>'TAB 3 Project Cost'!G85</f>
        <v>0</v>
      </c>
      <c r="HO1" s="1269">
        <f>'TAB 3 Project Cost'!F86</f>
        <v>0</v>
      </c>
      <c r="HP1" s="1268">
        <f>'TAB 3 Project Cost'!H86</f>
        <v>0</v>
      </c>
      <c r="HQ1" s="1268">
        <f>'TAB 3 Project Cost'!G86</f>
        <v>0</v>
      </c>
      <c r="HR1" s="1279">
        <f>'TAB 3 Project Cost'!G87</f>
        <v>0</v>
      </c>
      <c r="HS1" s="1276">
        <f>'TAB 3 Project Cost'!G88</f>
        <v>0</v>
      </c>
      <c r="HT1" s="1268">
        <f>'TAB 3 Project Cost'!G89</f>
        <v>0</v>
      </c>
      <c r="HU1" s="1279">
        <f>'TAB 3 Project Cost'!G90</f>
        <v>0</v>
      </c>
      <c r="HV1" s="1269">
        <f>'TAB 3 Project Cost'!F108</f>
        <v>0</v>
      </c>
      <c r="HW1" s="1268">
        <f>'TAB 3 Project Cost'!H110</f>
        <v>0</v>
      </c>
      <c r="HX1" s="1268">
        <f>'TAB 3 Project Cost'!G110</f>
        <v>0</v>
      </c>
      <c r="HY1" s="1269">
        <f>'TAB 3 Project Cost'!H108</f>
        <v>0</v>
      </c>
      <c r="HZ1" s="1268">
        <f>'TAB 3 Project Cost'!H111</f>
        <v>0</v>
      </c>
      <c r="IA1" s="1268">
        <f>'TAB 3 Project Cost'!G111</f>
        <v>0</v>
      </c>
      <c r="IB1" s="1279">
        <f>'TAB 3 Project Cost'!G112</f>
        <v>0</v>
      </c>
      <c r="IC1" s="1277">
        <f>'TAB 2 Project Specs'!D13</f>
        <v>0</v>
      </c>
      <c r="ID1" s="1277">
        <f>'TAB 2 Project Specs'!E13</f>
        <v>0</v>
      </c>
      <c r="IE1" s="1277">
        <f>'TAB 2 Project Specs'!F13</f>
        <v>0</v>
      </c>
      <c r="IF1" s="1277">
        <f>'TAB 2 Project Specs'!G13</f>
        <v>0</v>
      </c>
      <c r="IG1" s="1277">
        <f>'TAB 2 Project Specs'!H13</f>
        <v>0</v>
      </c>
      <c r="IH1" s="1277">
        <f>'TAB 2 Project Specs'!I13</f>
        <v>0</v>
      </c>
      <c r="II1" s="1277">
        <f>'TAB 2 Project Specs'!J13</f>
        <v>0</v>
      </c>
      <c r="IJ1" s="1277">
        <f>'TAB 2 Project Specs'!K13</f>
        <v>0</v>
      </c>
      <c r="IK1" s="1277">
        <f>'TAB 2 Project Specs'!L13</f>
        <v>0</v>
      </c>
      <c r="IL1" s="1277">
        <f>'TAB 2 Project Specs'!M13</f>
        <v>0</v>
      </c>
      <c r="IM1" s="1277">
        <f>'TAB 2 Project Specs'!D31</f>
        <v>0</v>
      </c>
      <c r="IN1" s="1277">
        <f>'TAB 2 Project Specs'!E31</f>
        <v>0</v>
      </c>
      <c r="IO1" s="1277">
        <f>'TAB 2 Project Specs'!F31</f>
        <v>0</v>
      </c>
      <c r="IP1" s="1277">
        <f>'TAB 2 Project Specs'!G31</f>
        <v>0</v>
      </c>
      <c r="IQ1" s="1277">
        <f>'TAB 2 Project Specs'!H31</f>
        <v>0</v>
      </c>
      <c r="IR1" s="1277">
        <f>'TAB 2 Project Specs'!I31</f>
        <v>0</v>
      </c>
      <c r="IS1" s="1277">
        <f>'TAB 2 Project Specs'!J31</f>
        <v>0</v>
      </c>
      <c r="IT1" s="1277">
        <f>'TAB 2 Project Specs'!K31</f>
        <v>0</v>
      </c>
      <c r="IU1" s="1277">
        <f>'TAB 2 Project Specs'!L31</f>
        <v>0</v>
      </c>
      <c r="IV1" s="1277">
        <f>'TAB 2 Project Specs'!M31</f>
        <v>0</v>
      </c>
      <c r="IW1" s="1277">
        <f>'TAB 2 Project Specs'!D48</f>
        <v>0</v>
      </c>
      <c r="IX1" s="1277">
        <f>'TAB 2 Project Specs'!E48</f>
        <v>0</v>
      </c>
      <c r="IY1" s="1277">
        <f>'TAB 2 Project Specs'!F48</f>
        <v>0</v>
      </c>
      <c r="IZ1" s="1277">
        <f>'TAB 2 Project Specs'!G48</f>
        <v>0</v>
      </c>
      <c r="JA1" s="1277">
        <f>'TAB 2 Project Specs'!H48</f>
        <v>0</v>
      </c>
      <c r="JB1" s="1277">
        <f>'TAB 2 Project Specs'!I48</f>
        <v>0</v>
      </c>
      <c r="JC1" s="1277">
        <f>'TAB 2 Project Specs'!J48</f>
        <v>0</v>
      </c>
      <c r="JD1" s="1277">
        <f>'TAB 2 Project Specs'!K48</f>
        <v>0</v>
      </c>
      <c r="JE1" s="1277">
        <f>'TAB 2 Project Specs'!L48</f>
        <v>0</v>
      </c>
      <c r="JF1" s="1277">
        <f>'TAB 2 Project Specs'!M48</f>
        <v>0</v>
      </c>
      <c r="JG1" s="1277">
        <f>'TAB 2 Project Specs'!D65</f>
        <v>0</v>
      </c>
      <c r="JH1" s="1277">
        <f>'TAB 2 Project Specs'!E65</f>
        <v>0</v>
      </c>
      <c r="JI1" s="1277">
        <f>'TAB 2 Project Specs'!F65</f>
        <v>0</v>
      </c>
      <c r="JJ1" s="1277">
        <f>'TAB 2 Project Specs'!G65</f>
        <v>0</v>
      </c>
      <c r="JK1" s="1277">
        <f>'TAB 2 Project Specs'!H65</f>
        <v>0</v>
      </c>
      <c r="JL1" s="1277">
        <f>'TAB 2 Project Specs'!I65</f>
        <v>0</v>
      </c>
      <c r="JM1" s="1277">
        <f>'TAB 2 Project Specs'!J65</f>
        <v>0</v>
      </c>
      <c r="JN1" s="1277">
        <f>'TAB 2 Project Specs'!K65</f>
        <v>0</v>
      </c>
      <c r="JO1" s="1277">
        <f>'TAB 2 Project Specs'!L65</f>
        <v>0</v>
      </c>
      <c r="JP1" s="1277">
        <f>'TAB 2 Project Specs'!M65</f>
        <v>0</v>
      </c>
      <c r="JQ1" s="1268" t="str">
        <f>'TAB 1 Proj. ID &amp; Prim Narrative'!B42</f>
        <v>Primary Narrative -  Project Scope and Description</v>
      </c>
      <c r="JR1" s="1268" t="str">
        <f>'TAB 1 Proj. ID &amp; Prim Narrative'!B46</f>
        <v>Primary Narrative - Project Justification</v>
      </c>
      <c r="JS1" s="1268" t="str">
        <f>'TAB 3 Project Cost'!B117</f>
        <v>Project cost supplemental narrative entry</v>
      </c>
      <c r="JT1" s="1268" t="str">
        <f>'TAB 4 Project Funding'!B42</f>
        <v>Project funding supplemental narrative entry</v>
      </c>
      <c r="JU1" s="1268" t="str">
        <f>'TAB 2 Project Specs'!B16</f>
        <v>New construction narrative entry</v>
      </c>
      <c r="JV1" s="1268" t="str">
        <f>'TAB 2 Project Specs'!B34</f>
        <v>Renovation #2 narrative entry</v>
      </c>
      <c r="JW1" s="1268" t="str">
        <f>'TAB 2 Project Specs'!B51</f>
        <v>Renovation #2 narrative entry</v>
      </c>
      <c r="JX1" s="1268" t="str">
        <f>'TAB 2 Project Specs'!B68</f>
        <v>Renovation #3 narrative entry</v>
      </c>
      <c r="JY1" s="1268" t="str">
        <f>'TAB 2 Project Specs'!B91</f>
        <v>Demolition narrative entry</v>
      </c>
      <c r="JZ1" s="1268" t="str">
        <f>'TAB 2 Project Specs'!D97</f>
        <v>Parking infrastructure narrative entry</v>
      </c>
      <c r="KA1" s="1268" t="str">
        <f>'TAB 2 Project Specs'!D103</f>
        <v>Mechanical infrastructure narrative entry.</v>
      </c>
      <c r="KB1" s="1268" t="str">
        <f>'TAB 2 Project Specs'!D106</f>
        <v>Utility infrastructure narrative entry</v>
      </c>
      <c r="KC1" s="1268" t="str">
        <f>'TAB 2 Project Specs'!D109</f>
        <v>Other infrastructure narrative entry.</v>
      </c>
      <c r="KD1" s="1268" t="str">
        <f>'TAB 2 Project Specs'!D114</f>
        <v>Acquisition narrative entry</v>
      </c>
      <c r="KE1" s="1268" t="str">
        <f>'TAB 1 Proj. ID &amp; Prim Narrative'!B19</f>
        <v/>
      </c>
      <c r="KF1" s="1268" t="str">
        <f>'TAB 1 Proj. ID &amp; Prim Narrative'!B18</f>
        <v/>
      </c>
      <c r="KG1" s="1268" t="str">
        <f>'TAB 1 Proj. ID &amp; Prim Narrative'!G24</f>
        <v/>
      </c>
      <c r="KH1" s="1268" t="str">
        <f>'TAB 4 Project Funding'!B38</f>
        <v/>
      </c>
      <c r="KI1" s="1268" t="str">
        <f>'TAB 4 Project Funding'!G35</f>
        <v/>
      </c>
      <c r="KJ1" s="1268" t="str">
        <f>'TAB 4 Project Funding'!G36</f>
        <v/>
      </c>
      <c r="KK1" s="1268" t="str">
        <f>'TAB 4 Project Funding'!G37</f>
        <v/>
      </c>
      <c r="KL1" s="1259"/>
      <c r="KM1" s="1310" t="b">
        <f>BU1=BV1</f>
        <v>1</v>
      </c>
      <c r="KN1" s="1258"/>
      <c r="KO1" s="1338" t="str">
        <f>IF($BI1&lt;&gt;"Large (3 YR $)","",IF($BL1="FY 2027",BO1,IF($BL1="FY 2028",BN1,"")))</f>
        <v/>
      </c>
      <c r="KP1" s="1338" t="str">
        <f>IF($BI1&lt;&gt;"Large (3 YR $)","",IF($BL1="FY 2027",$BP1,IF($BL1="FY 2028",$BO1,IF($BL1="FY 2029",$BN1,""))))</f>
        <v/>
      </c>
      <c r="KQ1" s="1338" t="str">
        <f>IF($BI1&lt;&gt;"Large (3 YR $)","",IF($BL1="FY 2028",$BP1,IF($BL1="FY 2029",$BO1,IF($BL1="FY 2030",$BN1,""))))</f>
        <v/>
      </c>
      <c r="KR1" s="1338" t="str">
        <f>IF($BI1&lt;&gt;"Large (3 YR $)","",IF($BL1="FY 2029",$BP1,IF($BL1="FY 2030",$BO1,IF($BL1="FY 2031",$BN1,""))))</f>
        <v/>
      </c>
      <c r="KS1" s="1338" t="str">
        <f>IF($BI1&lt;&gt;"Large (3 YR $)","",IF($BL1="FY 2030",$BP1,IF($BL1="FY 2031",$BO1,IF($BL1="FY 2032",$BN1,""))))</f>
        <v/>
      </c>
      <c r="KT1" s="1338" t="str">
        <f>IF($BI1&lt;&gt;"Large (3 YR $)","",IF($BL1="FY 2031",$BP1,""))</f>
        <v/>
      </c>
      <c r="KU1" s="1338">
        <f>SUM(KO1:KT1)</f>
        <v>0</v>
      </c>
      <c r="KV1" s="1338" t="str">
        <f>IF(AND($BI1&lt;&gt;"Large (3 YR $)",$BL1="FY 2027"),$BW1,"")</f>
        <v/>
      </c>
      <c r="KW1" s="1338" t="str">
        <f>IF(AND($BI1&lt;&gt;"Large (3 YR $)",$BL1="FY 2028"),$BW1,"")</f>
        <v/>
      </c>
      <c r="KX1" s="1338" t="str">
        <f>IF(AND($BI1&lt;&gt;"Large (3 YR $)",$BL1="FY 2029"),$BW1,"")</f>
        <v/>
      </c>
      <c r="KY1" s="1338" t="str">
        <f>IF(AND($BI1&lt;&gt;"Large (3 YR $)",$BL1="FY 2030"),$BW1,"")</f>
        <v/>
      </c>
      <c r="KZ1" s="1338" t="str">
        <f>IF(AND($BI1&lt;&gt;"Large (3 YR $)",$BL1="FY 2031"),$BW1,"")</f>
        <v/>
      </c>
      <c r="LA1" s="1338">
        <f>SUM(KV1:KZ1)</f>
        <v>0</v>
      </c>
      <c r="LB1" s="1338">
        <f>KU1+LA1</f>
        <v>0</v>
      </c>
      <c r="LC1" s="1306" t="b">
        <f>KU1=BW1</f>
        <v>1</v>
      </c>
      <c r="LD1" s="1258"/>
      <c r="LE1" s="1258"/>
      <c r="LF1" s="1258"/>
      <c r="LG1" s="1258"/>
      <c r="LH1" s="1311"/>
      <c r="LI1" s="1337">
        <f t="shared" ref="LI1" si="3">IF(KO1="",0,KO1)</f>
        <v>0</v>
      </c>
      <c r="LJ1" s="1337">
        <f t="shared" ref="LJ1" si="4">IF(KP1="",0,KP1)</f>
        <v>0</v>
      </c>
      <c r="LK1" s="1337">
        <f t="shared" ref="LK1" si="5">IF(KQ1="",0,KQ1)</f>
        <v>0</v>
      </c>
      <c r="LL1" s="1337">
        <f t="shared" ref="LL1" si="6">IF(KR1="",0,KR1)</f>
        <v>0</v>
      </c>
      <c r="LM1" s="1337">
        <f t="shared" ref="LM1" si="7">IF(KS1="",0,KS1)</f>
        <v>0</v>
      </c>
      <c r="LN1" s="1337">
        <f t="shared" ref="LN1" si="8">IF(KT1="",0,KT1)</f>
        <v>0</v>
      </c>
      <c r="LO1" s="1339"/>
      <c r="LP1" s="1337">
        <f t="shared" ref="LP1" si="9">IF(KV1="",0,KV1)</f>
        <v>0</v>
      </c>
      <c r="LQ1" s="1337">
        <f t="shared" ref="LQ1" si="10">IF(KW1="",0,KW1)</f>
        <v>0</v>
      </c>
      <c r="LR1" s="1337">
        <f t="shared" ref="LR1" si="11">IF(KX1="",0,KX1)</f>
        <v>0</v>
      </c>
      <c r="LS1" s="1337">
        <f t="shared" ref="LS1" si="12">IF(KY1="",0,KY1)</f>
        <v>0</v>
      </c>
      <c r="LT1" s="1337">
        <f t="shared" ref="LT1" si="13">IF(KZ1="",0,KZ1)</f>
        <v>0</v>
      </c>
      <c r="LU1" s="1339"/>
      <c r="LV1" s="1337" t="str">
        <f t="shared" ref="LV1" si="14">IF(LI1+LP1=0,"",LI1+LP1)</f>
        <v/>
      </c>
      <c r="LW1" s="1337" t="str">
        <f t="shared" ref="LW1" si="15">IF(LJ1+LQ1=0,"",LJ1+LQ1)</f>
        <v/>
      </c>
      <c r="LX1" s="1337" t="str">
        <f t="shared" ref="LX1" si="16">IF(LK1+LR1=0,"",LK1+LR1)</f>
        <v/>
      </c>
      <c r="LY1" s="1337" t="str">
        <f t="shared" ref="LY1" si="17">IF(LL1+LS1=0,"",LL1+LS1)</f>
        <v/>
      </c>
      <c r="LZ1" s="1337" t="str">
        <f t="shared" ref="LZ1" si="18">IF(LM1+LT1=0,"",LM1+LT1)</f>
        <v/>
      </c>
      <c r="MA1" s="1337" t="str">
        <f>IF(LN1=0,"",LN1)</f>
        <v/>
      </c>
      <c r="MB1" s="1306" t="b">
        <f>H1=BL1</f>
        <v>1</v>
      </c>
      <c r="MC1" s="1306" t="b">
        <f>KL1&lt;&gt;""</f>
        <v>0</v>
      </c>
      <c r="VL1" s="1309" t="b">
        <f t="shared" ref="VL1" si="19">BC1=MD1</f>
        <v>1</v>
      </c>
      <c r="VM1" s="1309" t="b">
        <f>BD1=ME1</f>
        <v>1</v>
      </c>
      <c r="VN1" s="1309" t="b">
        <f t="shared" ref="VN1" si="20">BE1=MF1</f>
        <v>1</v>
      </c>
      <c r="VO1" s="1309" t="b">
        <f t="shared" ref="VO1" si="21">BF1=MG1</f>
        <v>1</v>
      </c>
      <c r="VP1" s="1309" t="b">
        <f t="shared" ref="VP1" si="22">BG1=MH1</f>
        <v>1</v>
      </c>
      <c r="VQ1" s="1309" t="b">
        <f t="shared" ref="VQ1" si="23">BI1=MI1</f>
        <v>1</v>
      </c>
      <c r="VR1" s="1309" t="b">
        <f t="shared" ref="VR1" si="24">BJ1=MJ1</f>
        <v>0</v>
      </c>
      <c r="VS1" s="1309" t="b">
        <f t="shared" ref="VS1" si="25">BK1=MK1</f>
        <v>1</v>
      </c>
      <c r="VT1" s="1309" t="b">
        <f t="shared" ref="VT1" si="26">BL1=ML1</f>
        <v>1</v>
      </c>
      <c r="VU1" s="1309" t="b">
        <f t="shared" ref="VU1" si="27">BM1=MM1</f>
        <v>0</v>
      </c>
      <c r="VV1" s="1309" t="b">
        <f t="shared" ref="VV1" si="28">BN1=MN1</f>
        <v>1</v>
      </c>
      <c r="VW1" s="1309" t="b">
        <f t="shared" ref="VW1" si="29">BO1=MO1</f>
        <v>1</v>
      </c>
      <c r="VX1" s="1309" t="b">
        <f t="shared" ref="VX1" si="30">BP1=MP1</f>
        <v>1</v>
      </c>
      <c r="VY1" s="1309" t="b">
        <f t="shared" ref="VY1" si="31">BQ1=MQ1</f>
        <v>1</v>
      </c>
      <c r="VZ1" s="1309" t="b">
        <f t="shared" ref="VZ1" si="32">BR1=MR1</f>
        <v>1</v>
      </c>
      <c r="WA1" s="1309" t="b">
        <f t="shared" ref="WA1" si="33">BS1=MS1</f>
        <v>1</v>
      </c>
      <c r="WB1" s="1309" t="b">
        <f t="shared" ref="WB1" si="34">BT1=MT1</f>
        <v>1</v>
      </c>
      <c r="WC1" s="1309" t="b">
        <f t="shared" ref="WC1" si="35">BU1=MU1</f>
        <v>1</v>
      </c>
      <c r="WD1" s="1309" t="b">
        <f t="shared" ref="WD1" si="36">BV1=MV1</f>
        <v>1</v>
      </c>
      <c r="WE1" s="1309" t="b">
        <f t="shared" ref="WE1" si="37">BW1=MW1</f>
        <v>1</v>
      </c>
      <c r="WF1" s="1309" t="b">
        <f t="shared" ref="WF1" si="38">BX1=MX1</f>
        <v>1</v>
      </c>
      <c r="WG1" s="1309" t="b">
        <f t="shared" ref="WG1" si="39">BY1=MY1</f>
        <v>1</v>
      </c>
      <c r="WH1" s="1309" t="b">
        <f t="shared" ref="WH1" si="40">BZ1=MZ1</f>
        <v>1</v>
      </c>
      <c r="WI1" s="1309" t="b">
        <f t="shared" ref="WI1" si="41">CA1=NA1</f>
        <v>1</v>
      </c>
      <c r="WJ1" s="1309" t="b">
        <f t="shared" ref="WJ1" si="42">CB1=NB1</f>
        <v>1</v>
      </c>
      <c r="WK1" s="1309" t="b">
        <f t="shared" ref="WK1" si="43">CC1=NC1</f>
        <v>1</v>
      </c>
      <c r="WL1" s="1309" t="b">
        <f t="shared" ref="WL1" si="44">CD1=ND1</f>
        <v>1</v>
      </c>
      <c r="WM1" s="1309" t="b">
        <f t="shared" ref="WM1" si="45">CE1=NE1</f>
        <v>1</v>
      </c>
      <c r="WN1" s="1309" t="b">
        <f t="shared" ref="WN1" si="46">CF1=NF1</f>
        <v>1</v>
      </c>
      <c r="WO1" s="1309" t="b">
        <f t="shared" ref="WO1" si="47">CG1=NG1</f>
        <v>1</v>
      </c>
      <c r="WP1" s="1309" t="b">
        <f t="shared" ref="WP1" si="48">CH1=NH1</f>
        <v>1</v>
      </c>
      <c r="WQ1" s="1309" t="b">
        <f t="shared" ref="WQ1" si="49">CI1=NI1</f>
        <v>1</v>
      </c>
      <c r="WR1" s="1309" t="b">
        <f t="shared" ref="WR1" si="50">CJ1=NJ1</f>
        <v>1</v>
      </c>
      <c r="WS1" s="1309" t="b">
        <f t="shared" ref="WS1" si="51">CK1=NK1</f>
        <v>1</v>
      </c>
      <c r="WT1" s="1309" t="b">
        <f t="shared" ref="WT1" si="52">CL1=NL1</f>
        <v>1</v>
      </c>
      <c r="WU1" s="1309" t="b">
        <f t="shared" ref="WU1" si="53">CM1=NM1</f>
        <v>1</v>
      </c>
      <c r="WV1" s="1309" t="b">
        <f t="shared" ref="WV1" si="54">CN1=NN1</f>
        <v>1</v>
      </c>
      <c r="WW1" s="1309" t="b">
        <f t="shared" ref="WW1" si="55">CO1=NO1</f>
        <v>1</v>
      </c>
      <c r="WX1" s="1309" t="b">
        <f t="shared" ref="WX1" si="56">CP1=NP1</f>
        <v>1</v>
      </c>
      <c r="WY1" s="1309" t="b">
        <f t="shared" ref="WY1" si="57">CQ1=NQ1</f>
        <v>1</v>
      </c>
      <c r="WZ1" s="1309" t="b">
        <f t="shared" ref="WZ1" si="58">CR1=NR1</f>
        <v>1</v>
      </c>
      <c r="XA1" s="1309" t="b">
        <f t="shared" ref="XA1" si="59">CS1=NS1</f>
        <v>1</v>
      </c>
      <c r="XB1" s="1309" t="b">
        <f t="shared" ref="XB1" si="60">CT1=NT1</f>
        <v>1</v>
      </c>
      <c r="XC1" s="1309" t="b">
        <f t="shared" ref="XC1" si="61">CU1=NU1</f>
        <v>1</v>
      </c>
      <c r="XD1" s="1309" t="b">
        <f t="shared" ref="XD1" si="62">CV1=NV1</f>
        <v>1</v>
      </c>
      <c r="XE1" s="1309" t="b">
        <f t="shared" ref="XE1" si="63">CW1=NW1</f>
        <v>1</v>
      </c>
      <c r="XF1" s="1309" t="b">
        <f t="shared" ref="XF1" si="64">CX1=NX1</f>
        <v>1</v>
      </c>
      <c r="XG1" s="1309" t="b">
        <f t="shared" ref="XG1" si="65">CY1=NY1</f>
        <v>1</v>
      </c>
      <c r="XH1" s="1309" t="b">
        <f t="shared" ref="XH1" si="66">CZ1=NZ1</f>
        <v>1</v>
      </c>
      <c r="XI1" s="1309" t="b">
        <f t="shared" ref="XI1" si="67">DA1=OA1</f>
        <v>1</v>
      </c>
      <c r="XJ1" s="1309" t="b">
        <f t="shared" ref="XJ1" si="68">DB1=OB1</f>
        <v>1</v>
      </c>
      <c r="XK1" s="1309" t="b">
        <f t="shared" ref="XK1" si="69">DC1=OC1</f>
        <v>1</v>
      </c>
      <c r="XL1" s="1309" t="b">
        <f t="shared" ref="XL1" si="70">DD1=OD1</f>
        <v>1</v>
      </c>
      <c r="XM1" s="1309" t="b">
        <f t="shared" ref="XM1" si="71">DE1=OE1</f>
        <v>1</v>
      </c>
      <c r="XN1" s="1309" t="b">
        <f t="shared" ref="XN1" si="72">DF1=OF1</f>
        <v>1</v>
      </c>
      <c r="XO1" s="1309" t="b">
        <f t="shared" ref="XO1" si="73">DG1=OG1</f>
        <v>1</v>
      </c>
      <c r="XP1" s="1309" t="b">
        <f t="shared" ref="XP1" si="74">DH1=OH1</f>
        <v>1</v>
      </c>
      <c r="XQ1" s="1309" t="b">
        <f t="shared" ref="XQ1" si="75">DI1=OI1</f>
        <v>1</v>
      </c>
      <c r="XR1" s="1309" t="b">
        <f t="shared" ref="XR1" si="76">DJ1=OJ1</f>
        <v>1</v>
      </c>
      <c r="XS1" s="1309" t="b">
        <f t="shared" ref="XS1" si="77">DK1=OK1</f>
        <v>1</v>
      </c>
      <c r="XT1" s="1309" t="b">
        <f t="shared" ref="XT1" si="78">DL1=OL1</f>
        <v>1</v>
      </c>
      <c r="XU1" s="1309" t="b">
        <f t="shared" ref="XU1" si="79">DM1=OM1</f>
        <v>1</v>
      </c>
      <c r="XV1" s="1309" t="b">
        <f t="shared" ref="XV1" si="80">DN1=ON1</f>
        <v>1</v>
      </c>
      <c r="XW1" s="1309" t="b">
        <f t="shared" ref="XW1" si="81">DO1=OO1</f>
        <v>1</v>
      </c>
      <c r="XX1" s="1309" t="b">
        <f t="shared" ref="XX1" si="82">DP1=OP1</f>
        <v>1</v>
      </c>
      <c r="XY1" s="1309" t="b">
        <f t="shared" ref="XY1" si="83">DQ1=OQ1</f>
        <v>1</v>
      </c>
      <c r="XZ1" s="1309" t="b">
        <f t="shared" ref="XZ1" si="84">DR1=OR1</f>
        <v>1</v>
      </c>
      <c r="YA1" s="1309" t="b">
        <f t="shared" ref="YA1" si="85">DS1=OS1</f>
        <v>1</v>
      </c>
      <c r="YB1" s="1309" t="b">
        <f t="shared" ref="YB1" si="86">DT1=OT1</f>
        <v>1</v>
      </c>
      <c r="YC1" s="1309" t="b">
        <f t="shared" ref="YC1" si="87">DU1=OU1</f>
        <v>1</v>
      </c>
      <c r="YD1" s="1309" t="b">
        <f t="shared" ref="YD1" si="88">DV1=OV1</f>
        <v>1</v>
      </c>
      <c r="YE1" s="1309" t="b">
        <f t="shared" ref="YE1" si="89">DW1=OW1</f>
        <v>1</v>
      </c>
      <c r="YF1" s="1309" t="b">
        <f t="shared" ref="YF1" si="90">DX1=OX1</f>
        <v>1</v>
      </c>
      <c r="YG1" s="1309" t="b">
        <f t="shared" ref="YG1" si="91">DY1=OY1</f>
        <v>1</v>
      </c>
      <c r="YH1" s="1309" t="b">
        <f t="shared" ref="YH1" si="92">DZ1=OZ1</f>
        <v>1</v>
      </c>
      <c r="YI1" s="1309" t="b">
        <f t="shared" ref="YI1" si="93">EA1=PA1</f>
        <v>1</v>
      </c>
      <c r="YJ1" s="1309" t="b">
        <f t="shared" ref="YJ1" si="94">EB1=PB1</f>
        <v>1</v>
      </c>
      <c r="YK1" s="1309" t="b">
        <f t="shared" ref="YK1" si="95">EC1=PC1</f>
        <v>1</v>
      </c>
      <c r="YL1" s="1309" t="b">
        <f t="shared" ref="YL1" si="96">ED1=PD1</f>
        <v>1</v>
      </c>
      <c r="YM1" s="1309" t="b">
        <f t="shared" ref="YM1" si="97">EE1=PE1</f>
        <v>1</v>
      </c>
      <c r="YN1" s="1309" t="b">
        <f t="shared" ref="YN1" si="98">EF1=PF1</f>
        <v>1</v>
      </c>
      <c r="YO1" s="1309" t="b">
        <f t="shared" ref="YO1" si="99">EG1=PG1</f>
        <v>1</v>
      </c>
      <c r="YP1" s="1309" t="b">
        <f t="shared" ref="YP1" si="100">EH1=PH1</f>
        <v>1</v>
      </c>
      <c r="YQ1" s="1309" t="b">
        <f t="shared" ref="YQ1" si="101">EI1=PI1</f>
        <v>1</v>
      </c>
      <c r="YR1" s="1309" t="b">
        <f t="shared" ref="YR1" si="102">EJ1=PJ1</f>
        <v>1</v>
      </c>
      <c r="YS1" s="1309" t="b">
        <f t="shared" ref="YS1" si="103">EK1=PK1</f>
        <v>1</v>
      </c>
      <c r="YT1" s="1309" t="b">
        <f t="shared" ref="YT1" si="104">EL1=PL1</f>
        <v>1</v>
      </c>
      <c r="YU1" s="1309" t="b">
        <f t="shared" ref="YU1" si="105">EM1=PM1</f>
        <v>1</v>
      </c>
      <c r="YV1" s="1309" t="b">
        <f t="shared" ref="YV1" si="106">EN1=PN1</f>
        <v>1</v>
      </c>
      <c r="YW1" s="1309" t="b">
        <f t="shared" ref="YW1" si="107">EO1=PO1</f>
        <v>1</v>
      </c>
      <c r="YX1" s="1309" t="b">
        <f t="shared" ref="YX1" si="108">EP1=PP1</f>
        <v>1</v>
      </c>
      <c r="YY1" s="1309" t="b">
        <f t="shared" ref="YY1" si="109">EQ1=PQ1</f>
        <v>1</v>
      </c>
      <c r="YZ1" s="1309" t="b">
        <f t="shared" ref="YZ1" si="110">ER1=PR1</f>
        <v>1</v>
      </c>
      <c r="ZA1" s="1309" t="b">
        <f t="shared" ref="ZA1" si="111">ES1=PS1</f>
        <v>0</v>
      </c>
      <c r="ZB1" s="1309" t="b">
        <f t="shared" ref="ZB1" si="112">ET1=PT1</f>
        <v>1</v>
      </c>
      <c r="ZC1" s="1309" t="b">
        <f t="shared" ref="ZC1" si="113">EU1=PU1</f>
        <v>1</v>
      </c>
      <c r="ZD1" s="1309" t="b">
        <f t="shared" ref="ZD1" si="114">EV1=PV1</f>
        <v>1</v>
      </c>
      <c r="ZE1" s="1309" t="b">
        <f t="shared" ref="ZE1" si="115">EW1=PW1</f>
        <v>1</v>
      </c>
      <c r="ZF1" s="1309" t="b">
        <f t="shared" ref="ZF1" si="116">EY1=PX1</f>
        <v>1</v>
      </c>
      <c r="ZG1" s="1309" t="b">
        <f t="shared" ref="ZG1" si="117">EZ1=PY1</f>
        <v>1</v>
      </c>
      <c r="ZH1" s="1309" t="b">
        <f t="shared" ref="ZH1" si="118">FA1=PZ1</f>
        <v>1</v>
      </c>
      <c r="ZI1" s="1309" t="b">
        <f t="shared" ref="ZI1" si="119">FB1=QA1</f>
        <v>1</v>
      </c>
      <c r="ZJ1" s="1309" t="b">
        <f t="shared" ref="ZJ1" si="120">FC1=QB1</f>
        <v>0</v>
      </c>
      <c r="ZK1" s="1309" t="b">
        <f t="shared" ref="ZK1" si="121">FD1=QC1</f>
        <v>1</v>
      </c>
      <c r="ZL1" s="1309" t="b">
        <f t="shared" ref="ZL1" si="122">FE1=QD1</f>
        <v>1</v>
      </c>
      <c r="ZM1" s="1309" t="b">
        <f t="shared" ref="ZM1" si="123">FF1=QE1</f>
        <v>1</v>
      </c>
      <c r="ZN1" s="1309" t="b">
        <f t="shared" ref="ZN1" si="124">FG1=QF1</f>
        <v>1</v>
      </c>
      <c r="ZO1" s="1309" t="b">
        <f t="shared" ref="ZO1" si="125">FI1=QG1</f>
        <v>1</v>
      </c>
      <c r="ZP1" s="1309" t="b">
        <f t="shared" ref="ZP1" si="126">FJ1=QH1</f>
        <v>1</v>
      </c>
      <c r="ZQ1" s="1309" t="b">
        <f t="shared" ref="ZQ1" si="127">FK1=QI1</f>
        <v>1</v>
      </c>
      <c r="ZR1" s="1309" t="b">
        <f t="shared" ref="ZR1" si="128">FL1=QJ1</f>
        <v>1</v>
      </c>
      <c r="ZS1" s="1309" t="b">
        <f t="shared" ref="ZS1" si="129">FM1=QK1</f>
        <v>0</v>
      </c>
      <c r="ZT1" s="1309" t="b">
        <f t="shared" ref="ZT1" si="130">FN1=QL1</f>
        <v>1</v>
      </c>
      <c r="ZU1" s="1309" t="b">
        <f t="shared" ref="ZU1" si="131">FO1=QM1</f>
        <v>1</v>
      </c>
      <c r="ZV1" s="1309" t="b">
        <f t="shared" ref="ZV1" si="132">FP1=QN1</f>
        <v>1</v>
      </c>
      <c r="ZW1" s="1309" t="b">
        <f t="shared" ref="ZW1" si="133">FQ1=QO1</f>
        <v>1</v>
      </c>
      <c r="ZX1" s="1309" t="b">
        <f t="shared" ref="ZX1" si="134">FS1=QP1</f>
        <v>1</v>
      </c>
      <c r="ZY1" s="1309" t="b">
        <f t="shared" ref="ZY1" si="135">FT1=QQ1</f>
        <v>1</v>
      </c>
      <c r="ZZ1" s="1309" t="b">
        <f t="shared" ref="ZZ1" si="136">FU1=QR1</f>
        <v>1</v>
      </c>
      <c r="AAA1" s="1309" t="b">
        <f t="shared" ref="AAA1" si="137">FV1=QS1</f>
        <v>1</v>
      </c>
      <c r="AAB1" s="1309" t="b">
        <f t="shared" ref="AAB1" si="138">FW1=QT1</f>
        <v>1</v>
      </c>
      <c r="AAC1" s="1309" t="b">
        <f t="shared" ref="AAC1" si="139">FX1=QU1</f>
        <v>1</v>
      </c>
      <c r="AAD1" s="1309" t="b">
        <f t="shared" ref="AAD1" si="140">FY1=QV1</f>
        <v>0</v>
      </c>
      <c r="AAE1" s="1309" t="b">
        <f t="shared" ref="AAE1" si="141">FZ1=QW1</f>
        <v>1</v>
      </c>
      <c r="AAF1" s="1309" t="b">
        <f t="shared" ref="AAF1" si="142">GA1=QX1</f>
        <v>1</v>
      </c>
      <c r="AAG1" s="1309" t="b">
        <f t="shared" ref="AAG1" si="143">GB1=QY1</f>
        <v>1</v>
      </c>
      <c r="AAH1" s="1309" t="b">
        <f t="shared" ref="AAH1" si="144">GC1=QZ1</f>
        <v>1</v>
      </c>
      <c r="AAI1" s="1309" t="b">
        <f t="shared" ref="AAI1" si="145">GD1=RA1</f>
        <v>1</v>
      </c>
      <c r="AAJ1" s="1309" t="b">
        <f t="shared" ref="AAJ1" si="146">GE1=RB1</f>
        <v>1</v>
      </c>
      <c r="AAK1" s="1309" t="b">
        <f t="shared" ref="AAK1" si="147">GF1=RC1</f>
        <v>1</v>
      </c>
      <c r="AAL1" s="1309" t="b">
        <f t="shared" ref="AAL1" si="148">GG1=RD1</f>
        <v>1</v>
      </c>
      <c r="AAM1" s="1309" t="b">
        <f t="shared" ref="AAM1" si="149">GH1=RE1</f>
        <v>1</v>
      </c>
      <c r="AAN1" s="1309" t="b">
        <f t="shared" ref="AAN1" si="150">GI1=RF1</f>
        <v>0</v>
      </c>
      <c r="AAO1" s="1309" t="b">
        <f t="shared" ref="AAO1" si="151">GJ1=RG1</f>
        <v>1</v>
      </c>
      <c r="AAP1" s="1309" t="b">
        <f t="shared" ref="AAP1" si="152">GK1=RH1</f>
        <v>1</v>
      </c>
      <c r="AAQ1" s="1309" t="b">
        <f t="shared" ref="AAQ1" si="153">GL1=RI1</f>
        <v>1</v>
      </c>
      <c r="AAR1" s="1309" t="b">
        <f t="shared" ref="AAR1" si="154">GM1=RJ1</f>
        <v>1</v>
      </c>
      <c r="AAS1" s="1309" t="b">
        <f t="shared" ref="AAS1" si="155">GN1=RK1</f>
        <v>1</v>
      </c>
      <c r="AAT1" s="1309" t="b">
        <f t="shared" ref="AAT1" si="156">GO1=RL1</f>
        <v>1</v>
      </c>
      <c r="AAU1" s="1309" t="b">
        <f t="shared" ref="AAU1" si="157">GP1=RM1</f>
        <v>1</v>
      </c>
      <c r="AAV1" s="1309" t="b">
        <f t="shared" ref="AAV1" si="158">GQ1=RN1</f>
        <v>1</v>
      </c>
      <c r="AAW1" s="1309" t="b">
        <f t="shared" ref="AAW1" si="159">GR1=RO1</f>
        <v>1</v>
      </c>
      <c r="AAX1" s="1309" t="b">
        <f t="shared" ref="AAX1" si="160">GS1=RP1</f>
        <v>0</v>
      </c>
      <c r="AAY1" s="1309" t="b">
        <f t="shared" ref="AAY1" si="161">GT1=RQ1</f>
        <v>1</v>
      </c>
      <c r="AAZ1" s="1309" t="b">
        <f t="shared" ref="AAZ1" si="162">GU1=RR1</f>
        <v>1</v>
      </c>
      <c r="ABA1" s="1309" t="b">
        <f t="shared" ref="ABA1" si="163">GV1=RS1</f>
        <v>1</v>
      </c>
      <c r="ABB1" s="1309" t="b">
        <f t="shared" ref="ABB1" si="164">GW1=RT1</f>
        <v>1</v>
      </c>
      <c r="ABC1" s="1309" t="b">
        <f t="shared" ref="ABC1" si="165">GX1=RU1</f>
        <v>1</v>
      </c>
      <c r="ABD1" s="1309" t="b">
        <f t="shared" ref="ABD1" si="166">GY1=RV1</f>
        <v>1</v>
      </c>
      <c r="ABE1" s="1309" t="b">
        <f t="shared" ref="ABE1" si="167">GZ1=RW1</f>
        <v>1</v>
      </c>
      <c r="ABF1" s="1309" t="b">
        <f t="shared" ref="ABF1" si="168">HA1=RX1</f>
        <v>1</v>
      </c>
      <c r="ABG1" s="1309" t="b">
        <f t="shared" ref="ABG1" si="169">HB1=RY1</f>
        <v>1</v>
      </c>
      <c r="ABH1" s="1309" t="b">
        <f t="shared" ref="ABH1" si="170">HC1=RZ1</f>
        <v>1</v>
      </c>
      <c r="ABI1" s="1309" t="b">
        <f t="shared" ref="ABI1" si="171">HD1=SA1</f>
        <v>1</v>
      </c>
      <c r="ABJ1" s="1309" t="b">
        <f t="shared" ref="ABJ1" si="172">HE1=SB1</f>
        <v>1</v>
      </c>
      <c r="ABK1" s="1309" t="b">
        <f t="shared" ref="ABK1" si="173">HF1=SC1</f>
        <v>1</v>
      </c>
      <c r="ABL1" s="1309" t="b">
        <f t="shared" ref="ABL1" si="174">HG1=SD1</f>
        <v>1</v>
      </c>
      <c r="ABM1" s="1309" t="b">
        <f t="shared" ref="ABM1" si="175">HH1=SE1</f>
        <v>1</v>
      </c>
      <c r="ABN1" s="1309" t="b">
        <f t="shared" ref="ABN1" si="176">HI1=SF1</f>
        <v>1</v>
      </c>
      <c r="ABO1" s="1309" t="b">
        <f t="shared" ref="ABO1" si="177">HJ1=SG1</f>
        <v>1</v>
      </c>
      <c r="ABP1" s="1309" t="b">
        <f t="shared" ref="ABP1" si="178">HK1=SH1</f>
        <v>1</v>
      </c>
      <c r="ABQ1" s="1309" t="b">
        <f t="shared" ref="ABQ1" si="179">HL1=SI1</f>
        <v>1</v>
      </c>
      <c r="ABR1" s="1309" t="b">
        <f t="shared" ref="ABR1" si="180">HM1=SJ1</f>
        <v>1</v>
      </c>
      <c r="ABS1" s="1309" t="b">
        <f t="shared" ref="ABS1" si="181">HN1=SK1</f>
        <v>1</v>
      </c>
      <c r="ABT1" s="1309" t="b">
        <f t="shared" ref="ABT1" si="182">HO1=SL1</f>
        <v>1</v>
      </c>
      <c r="ABU1" s="1309" t="b">
        <f t="shared" ref="ABU1" si="183">HP1=SM1</f>
        <v>1</v>
      </c>
      <c r="ABV1" s="1309" t="b">
        <f t="shared" ref="ABV1" si="184">HQ1=SN1</f>
        <v>1</v>
      </c>
      <c r="ABW1" s="1309" t="b">
        <f t="shared" ref="ABW1" si="185">HR1=SO1</f>
        <v>1</v>
      </c>
      <c r="ABX1" s="1309" t="b">
        <f t="shared" ref="ABX1" si="186">HS1=SP1</f>
        <v>1</v>
      </c>
      <c r="ABY1" s="1309" t="b">
        <f t="shared" ref="ABY1" si="187">HT1=SQ1</f>
        <v>1</v>
      </c>
      <c r="ABZ1" s="1309" t="b">
        <f t="shared" ref="ABZ1" si="188">HU1=SR1</f>
        <v>1</v>
      </c>
      <c r="ACA1" s="1309" t="b">
        <f t="shared" ref="ACA1" si="189">HV1=SS1</f>
        <v>1</v>
      </c>
      <c r="ACB1" s="1309" t="b">
        <f t="shared" ref="ACB1" si="190">HW1=ST1</f>
        <v>1</v>
      </c>
      <c r="ACC1" s="1309" t="b">
        <f t="shared" ref="ACC1" si="191">HX1=SU1</f>
        <v>1</v>
      </c>
      <c r="ACD1" s="1309" t="b">
        <f t="shared" ref="ACD1" si="192">HY1=SV1</f>
        <v>1</v>
      </c>
      <c r="ACE1" s="1309" t="b">
        <f t="shared" ref="ACE1" si="193">HZ1=SW1</f>
        <v>1</v>
      </c>
      <c r="ACF1" s="1309" t="b">
        <f t="shared" ref="ACF1" si="194">IA1=SX1</f>
        <v>1</v>
      </c>
      <c r="ACG1" s="1309" t="b">
        <f t="shared" ref="ACG1" si="195">IB1=SY1</f>
        <v>1</v>
      </c>
      <c r="ACH1" s="1309" t="b">
        <f t="shared" ref="ACH1" si="196">IC1=SZ1</f>
        <v>1</v>
      </c>
      <c r="ACI1" s="1309" t="b">
        <f t="shared" ref="ACI1" si="197">ID1=TA1</f>
        <v>1</v>
      </c>
      <c r="ACJ1" s="1309" t="b">
        <f t="shared" ref="ACJ1" si="198">IE1=TB1</f>
        <v>1</v>
      </c>
      <c r="ACK1" s="1309" t="b">
        <f t="shared" ref="ACK1" si="199">IF1=TC1</f>
        <v>1</v>
      </c>
      <c r="ACL1" s="1309" t="b">
        <f t="shared" ref="ACL1" si="200">IG1=TD1</f>
        <v>1</v>
      </c>
      <c r="ACM1" s="1309" t="b">
        <f t="shared" ref="ACM1" si="201">IH1=TE1</f>
        <v>1</v>
      </c>
      <c r="ACN1" s="1309" t="b">
        <f t="shared" ref="ACN1" si="202">II1=TF1</f>
        <v>1</v>
      </c>
      <c r="ACO1" s="1309" t="b">
        <f t="shared" ref="ACO1" si="203">IJ1=TG1</f>
        <v>1</v>
      </c>
      <c r="ACP1" s="1309" t="b">
        <f t="shared" ref="ACP1" si="204">IK1=TH1</f>
        <v>1</v>
      </c>
      <c r="ACQ1" s="1309" t="b">
        <f t="shared" ref="ACQ1" si="205">IL1=TI1</f>
        <v>1</v>
      </c>
      <c r="ACR1" s="1309" t="b">
        <f t="shared" ref="ACR1" si="206">IM1=TJ1</f>
        <v>1</v>
      </c>
      <c r="ACS1" s="1309" t="b">
        <f t="shared" ref="ACS1" si="207">IN1=TK1</f>
        <v>1</v>
      </c>
      <c r="ACT1" s="1309" t="b">
        <f t="shared" ref="ACT1" si="208">IO1=TL1</f>
        <v>1</v>
      </c>
      <c r="ACU1" s="1309" t="b">
        <f t="shared" ref="ACU1" si="209">IP1=TM1</f>
        <v>1</v>
      </c>
      <c r="ACV1" s="1309" t="b">
        <f t="shared" ref="ACV1" si="210">IQ1=TN1</f>
        <v>1</v>
      </c>
      <c r="ACW1" s="1309" t="b">
        <f t="shared" ref="ACW1" si="211">IR1=TO1</f>
        <v>1</v>
      </c>
      <c r="ACX1" s="1309" t="b">
        <f t="shared" ref="ACX1" si="212">IS1=TP1</f>
        <v>1</v>
      </c>
      <c r="ACY1" s="1309" t="b">
        <f t="shared" ref="ACY1" si="213">IT1=TQ1</f>
        <v>1</v>
      </c>
      <c r="ACZ1" s="1309" t="b">
        <f t="shared" ref="ACZ1" si="214">IU1=TR1</f>
        <v>1</v>
      </c>
      <c r="ADA1" s="1309" t="b">
        <f t="shared" ref="ADA1" si="215">IV1=TS1</f>
        <v>1</v>
      </c>
      <c r="ADB1" s="1309" t="b">
        <f t="shared" ref="ADB1" si="216">IW1=TT1</f>
        <v>1</v>
      </c>
      <c r="ADC1" s="1309" t="b">
        <f t="shared" ref="ADC1" si="217">IX1=TU1</f>
        <v>1</v>
      </c>
      <c r="ADD1" s="1309" t="b">
        <f t="shared" ref="ADD1" si="218">IY1=TV1</f>
        <v>1</v>
      </c>
      <c r="ADE1" s="1309" t="b">
        <f t="shared" ref="ADE1" si="219">IZ1=TW1</f>
        <v>1</v>
      </c>
      <c r="ADF1" s="1309" t="b">
        <f t="shared" ref="ADF1" si="220">JA1=TX1</f>
        <v>1</v>
      </c>
      <c r="ADG1" s="1309" t="b">
        <f t="shared" ref="ADG1" si="221">JB1=TY1</f>
        <v>1</v>
      </c>
      <c r="ADH1" s="1309" t="b">
        <f t="shared" ref="ADH1" si="222">JC1=TZ1</f>
        <v>1</v>
      </c>
      <c r="ADI1" s="1309" t="b">
        <f t="shared" ref="ADI1" si="223">JD1=UA1</f>
        <v>1</v>
      </c>
      <c r="ADJ1" s="1309" t="b">
        <f t="shared" ref="ADJ1" si="224">JE1=UB1</f>
        <v>1</v>
      </c>
      <c r="ADK1" s="1309" t="b">
        <f t="shared" ref="ADK1" si="225">JF1=UC1</f>
        <v>1</v>
      </c>
      <c r="ADL1" s="1309" t="b">
        <f t="shared" ref="ADL1" si="226">JG1=UD1</f>
        <v>1</v>
      </c>
      <c r="ADM1" s="1309" t="b">
        <f t="shared" ref="ADM1" si="227">JH1=UE1</f>
        <v>1</v>
      </c>
      <c r="ADN1" s="1309" t="b">
        <f t="shared" ref="ADN1" si="228">JI1=UF1</f>
        <v>1</v>
      </c>
      <c r="ADO1" s="1309" t="b">
        <f t="shared" ref="ADO1" si="229">JJ1=UG1</f>
        <v>1</v>
      </c>
      <c r="ADP1" s="1309" t="b">
        <f t="shared" ref="ADP1" si="230">JK1=UH1</f>
        <v>1</v>
      </c>
      <c r="ADQ1" s="1309" t="b">
        <f t="shared" ref="ADQ1" si="231">JL1=UI1</f>
        <v>1</v>
      </c>
      <c r="ADR1" s="1309" t="b">
        <f t="shared" ref="ADR1" si="232">JM1=UJ1</f>
        <v>1</v>
      </c>
      <c r="ADS1" s="1309" t="b">
        <f t="shared" ref="ADS1" si="233">JN1=UK1</f>
        <v>1</v>
      </c>
      <c r="ADT1" s="1309" t="b">
        <f t="shared" ref="ADT1" si="234">JO1=UL1</f>
        <v>1</v>
      </c>
      <c r="ADU1" s="1309" t="b">
        <f t="shared" ref="ADU1" si="235">JP1=UM1</f>
        <v>1</v>
      </c>
      <c r="ADV1" s="1309" t="b">
        <f t="shared" ref="ADV1" si="236">JQ1=UN1</f>
        <v>0</v>
      </c>
      <c r="ADW1" s="1309" t="b">
        <f t="shared" ref="ADW1" si="237">JR1=UO1</f>
        <v>0</v>
      </c>
      <c r="ADX1" s="1309" t="b">
        <f t="shared" ref="ADX1" si="238">JS1=UP1</f>
        <v>0</v>
      </c>
      <c r="ADY1" s="1309" t="b">
        <f t="shared" ref="ADY1" si="239">JT1=UQ1</f>
        <v>0</v>
      </c>
      <c r="ADZ1" s="1309" t="b">
        <f t="shared" ref="ADZ1" si="240">JU1=UR1</f>
        <v>0</v>
      </c>
      <c r="AEA1" s="1309" t="b">
        <f t="shared" ref="AEA1" si="241">JV1=US1</f>
        <v>0</v>
      </c>
      <c r="AEB1" s="1309" t="b">
        <f t="shared" ref="AEB1" si="242">JW1=UT1</f>
        <v>0</v>
      </c>
      <c r="AEC1" s="1309" t="b">
        <f t="shared" ref="AEC1" si="243">JX1=UU1</f>
        <v>0</v>
      </c>
      <c r="AED1" s="1309" t="b">
        <f t="shared" ref="AED1" si="244">JY1=UV1</f>
        <v>0</v>
      </c>
      <c r="AEE1" s="1309" t="b">
        <f t="shared" ref="AEE1" si="245">JZ1=UW1</f>
        <v>0</v>
      </c>
      <c r="AEF1" s="1309" t="b">
        <f t="shared" ref="AEF1" si="246">KA1=UX1</f>
        <v>0</v>
      </c>
      <c r="AEG1" s="1309" t="b">
        <f t="shared" ref="AEG1" si="247">KB1=UY1</f>
        <v>0</v>
      </c>
      <c r="AEH1" s="1309" t="b">
        <f t="shared" ref="AEH1" si="248">KC1=UZ1</f>
        <v>0</v>
      </c>
      <c r="AEI1" s="1309" t="b">
        <f t="shared" ref="AEI1" si="249">KD1=VA1</f>
        <v>0</v>
      </c>
      <c r="AEK1" s="1309" t="b">
        <f>AEJ1=BE1</f>
        <v>1</v>
      </c>
    </row>
    <row r="2" spans="1:817" ht="75.75" thickBot="1">
      <c r="A2" s="1255" t="s">
        <v>7926</v>
      </c>
      <c r="B2" s="1248" t="s">
        <v>6701</v>
      </c>
      <c r="C2" s="1248" t="s">
        <v>154</v>
      </c>
      <c r="D2" s="1248" t="s">
        <v>100</v>
      </c>
      <c r="E2" s="1259" t="s">
        <v>7932</v>
      </c>
      <c r="F2" s="1248" t="s">
        <v>7933</v>
      </c>
      <c r="G2" s="1248" t="s">
        <v>6707</v>
      </c>
      <c r="H2" s="1248" t="s">
        <v>7483</v>
      </c>
      <c r="I2" s="1259" t="s">
        <v>7934</v>
      </c>
      <c r="J2" s="1248" t="s">
        <v>7917</v>
      </c>
      <c r="K2" s="1249" t="s">
        <v>7918</v>
      </c>
      <c r="L2" s="1249" t="s">
        <v>400</v>
      </c>
      <c r="M2" s="1256" t="s">
        <v>8129</v>
      </c>
      <c r="N2" s="1256" t="s">
        <v>8128</v>
      </c>
      <c r="O2" s="1256" t="s">
        <v>8130</v>
      </c>
      <c r="P2" s="1256" t="s">
        <v>8131</v>
      </c>
      <c r="Q2" s="1256" t="s">
        <v>7922</v>
      </c>
      <c r="R2" s="1256" t="s">
        <v>8132</v>
      </c>
      <c r="S2" s="1256" t="s">
        <v>8133</v>
      </c>
      <c r="T2" s="1249" t="s">
        <v>257</v>
      </c>
      <c r="U2" s="1248" t="s">
        <v>7937</v>
      </c>
      <c r="V2" s="1249" t="s">
        <v>7919</v>
      </c>
      <c r="W2" s="1248" t="s">
        <v>7938</v>
      </c>
      <c r="X2" s="1249" t="s">
        <v>7920</v>
      </c>
      <c r="Y2" s="1249" t="s">
        <v>6919</v>
      </c>
      <c r="Z2" s="1260" t="s">
        <v>7939</v>
      </c>
      <c r="AA2" s="1259" t="s">
        <v>7940</v>
      </c>
      <c r="AB2" s="1259" t="s">
        <v>7941</v>
      </c>
      <c r="AC2" s="1261" t="s">
        <v>7942</v>
      </c>
      <c r="AD2" s="1261" t="s">
        <v>7943</v>
      </c>
      <c r="AE2" s="1261" t="s">
        <v>7944</v>
      </c>
      <c r="AF2" s="1261" t="s">
        <v>7945</v>
      </c>
      <c r="AG2" s="1281" t="s">
        <v>8135</v>
      </c>
      <c r="AH2" s="1281" t="s">
        <v>8126</v>
      </c>
      <c r="AI2" s="1281" t="s">
        <v>8127</v>
      </c>
      <c r="AJ2" s="1281" t="s">
        <v>8026</v>
      </c>
      <c r="AK2" s="1281" t="s">
        <v>8027</v>
      </c>
      <c r="AL2" s="1281" t="s">
        <v>8028</v>
      </c>
      <c r="AM2" s="1281" t="s">
        <v>8134</v>
      </c>
      <c r="AN2" s="1281" t="s">
        <v>8029</v>
      </c>
      <c r="AO2" s="1282" t="s">
        <v>8125</v>
      </c>
      <c r="AP2" s="1282" t="s">
        <v>8030</v>
      </c>
      <c r="AQ2" s="1282" t="s">
        <v>8031</v>
      </c>
      <c r="AR2" s="1282" t="s">
        <v>8032</v>
      </c>
      <c r="AS2" s="1282" t="s">
        <v>8033</v>
      </c>
      <c r="AT2" s="1282" t="s">
        <v>8034</v>
      </c>
      <c r="AU2" s="1250" t="s">
        <v>7924</v>
      </c>
      <c r="AV2" s="1262" t="s">
        <v>7415</v>
      </c>
      <c r="AW2" s="1262" t="s">
        <v>7413</v>
      </c>
      <c r="AX2" s="1262" t="s">
        <v>7414</v>
      </c>
      <c r="AY2" s="1283" t="s">
        <v>7946</v>
      </c>
      <c r="AZ2" s="1283" t="s">
        <v>7947</v>
      </c>
      <c r="BA2" s="1283" t="s">
        <v>7948</v>
      </c>
      <c r="BB2" s="1288" t="s">
        <v>7949</v>
      </c>
      <c r="BC2" s="1263" t="s">
        <v>7950</v>
      </c>
      <c r="BD2" s="425" t="s">
        <v>6701</v>
      </c>
      <c r="BE2" s="425" t="s">
        <v>154</v>
      </c>
      <c r="BF2" s="425" t="s">
        <v>100</v>
      </c>
      <c r="BG2" s="425" t="s">
        <v>7482</v>
      </c>
      <c r="BH2" s="425" t="s">
        <v>6702</v>
      </c>
      <c r="BI2" s="425" t="s">
        <v>8079</v>
      </c>
      <c r="BJ2" s="425" t="s">
        <v>8064</v>
      </c>
      <c r="BK2" s="425" t="s">
        <v>6707</v>
      </c>
      <c r="BL2" s="425" t="s">
        <v>7483</v>
      </c>
      <c r="BM2" s="425" t="s">
        <v>8078</v>
      </c>
      <c r="BN2" s="425" t="s">
        <v>7415</v>
      </c>
      <c r="BO2" s="425" t="s">
        <v>7413</v>
      </c>
      <c r="BP2" s="425" t="s">
        <v>7414</v>
      </c>
      <c r="BQ2" s="425" t="s">
        <v>8080</v>
      </c>
      <c r="BR2" s="425" t="s">
        <v>7192</v>
      </c>
      <c r="BS2" s="425" t="s">
        <v>255</v>
      </c>
      <c r="BT2" s="425" t="s">
        <v>256</v>
      </c>
      <c r="BU2" s="425" t="s">
        <v>7416</v>
      </c>
      <c r="BV2" s="425" t="s">
        <v>261</v>
      </c>
      <c r="BW2" s="425" t="s">
        <v>158</v>
      </c>
      <c r="BX2" s="425" t="s">
        <v>260</v>
      </c>
      <c r="BY2" s="425" t="s">
        <v>6709</v>
      </c>
      <c r="BZ2" s="425" t="s">
        <v>6735</v>
      </c>
      <c r="CA2" s="425" t="s">
        <v>6736</v>
      </c>
      <c r="CB2" s="425" t="s">
        <v>6737</v>
      </c>
      <c r="CC2" s="425" t="s">
        <v>6738</v>
      </c>
      <c r="CD2" s="425" t="s">
        <v>6710</v>
      </c>
      <c r="CE2" s="425" t="s">
        <v>7193</v>
      </c>
      <c r="CF2" s="425" t="s">
        <v>6711</v>
      </c>
      <c r="CG2" s="425" t="s">
        <v>262</v>
      </c>
      <c r="CH2" s="425" t="s">
        <v>263</v>
      </c>
      <c r="CI2" s="425" t="s">
        <v>264</v>
      </c>
      <c r="CJ2" s="425" t="s">
        <v>292</v>
      </c>
      <c r="CK2" s="425" t="s">
        <v>257</v>
      </c>
      <c r="CL2" s="425" t="s">
        <v>258</v>
      </c>
      <c r="CM2" s="425" t="s">
        <v>259</v>
      </c>
      <c r="CN2" s="425" t="s">
        <v>7418</v>
      </c>
      <c r="CO2" s="425" t="s">
        <v>7420</v>
      </c>
      <c r="CP2" s="425" t="s">
        <v>7487</v>
      </c>
      <c r="CQ2" s="425" t="s">
        <v>7200</v>
      </c>
      <c r="CR2" s="425" t="s">
        <v>8065</v>
      </c>
      <c r="CS2" s="425" t="s">
        <v>7194</v>
      </c>
      <c r="CT2" s="425" t="s">
        <v>7422</v>
      </c>
      <c r="CU2" s="425" t="s">
        <v>7423</v>
      </c>
      <c r="CV2" s="425" t="s">
        <v>7425</v>
      </c>
      <c r="CW2" s="425" t="s">
        <v>7426</v>
      </c>
      <c r="CX2" s="425" t="s">
        <v>7428</v>
      </c>
      <c r="CY2" s="425" t="s">
        <v>7433</v>
      </c>
      <c r="CZ2" s="425" t="s">
        <v>7430</v>
      </c>
      <c r="DA2" s="425" t="s">
        <v>7434</v>
      </c>
      <c r="DB2" s="425" t="s">
        <v>7436</v>
      </c>
      <c r="DC2" s="425" t="s">
        <v>7438</v>
      </c>
      <c r="DD2" s="425" t="s">
        <v>7440</v>
      </c>
      <c r="DE2" s="425" t="s">
        <v>7442</v>
      </c>
      <c r="DF2" s="425" t="s">
        <v>7444</v>
      </c>
      <c r="DG2" s="425" t="s">
        <v>7446</v>
      </c>
      <c r="DH2" s="425" t="s">
        <v>7448</v>
      </c>
      <c r="DI2" s="425" t="s">
        <v>277</v>
      </c>
      <c r="DJ2" s="425" t="s">
        <v>293</v>
      </c>
      <c r="DK2" s="425" t="s">
        <v>7450</v>
      </c>
      <c r="DL2" s="425" t="s">
        <v>7452</v>
      </c>
      <c r="DM2" s="425" t="s">
        <v>7454</v>
      </c>
      <c r="DN2" s="425" t="s">
        <v>7417</v>
      </c>
      <c r="DO2" s="425" t="s">
        <v>7419</v>
      </c>
      <c r="DP2" s="425" t="s">
        <v>7421</v>
      </c>
      <c r="DQ2" s="425" t="s">
        <v>266</v>
      </c>
      <c r="DR2" s="425" t="s">
        <v>7488</v>
      </c>
      <c r="DS2" s="425" t="s">
        <v>8066</v>
      </c>
      <c r="DT2" s="425" t="s">
        <v>7203</v>
      </c>
      <c r="DU2" s="425" t="s">
        <v>7204</v>
      </c>
      <c r="DV2" s="425" t="s">
        <v>7205</v>
      </c>
      <c r="DW2" s="425" t="s">
        <v>7424</v>
      </c>
      <c r="DX2" s="425" t="s">
        <v>7427</v>
      </c>
      <c r="DY2" s="425" t="s">
        <v>7429</v>
      </c>
      <c r="DZ2" s="425" t="s">
        <v>7432</v>
      </c>
      <c r="EA2" s="425" t="s">
        <v>7431</v>
      </c>
      <c r="EB2" s="425" t="s">
        <v>7435</v>
      </c>
      <c r="EC2" s="425" t="s">
        <v>7437</v>
      </c>
      <c r="ED2" s="425" t="s">
        <v>7439</v>
      </c>
      <c r="EE2" s="425" t="s">
        <v>7441</v>
      </c>
      <c r="EF2" s="425" t="s">
        <v>7443</v>
      </c>
      <c r="EG2" s="425" t="s">
        <v>7445</v>
      </c>
      <c r="EH2" s="425" t="s">
        <v>7447</v>
      </c>
      <c r="EI2" s="425" t="s">
        <v>7449</v>
      </c>
      <c r="EJ2" s="425" t="s">
        <v>277</v>
      </c>
      <c r="EK2" s="425" t="s">
        <v>293</v>
      </c>
      <c r="EL2" s="425" t="s">
        <v>7451</v>
      </c>
      <c r="EM2" s="425" t="s">
        <v>7453</v>
      </c>
      <c r="EN2" s="425" t="s">
        <v>7455</v>
      </c>
      <c r="EO2" s="425" t="s">
        <v>7198</v>
      </c>
      <c r="EP2" s="425" t="s">
        <v>306</v>
      </c>
      <c r="EQ2" s="425" t="s">
        <v>276</v>
      </c>
      <c r="ER2" s="425" t="s">
        <v>288</v>
      </c>
      <c r="ES2" s="425" t="s">
        <v>6718</v>
      </c>
      <c r="ET2" s="425" t="s">
        <v>6705</v>
      </c>
      <c r="EU2" s="425" t="s">
        <v>258</v>
      </c>
      <c r="EV2" s="425" t="s">
        <v>333</v>
      </c>
      <c r="EW2" s="425" t="s">
        <v>7199</v>
      </c>
      <c r="EX2" s="425" t="s">
        <v>8124</v>
      </c>
      <c r="EY2" s="425" t="s">
        <v>7198</v>
      </c>
      <c r="EZ2" s="425" t="s">
        <v>306</v>
      </c>
      <c r="FA2" s="425" t="s">
        <v>276</v>
      </c>
      <c r="FB2" s="425" t="s">
        <v>288</v>
      </c>
      <c r="FC2" s="425" t="s">
        <v>6718</v>
      </c>
      <c r="FD2" s="425" t="s">
        <v>6705</v>
      </c>
      <c r="FE2" s="425" t="s">
        <v>258</v>
      </c>
      <c r="FF2" s="425" t="s">
        <v>333</v>
      </c>
      <c r="FG2" s="425" t="s">
        <v>7199</v>
      </c>
      <c r="FH2" s="425" t="s">
        <v>8124</v>
      </c>
      <c r="FI2" s="425" t="s">
        <v>7198</v>
      </c>
      <c r="FJ2" s="425" t="s">
        <v>306</v>
      </c>
      <c r="FK2" s="425" t="s">
        <v>276</v>
      </c>
      <c r="FL2" s="425" t="s">
        <v>288</v>
      </c>
      <c r="FM2" s="425" t="s">
        <v>258</v>
      </c>
      <c r="FN2" s="425" t="s">
        <v>6705</v>
      </c>
      <c r="FO2" s="425" t="s">
        <v>258</v>
      </c>
      <c r="FP2" s="425" t="s">
        <v>333</v>
      </c>
      <c r="FQ2" s="425" t="s">
        <v>7199</v>
      </c>
      <c r="FR2" s="425" t="s">
        <v>8124</v>
      </c>
      <c r="FS2" s="825" t="s">
        <v>7213</v>
      </c>
      <c r="FT2" s="425" t="s">
        <v>7210</v>
      </c>
      <c r="FU2" s="425" t="s">
        <v>7504</v>
      </c>
      <c r="FV2" s="425" t="s">
        <v>7510</v>
      </c>
      <c r="FW2" s="425" t="s">
        <v>7513</v>
      </c>
      <c r="FX2" s="425" t="s">
        <v>7506</v>
      </c>
      <c r="FY2" s="425" t="s">
        <v>7505</v>
      </c>
      <c r="FZ2" s="425" t="s">
        <v>7507</v>
      </c>
      <c r="GA2" s="425" t="s">
        <v>7508</v>
      </c>
      <c r="GB2" s="425" t="s">
        <v>7509</v>
      </c>
      <c r="GC2" s="425" t="s">
        <v>7457</v>
      </c>
      <c r="GD2" s="827" t="s">
        <v>7489</v>
      </c>
      <c r="GE2" s="425" t="s">
        <v>7498</v>
      </c>
      <c r="GF2" s="425" t="s">
        <v>7511</v>
      </c>
      <c r="GG2" s="425" t="s">
        <v>7514</v>
      </c>
      <c r="GH2" s="425" t="s">
        <v>7499</v>
      </c>
      <c r="GI2" s="425" t="s">
        <v>7500</v>
      </c>
      <c r="GJ2" s="425" t="s">
        <v>7501</v>
      </c>
      <c r="GK2" s="425" t="s">
        <v>7502</v>
      </c>
      <c r="GL2" s="425" t="s">
        <v>7503</v>
      </c>
      <c r="GM2" s="425" t="s">
        <v>7490</v>
      </c>
      <c r="GN2" s="425" t="s">
        <v>7212</v>
      </c>
      <c r="GO2" s="825" t="s">
        <v>7497</v>
      </c>
      <c r="GP2" s="425" t="s">
        <v>7512</v>
      </c>
      <c r="GQ2" s="425" t="s">
        <v>7515</v>
      </c>
      <c r="GR2" s="425" t="s">
        <v>7496</v>
      </c>
      <c r="GS2" s="425" t="s">
        <v>7495</v>
      </c>
      <c r="GT2" s="425" t="s">
        <v>7494</v>
      </c>
      <c r="GU2" s="425" t="s">
        <v>7493</v>
      </c>
      <c r="GV2" s="425" t="s">
        <v>7492</v>
      </c>
      <c r="GW2" s="425" t="s">
        <v>7491</v>
      </c>
      <c r="GX2" s="827" t="s">
        <v>7211</v>
      </c>
      <c r="GY2" s="425" t="s">
        <v>7516</v>
      </c>
      <c r="GZ2" s="425" t="s">
        <v>8068</v>
      </c>
      <c r="HA2" s="425" t="s">
        <v>7218</v>
      </c>
      <c r="HB2" s="425" t="s">
        <v>7219</v>
      </c>
      <c r="HC2" s="425" t="s">
        <v>7220</v>
      </c>
      <c r="HD2" s="425" t="s">
        <v>7517</v>
      </c>
      <c r="HE2" s="425" t="s">
        <v>7222</v>
      </c>
      <c r="HF2" s="425" t="s">
        <v>7221</v>
      </c>
      <c r="HG2" s="425" t="s">
        <v>7223</v>
      </c>
      <c r="HH2" s="425" t="s">
        <v>7224</v>
      </c>
      <c r="HI2" s="425" t="s">
        <v>7225</v>
      </c>
      <c r="HJ2" s="425" t="s">
        <v>7226</v>
      </c>
      <c r="HK2" s="827" t="s">
        <v>7227</v>
      </c>
      <c r="HL2" s="425" t="s">
        <v>279</v>
      </c>
      <c r="HM2" s="425" t="s">
        <v>196</v>
      </c>
      <c r="HN2" s="425" t="s">
        <v>6720</v>
      </c>
      <c r="HO2" s="425" t="s">
        <v>280</v>
      </c>
      <c r="HP2" s="425" t="s">
        <v>281</v>
      </c>
      <c r="HQ2" s="425" t="s">
        <v>7216</v>
      </c>
      <c r="HR2" s="827" t="s">
        <v>7215</v>
      </c>
      <c r="HS2" s="825" t="s">
        <v>282</v>
      </c>
      <c r="HT2" s="425" t="s">
        <v>283</v>
      </c>
      <c r="HU2" s="827" t="s">
        <v>284</v>
      </c>
      <c r="HV2" s="425" t="s">
        <v>285</v>
      </c>
      <c r="HW2" s="425" t="s">
        <v>286</v>
      </c>
      <c r="HX2" s="425" t="s">
        <v>287</v>
      </c>
      <c r="HY2" s="425" t="s">
        <v>288</v>
      </c>
      <c r="HZ2" s="425" t="s">
        <v>289</v>
      </c>
      <c r="IA2" s="425" t="s">
        <v>290</v>
      </c>
      <c r="IB2" s="827" t="s">
        <v>7228</v>
      </c>
      <c r="IC2" s="425" t="s">
        <v>295</v>
      </c>
      <c r="ID2" s="425" t="s">
        <v>330</v>
      </c>
      <c r="IE2" s="425" t="s">
        <v>331</v>
      </c>
      <c r="IF2" s="425" t="s">
        <v>296</v>
      </c>
      <c r="IG2" s="425" t="s">
        <v>297</v>
      </c>
      <c r="IH2" s="425" t="s">
        <v>298</v>
      </c>
      <c r="II2" s="425" t="s">
        <v>299</v>
      </c>
      <c r="IJ2" s="425" t="s">
        <v>300</v>
      </c>
      <c r="IK2" s="425" t="s">
        <v>301</v>
      </c>
      <c r="IL2" s="425" t="s">
        <v>302</v>
      </c>
      <c r="IM2" s="425" t="s">
        <v>295</v>
      </c>
      <c r="IN2" s="425" t="s">
        <v>330</v>
      </c>
      <c r="IO2" s="425" t="s">
        <v>331</v>
      </c>
      <c r="IP2" s="425" t="s">
        <v>296</v>
      </c>
      <c r="IQ2" s="425" t="s">
        <v>297</v>
      </c>
      <c r="IR2" s="425" t="s">
        <v>298</v>
      </c>
      <c r="IS2" s="425" t="s">
        <v>299</v>
      </c>
      <c r="IT2" s="425" t="s">
        <v>300</v>
      </c>
      <c r="IU2" s="425" t="s">
        <v>301</v>
      </c>
      <c r="IV2" s="425" t="s">
        <v>302</v>
      </c>
      <c r="IW2" s="425" t="s">
        <v>295</v>
      </c>
      <c r="IX2" s="425" t="s">
        <v>330</v>
      </c>
      <c r="IY2" s="425" t="s">
        <v>331</v>
      </c>
      <c r="IZ2" s="425" t="s">
        <v>296</v>
      </c>
      <c r="JA2" s="425" t="s">
        <v>297</v>
      </c>
      <c r="JB2" s="425" t="s">
        <v>298</v>
      </c>
      <c r="JC2" s="425" t="s">
        <v>299</v>
      </c>
      <c r="JD2" s="425" t="s">
        <v>300</v>
      </c>
      <c r="JE2" s="425" t="s">
        <v>301</v>
      </c>
      <c r="JF2" s="425" t="s">
        <v>302</v>
      </c>
      <c r="JG2" s="425" t="s">
        <v>295</v>
      </c>
      <c r="JH2" s="425" t="s">
        <v>330</v>
      </c>
      <c r="JI2" s="425" t="s">
        <v>331</v>
      </c>
      <c r="JJ2" s="425" t="s">
        <v>296</v>
      </c>
      <c r="JK2" s="425" t="s">
        <v>297</v>
      </c>
      <c r="JL2" s="425" t="s">
        <v>298</v>
      </c>
      <c r="JM2" s="425" t="s">
        <v>299</v>
      </c>
      <c r="JN2" s="425" t="s">
        <v>300</v>
      </c>
      <c r="JO2" s="425" t="s">
        <v>301</v>
      </c>
      <c r="JP2" s="425" t="s">
        <v>302</v>
      </c>
      <c r="JQ2" s="425" t="s">
        <v>7009</v>
      </c>
      <c r="JR2" s="425" t="s">
        <v>7010</v>
      </c>
      <c r="JS2" s="425" t="s">
        <v>6733</v>
      </c>
      <c r="JT2" s="425" t="s">
        <v>309</v>
      </c>
      <c r="JU2" s="425" t="s">
        <v>311</v>
      </c>
      <c r="JV2" s="425" t="s">
        <v>310</v>
      </c>
      <c r="JW2" s="425" t="s">
        <v>312</v>
      </c>
      <c r="JX2" s="425" t="s">
        <v>313</v>
      </c>
      <c r="JY2" s="425" t="s">
        <v>314</v>
      </c>
      <c r="JZ2" s="425" t="s">
        <v>315</v>
      </c>
      <c r="KA2" s="425" t="s">
        <v>316</v>
      </c>
      <c r="KB2" s="425" t="s">
        <v>332</v>
      </c>
      <c r="KC2" s="425" t="s">
        <v>317</v>
      </c>
      <c r="KD2" s="425" t="s">
        <v>318</v>
      </c>
      <c r="KE2" s="425" t="s">
        <v>8081</v>
      </c>
      <c r="KF2" s="425" t="s">
        <v>8082</v>
      </c>
      <c r="KG2" s="425" t="s">
        <v>8083</v>
      </c>
      <c r="KH2" s="425" t="s">
        <v>8089</v>
      </c>
      <c r="KI2" s="425" t="s">
        <v>8086</v>
      </c>
      <c r="KJ2" s="425" t="s">
        <v>8087</v>
      </c>
      <c r="KK2" s="425" t="s">
        <v>8088</v>
      </c>
      <c r="KL2" s="1264" t="s">
        <v>7951</v>
      </c>
      <c r="KM2" s="1265" t="s">
        <v>7952</v>
      </c>
      <c r="KN2" s="1265" t="s">
        <v>7953</v>
      </c>
      <c r="KO2" s="1281" t="s">
        <v>8040</v>
      </c>
      <c r="KP2" s="1281" t="s">
        <v>8041</v>
      </c>
      <c r="KQ2" s="1281" t="s">
        <v>8042</v>
      </c>
      <c r="KR2" s="1281" t="s">
        <v>8043</v>
      </c>
      <c r="KS2" s="1281" t="s">
        <v>8044</v>
      </c>
      <c r="KT2" s="1281" t="s">
        <v>8045</v>
      </c>
      <c r="KU2" s="1281" t="s">
        <v>8046</v>
      </c>
      <c r="KV2" s="1282" t="s">
        <v>8047</v>
      </c>
      <c r="KW2" s="1282" t="s">
        <v>8048</v>
      </c>
      <c r="KX2" s="1282" t="s">
        <v>8049</v>
      </c>
      <c r="KY2" s="1282" t="s">
        <v>8050</v>
      </c>
      <c r="KZ2" s="1282" t="s">
        <v>8051</v>
      </c>
      <c r="LA2" s="1282" t="s">
        <v>8052</v>
      </c>
      <c r="LB2" s="1266" t="s">
        <v>7954</v>
      </c>
      <c r="LC2" s="1266" t="s">
        <v>7924</v>
      </c>
      <c r="LD2" s="1312" t="s">
        <v>7955</v>
      </c>
      <c r="LE2" s="1312" t="s">
        <v>7956</v>
      </c>
      <c r="LF2" s="1312" t="s">
        <v>7957</v>
      </c>
      <c r="LG2" s="1312" t="s">
        <v>7958</v>
      </c>
      <c r="LH2" s="1283" t="s">
        <v>7959</v>
      </c>
      <c r="LI2" s="1313" t="s">
        <v>7960</v>
      </c>
      <c r="LJ2" s="1313" t="s">
        <v>7961</v>
      </c>
      <c r="LK2" s="1313" t="s">
        <v>7962</v>
      </c>
      <c r="LL2" s="1313" t="s">
        <v>8053</v>
      </c>
      <c r="LM2" s="1313" t="s">
        <v>8054</v>
      </c>
      <c r="LN2" s="1313" t="s">
        <v>8055</v>
      </c>
      <c r="LO2" s="1313"/>
      <c r="LP2" s="1313" t="s">
        <v>8056</v>
      </c>
      <c r="LQ2" s="1313" t="s">
        <v>8057</v>
      </c>
      <c r="LR2" s="1313" t="s">
        <v>8058</v>
      </c>
      <c r="LS2" s="1313" t="s">
        <v>8059</v>
      </c>
      <c r="LT2" s="1313" t="s">
        <v>8060</v>
      </c>
      <c r="LU2" s="1313"/>
      <c r="LV2" s="1313" t="s">
        <v>7963</v>
      </c>
      <c r="LW2" s="1313" t="s">
        <v>7964</v>
      </c>
      <c r="LX2" s="1313" t="s">
        <v>7965</v>
      </c>
      <c r="LY2" s="1313" t="s">
        <v>8061</v>
      </c>
      <c r="LZ2" s="1313" t="s">
        <v>8062</v>
      </c>
      <c r="MA2" s="1313" t="s">
        <v>8063</v>
      </c>
      <c r="MB2" s="1314" t="s">
        <v>7966</v>
      </c>
      <c r="MC2" s="1314" t="s">
        <v>7967</v>
      </c>
      <c r="MD2" s="1315" t="s">
        <v>7950</v>
      </c>
      <c r="ME2" s="1315" t="s">
        <v>6701</v>
      </c>
      <c r="MF2" s="1315" t="s">
        <v>154</v>
      </c>
      <c r="MG2" s="1315" t="s">
        <v>100</v>
      </c>
      <c r="MH2" s="1315" t="s">
        <v>7482</v>
      </c>
      <c r="MI2" s="1315" t="s">
        <v>6702</v>
      </c>
      <c r="MJ2" s="1315" t="s">
        <v>7411</v>
      </c>
      <c r="MK2" s="1315" t="s">
        <v>6707</v>
      </c>
      <c r="ML2" s="1315" t="s">
        <v>7483</v>
      </c>
      <c r="MM2" s="1315" t="s">
        <v>7230</v>
      </c>
      <c r="MN2" s="1315" t="s">
        <v>7415</v>
      </c>
      <c r="MO2" s="1315" t="s">
        <v>7413</v>
      </c>
      <c r="MP2" s="1315" t="s">
        <v>7414</v>
      </c>
      <c r="MQ2" s="1315" t="s">
        <v>7412</v>
      </c>
      <c r="MR2" s="1315" t="s">
        <v>7192</v>
      </c>
      <c r="MS2" s="1315" t="s">
        <v>255</v>
      </c>
      <c r="MT2" s="1315" t="s">
        <v>256</v>
      </c>
      <c r="MU2" s="1315" t="s">
        <v>7416</v>
      </c>
      <c r="MV2" s="1315" t="s">
        <v>261</v>
      </c>
      <c r="MW2" s="1315" t="s">
        <v>158</v>
      </c>
      <c r="MX2" s="1315" t="s">
        <v>260</v>
      </c>
      <c r="MY2" s="1315" t="s">
        <v>6709</v>
      </c>
      <c r="MZ2" s="1315" t="s">
        <v>6735</v>
      </c>
      <c r="NA2" s="1315" t="s">
        <v>6736</v>
      </c>
      <c r="NB2" s="1315" t="s">
        <v>6737</v>
      </c>
      <c r="NC2" s="1315" t="s">
        <v>6738</v>
      </c>
      <c r="ND2" s="1315" t="s">
        <v>6710</v>
      </c>
      <c r="NE2" s="1315" t="s">
        <v>7193</v>
      </c>
      <c r="NF2" s="1315" t="s">
        <v>6711</v>
      </c>
      <c r="NG2" s="1315" t="s">
        <v>262</v>
      </c>
      <c r="NH2" s="1315" t="s">
        <v>263</v>
      </c>
      <c r="NI2" s="1315" t="s">
        <v>264</v>
      </c>
      <c r="NJ2" s="1315" t="s">
        <v>292</v>
      </c>
      <c r="NK2" s="1315" t="s">
        <v>257</v>
      </c>
      <c r="NL2" s="1315" t="s">
        <v>258</v>
      </c>
      <c r="NM2" s="1315" t="s">
        <v>259</v>
      </c>
      <c r="NN2" s="1315" t="s">
        <v>7418</v>
      </c>
      <c r="NO2" s="1315" t="s">
        <v>7420</v>
      </c>
      <c r="NP2" s="1315" t="s">
        <v>7487</v>
      </c>
      <c r="NQ2" s="1315" t="s">
        <v>7200</v>
      </c>
      <c r="NR2" s="1315" t="s">
        <v>7201</v>
      </c>
      <c r="NS2" s="1315" t="s">
        <v>7194</v>
      </c>
      <c r="NT2" s="1315" t="s">
        <v>7422</v>
      </c>
      <c r="NU2" s="1315" t="s">
        <v>7423</v>
      </c>
      <c r="NV2" s="1315" t="s">
        <v>7425</v>
      </c>
      <c r="NW2" s="1315" t="s">
        <v>7426</v>
      </c>
      <c r="NX2" s="1315" t="s">
        <v>7428</v>
      </c>
      <c r="NY2" s="1315" t="s">
        <v>7433</v>
      </c>
      <c r="NZ2" s="1315" t="s">
        <v>7430</v>
      </c>
      <c r="OA2" s="1315" t="s">
        <v>7434</v>
      </c>
      <c r="OB2" s="1315" t="s">
        <v>7436</v>
      </c>
      <c r="OC2" s="1315" t="s">
        <v>7438</v>
      </c>
      <c r="OD2" s="1315" t="s">
        <v>7440</v>
      </c>
      <c r="OE2" s="1315" t="s">
        <v>7442</v>
      </c>
      <c r="OF2" s="1315" t="s">
        <v>7444</v>
      </c>
      <c r="OG2" s="1315" t="s">
        <v>7446</v>
      </c>
      <c r="OH2" s="1315" t="s">
        <v>7448</v>
      </c>
      <c r="OI2" s="1315" t="s">
        <v>277</v>
      </c>
      <c r="OJ2" s="1315" t="s">
        <v>293</v>
      </c>
      <c r="OK2" s="1315" t="s">
        <v>7450</v>
      </c>
      <c r="OL2" s="1315" t="s">
        <v>7452</v>
      </c>
      <c r="OM2" s="1315" t="s">
        <v>7454</v>
      </c>
      <c r="ON2" s="1315" t="s">
        <v>7417</v>
      </c>
      <c r="OO2" s="1315" t="s">
        <v>7419</v>
      </c>
      <c r="OP2" s="1315" t="s">
        <v>7421</v>
      </c>
      <c r="OQ2" s="1315" t="s">
        <v>266</v>
      </c>
      <c r="OR2" s="1315" t="s">
        <v>7488</v>
      </c>
      <c r="OS2" s="1315" t="s">
        <v>7202</v>
      </c>
      <c r="OT2" s="1315" t="s">
        <v>7203</v>
      </c>
      <c r="OU2" s="1315" t="s">
        <v>7204</v>
      </c>
      <c r="OV2" s="1315" t="s">
        <v>7205</v>
      </c>
      <c r="OW2" s="1315" t="s">
        <v>7424</v>
      </c>
      <c r="OX2" s="1315" t="s">
        <v>7427</v>
      </c>
      <c r="OY2" s="1315" t="s">
        <v>7429</v>
      </c>
      <c r="OZ2" s="1315" t="s">
        <v>7432</v>
      </c>
      <c r="PA2" s="1315" t="s">
        <v>7431</v>
      </c>
      <c r="PB2" s="1315" t="s">
        <v>7435</v>
      </c>
      <c r="PC2" s="1315" t="s">
        <v>7437</v>
      </c>
      <c r="PD2" s="1315" t="s">
        <v>7439</v>
      </c>
      <c r="PE2" s="1315" t="s">
        <v>7441</v>
      </c>
      <c r="PF2" s="1315" t="s">
        <v>7443</v>
      </c>
      <c r="PG2" s="1315" t="s">
        <v>7445</v>
      </c>
      <c r="PH2" s="1315" t="s">
        <v>7447</v>
      </c>
      <c r="PI2" s="1315" t="s">
        <v>7449</v>
      </c>
      <c r="PJ2" s="1315" t="s">
        <v>7968</v>
      </c>
      <c r="PK2" s="1315" t="s">
        <v>7969</v>
      </c>
      <c r="PL2" s="1315" t="s">
        <v>7451</v>
      </c>
      <c r="PM2" s="1315" t="s">
        <v>7453</v>
      </c>
      <c r="PN2" s="1315" t="s">
        <v>7455</v>
      </c>
      <c r="PO2" s="1315" t="s">
        <v>7198</v>
      </c>
      <c r="PP2" s="1315" t="s">
        <v>306</v>
      </c>
      <c r="PQ2" s="1315" t="s">
        <v>276</v>
      </c>
      <c r="PR2" s="1315" t="s">
        <v>288</v>
      </c>
      <c r="PS2" s="1315" t="s">
        <v>6718</v>
      </c>
      <c r="PT2" s="1315" t="s">
        <v>6705</v>
      </c>
      <c r="PU2" s="1315" t="s">
        <v>7970</v>
      </c>
      <c r="PV2" s="1315" t="s">
        <v>333</v>
      </c>
      <c r="PW2" s="1315" t="s">
        <v>7199</v>
      </c>
      <c r="PX2" s="1315" t="s">
        <v>7971</v>
      </c>
      <c r="PY2" s="1315" t="s">
        <v>7972</v>
      </c>
      <c r="PZ2" s="1315" t="s">
        <v>7973</v>
      </c>
      <c r="QA2" s="1315" t="s">
        <v>7974</v>
      </c>
      <c r="QB2" s="1315" t="s">
        <v>7975</v>
      </c>
      <c r="QC2" s="1315" t="s">
        <v>7976</v>
      </c>
      <c r="QD2" s="1315" t="s">
        <v>7977</v>
      </c>
      <c r="QE2" s="1315" t="s">
        <v>7978</v>
      </c>
      <c r="QF2" s="1315" t="s">
        <v>7979</v>
      </c>
      <c r="QG2" s="1315" t="s">
        <v>7980</v>
      </c>
      <c r="QH2" s="1315" t="s">
        <v>7981</v>
      </c>
      <c r="QI2" s="1315" t="s">
        <v>7982</v>
      </c>
      <c r="QJ2" s="1315" t="s">
        <v>7983</v>
      </c>
      <c r="QK2" s="1315" t="s">
        <v>7984</v>
      </c>
      <c r="QL2" s="1315" t="s">
        <v>7985</v>
      </c>
      <c r="QM2" s="1315" t="s">
        <v>7986</v>
      </c>
      <c r="QN2" s="1315" t="s">
        <v>7987</v>
      </c>
      <c r="QO2" s="1315" t="s">
        <v>7988</v>
      </c>
      <c r="QP2" s="1315" t="s">
        <v>7213</v>
      </c>
      <c r="QQ2" s="1315" t="s">
        <v>7210</v>
      </c>
      <c r="QR2" s="1315" t="s">
        <v>7504</v>
      </c>
      <c r="QS2" s="1315" t="s">
        <v>7510</v>
      </c>
      <c r="QT2" s="1315" t="s">
        <v>7513</v>
      </c>
      <c r="QU2" s="1315" t="s">
        <v>7506</v>
      </c>
      <c r="QV2" s="1315" t="s">
        <v>7505</v>
      </c>
      <c r="QW2" s="1315" t="s">
        <v>7507</v>
      </c>
      <c r="QX2" s="1315" t="s">
        <v>7508</v>
      </c>
      <c r="QY2" s="1315" t="s">
        <v>7509</v>
      </c>
      <c r="QZ2" s="1315" t="s">
        <v>7457</v>
      </c>
      <c r="RA2" s="1315" t="s">
        <v>7489</v>
      </c>
      <c r="RB2" s="1315" t="s">
        <v>7498</v>
      </c>
      <c r="RC2" s="1315" t="s">
        <v>7511</v>
      </c>
      <c r="RD2" s="1315" t="s">
        <v>7514</v>
      </c>
      <c r="RE2" s="1315" t="s">
        <v>7499</v>
      </c>
      <c r="RF2" s="1315" t="s">
        <v>7500</v>
      </c>
      <c r="RG2" s="1315" t="s">
        <v>7501</v>
      </c>
      <c r="RH2" s="1315" t="s">
        <v>7502</v>
      </c>
      <c r="RI2" s="1315" t="s">
        <v>7503</v>
      </c>
      <c r="RJ2" s="1315" t="s">
        <v>7490</v>
      </c>
      <c r="RK2" s="1315" t="s">
        <v>7212</v>
      </c>
      <c r="RL2" s="1315" t="s">
        <v>7497</v>
      </c>
      <c r="RM2" s="1315" t="s">
        <v>7512</v>
      </c>
      <c r="RN2" s="1315" t="s">
        <v>7515</v>
      </c>
      <c r="RO2" s="1315" t="s">
        <v>7496</v>
      </c>
      <c r="RP2" s="1315" t="s">
        <v>7495</v>
      </c>
      <c r="RQ2" s="1315" t="s">
        <v>7494</v>
      </c>
      <c r="RR2" s="1315" t="s">
        <v>7493</v>
      </c>
      <c r="RS2" s="1315" t="s">
        <v>7492</v>
      </c>
      <c r="RT2" s="1315" t="s">
        <v>7491</v>
      </c>
      <c r="RU2" s="1315" t="s">
        <v>7211</v>
      </c>
      <c r="RV2" s="1315" t="s">
        <v>7516</v>
      </c>
      <c r="RW2" s="1315" t="s">
        <v>7217</v>
      </c>
      <c r="RX2" s="1315" t="s">
        <v>7218</v>
      </c>
      <c r="RY2" s="1315" t="s">
        <v>7219</v>
      </c>
      <c r="RZ2" s="1315" t="s">
        <v>7220</v>
      </c>
      <c r="SA2" s="1315" t="s">
        <v>7517</v>
      </c>
      <c r="SB2" s="1315" t="s">
        <v>7222</v>
      </c>
      <c r="SC2" s="1315" t="s">
        <v>7221</v>
      </c>
      <c r="SD2" s="1315" t="s">
        <v>7223</v>
      </c>
      <c r="SE2" s="1315" t="s">
        <v>7224</v>
      </c>
      <c r="SF2" s="1315" t="s">
        <v>7225</v>
      </c>
      <c r="SG2" s="1315" t="s">
        <v>7226</v>
      </c>
      <c r="SH2" s="1315" t="s">
        <v>7227</v>
      </c>
      <c r="SI2" s="1315" t="s">
        <v>279</v>
      </c>
      <c r="SJ2" s="1315" t="s">
        <v>196</v>
      </c>
      <c r="SK2" s="1315" t="s">
        <v>6720</v>
      </c>
      <c r="SL2" s="1315" t="s">
        <v>280</v>
      </c>
      <c r="SM2" s="1315" t="s">
        <v>281</v>
      </c>
      <c r="SN2" s="1315" t="s">
        <v>7216</v>
      </c>
      <c r="SO2" s="1315" t="s">
        <v>7215</v>
      </c>
      <c r="SP2" s="1315" t="s">
        <v>282</v>
      </c>
      <c r="SQ2" s="1315" t="s">
        <v>283</v>
      </c>
      <c r="SR2" s="1315" t="s">
        <v>284</v>
      </c>
      <c r="SS2" s="1315" t="s">
        <v>285</v>
      </c>
      <c r="ST2" s="1315" t="s">
        <v>286</v>
      </c>
      <c r="SU2" s="1315" t="s">
        <v>287</v>
      </c>
      <c r="SV2" s="1315" t="s">
        <v>7989</v>
      </c>
      <c r="SW2" s="1315" t="s">
        <v>289</v>
      </c>
      <c r="SX2" s="1315" t="s">
        <v>290</v>
      </c>
      <c r="SY2" s="1315" t="s">
        <v>7228</v>
      </c>
      <c r="SZ2" s="1315" t="s">
        <v>295</v>
      </c>
      <c r="TA2" s="1315" t="s">
        <v>330</v>
      </c>
      <c r="TB2" s="1315" t="s">
        <v>331</v>
      </c>
      <c r="TC2" s="1315" t="s">
        <v>296</v>
      </c>
      <c r="TD2" s="1315" t="s">
        <v>297</v>
      </c>
      <c r="TE2" s="1315" t="s">
        <v>298</v>
      </c>
      <c r="TF2" s="1315" t="s">
        <v>299</v>
      </c>
      <c r="TG2" s="1315" t="s">
        <v>300</v>
      </c>
      <c r="TH2" s="1315" t="s">
        <v>301</v>
      </c>
      <c r="TI2" s="1315" t="s">
        <v>302</v>
      </c>
      <c r="TJ2" s="1315" t="s">
        <v>7990</v>
      </c>
      <c r="TK2" s="1315" t="s">
        <v>7991</v>
      </c>
      <c r="TL2" s="1315" t="s">
        <v>7992</v>
      </c>
      <c r="TM2" s="1315" t="s">
        <v>7993</v>
      </c>
      <c r="TN2" s="1315" t="s">
        <v>7994</v>
      </c>
      <c r="TO2" s="1315" t="s">
        <v>7995</v>
      </c>
      <c r="TP2" s="1315" t="s">
        <v>7996</v>
      </c>
      <c r="TQ2" s="1315" t="s">
        <v>7997</v>
      </c>
      <c r="TR2" s="1315" t="s">
        <v>7998</v>
      </c>
      <c r="TS2" s="1315" t="s">
        <v>7999</v>
      </c>
      <c r="TT2" s="1315" t="s">
        <v>8000</v>
      </c>
      <c r="TU2" s="1315" t="s">
        <v>8001</v>
      </c>
      <c r="TV2" s="1315" t="s">
        <v>8002</v>
      </c>
      <c r="TW2" s="1315" t="s">
        <v>8003</v>
      </c>
      <c r="TX2" s="1315" t="s">
        <v>8004</v>
      </c>
      <c r="TY2" s="1315" t="s">
        <v>8005</v>
      </c>
      <c r="TZ2" s="1315" t="s">
        <v>8006</v>
      </c>
      <c r="UA2" s="1315" t="s">
        <v>8007</v>
      </c>
      <c r="UB2" s="1315" t="s">
        <v>8008</v>
      </c>
      <c r="UC2" s="1315" t="s">
        <v>8009</v>
      </c>
      <c r="UD2" s="1315" t="s">
        <v>8010</v>
      </c>
      <c r="UE2" s="1315" t="s">
        <v>8011</v>
      </c>
      <c r="UF2" s="1315" t="s">
        <v>8012</v>
      </c>
      <c r="UG2" s="1315" t="s">
        <v>8013</v>
      </c>
      <c r="UH2" s="1315" t="s">
        <v>8014</v>
      </c>
      <c r="UI2" s="1315" t="s">
        <v>8015</v>
      </c>
      <c r="UJ2" s="1315" t="s">
        <v>8016</v>
      </c>
      <c r="UK2" s="1315" t="s">
        <v>8017</v>
      </c>
      <c r="UL2" s="1315" t="s">
        <v>8018</v>
      </c>
      <c r="UM2" s="1315" t="s">
        <v>8019</v>
      </c>
      <c r="UN2" s="1315" t="s">
        <v>7009</v>
      </c>
      <c r="UO2" s="1315" t="s">
        <v>7010</v>
      </c>
      <c r="UP2" s="1315" t="s">
        <v>6733</v>
      </c>
      <c r="UQ2" s="1315" t="s">
        <v>309</v>
      </c>
      <c r="UR2" s="1315" t="s">
        <v>311</v>
      </c>
      <c r="US2" s="1315" t="s">
        <v>310</v>
      </c>
      <c r="UT2" s="1315" t="s">
        <v>312</v>
      </c>
      <c r="UU2" s="1315" t="s">
        <v>313</v>
      </c>
      <c r="UV2" s="1315" t="s">
        <v>314</v>
      </c>
      <c r="UW2" s="1315" t="s">
        <v>315</v>
      </c>
      <c r="UX2" s="1315" t="s">
        <v>316</v>
      </c>
      <c r="UY2" s="1315" t="s">
        <v>332</v>
      </c>
      <c r="UZ2" s="1315" t="s">
        <v>317</v>
      </c>
      <c r="VA2" s="1315" t="s">
        <v>318</v>
      </c>
      <c r="VB2" s="1315" t="s">
        <v>8081</v>
      </c>
      <c r="VC2" s="1315" t="s">
        <v>8082</v>
      </c>
      <c r="VD2" s="1315" t="s">
        <v>8083</v>
      </c>
      <c r="VE2" s="1315" t="s">
        <v>8089</v>
      </c>
      <c r="VF2" s="1315" t="s">
        <v>8086</v>
      </c>
      <c r="VG2" s="1315" t="s">
        <v>8087</v>
      </c>
      <c r="VH2" s="1315" t="s">
        <v>8088</v>
      </c>
      <c r="VI2" s="1122" t="s">
        <v>8020</v>
      </c>
      <c r="VJ2" s="1122" t="s">
        <v>8021</v>
      </c>
      <c r="VK2" s="1122" t="s">
        <v>8022</v>
      </c>
      <c r="VL2" s="1122" t="s">
        <v>7950</v>
      </c>
      <c r="VM2" s="1122" t="s">
        <v>6701</v>
      </c>
      <c r="VN2" s="1122" t="s">
        <v>154</v>
      </c>
      <c r="VO2" s="1122" t="s">
        <v>100</v>
      </c>
      <c r="VP2" s="1122" t="s">
        <v>7482</v>
      </c>
      <c r="VQ2" s="1122" t="s">
        <v>6702</v>
      </c>
      <c r="VR2" s="1122" t="s">
        <v>7411</v>
      </c>
      <c r="VS2" s="1122" t="s">
        <v>6707</v>
      </c>
      <c r="VT2" s="1122" t="s">
        <v>7483</v>
      </c>
      <c r="VU2" s="1122" t="s">
        <v>7230</v>
      </c>
      <c r="VV2" s="1122" t="s">
        <v>7415</v>
      </c>
      <c r="VW2" s="1122" t="s">
        <v>7413</v>
      </c>
      <c r="VX2" s="1122" t="s">
        <v>7414</v>
      </c>
      <c r="VY2" s="1122" t="s">
        <v>7412</v>
      </c>
      <c r="VZ2" s="1122" t="s">
        <v>7192</v>
      </c>
      <c r="WA2" s="1122" t="s">
        <v>255</v>
      </c>
      <c r="WB2" s="1122" t="s">
        <v>256</v>
      </c>
      <c r="WC2" s="1122" t="s">
        <v>7416</v>
      </c>
      <c r="WD2" s="1122" t="s">
        <v>261</v>
      </c>
      <c r="WE2" s="1122" t="s">
        <v>158</v>
      </c>
      <c r="WF2" s="1122" t="s">
        <v>260</v>
      </c>
      <c r="WG2" s="1122" t="s">
        <v>6709</v>
      </c>
      <c r="WH2" s="1122" t="s">
        <v>6735</v>
      </c>
      <c r="WI2" s="1122" t="s">
        <v>6736</v>
      </c>
      <c r="WJ2" s="1122" t="s">
        <v>6737</v>
      </c>
      <c r="WK2" s="1122" t="s">
        <v>6738</v>
      </c>
      <c r="WL2" s="1122" t="s">
        <v>6710</v>
      </c>
      <c r="WM2" s="1122" t="s">
        <v>7193</v>
      </c>
      <c r="WN2" s="1122" t="s">
        <v>6711</v>
      </c>
      <c r="WO2" s="1122" t="s">
        <v>262</v>
      </c>
      <c r="WP2" s="1122" t="s">
        <v>263</v>
      </c>
      <c r="WQ2" s="1122" t="s">
        <v>264</v>
      </c>
      <c r="WR2" s="1122" t="s">
        <v>292</v>
      </c>
      <c r="WS2" s="1122" t="s">
        <v>257</v>
      </c>
      <c r="WT2" s="1122" t="s">
        <v>258</v>
      </c>
      <c r="WU2" s="1122" t="s">
        <v>259</v>
      </c>
      <c r="WV2" s="1122" t="s">
        <v>7418</v>
      </c>
      <c r="WW2" s="1122" t="s">
        <v>7420</v>
      </c>
      <c r="WX2" s="1122" t="s">
        <v>7487</v>
      </c>
      <c r="WY2" s="1122" t="s">
        <v>7200</v>
      </c>
      <c r="WZ2" s="1122" t="s">
        <v>7201</v>
      </c>
      <c r="XA2" s="1122" t="s">
        <v>7194</v>
      </c>
      <c r="XB2" s="1122" t="s">
        <v>7422</v>
      </c>
      <c r="XC2" s="1122" t="s">
        <v>7423</v>
      </c>
      <c r="XD2" s="1122" t="s">
        <v>7425</v>
      </c>
      <c r="XE2" s="1122" t="s">
        <v>7426</v>
      </c>
      <c r="XF2" s="1122" t="s">
        <v>7428</v>
      </c>
      <c r="XG2" s="1122" t="s">
        <v>7433</v>
      </c>
      <c r="XH2" s="1122" t="s">
        <v>7430</v>
      </c>
      <c r="XI2" s="1122" t="s">
        <v>7434</v>
      </c>
      <c r="XJ2" s="1122" t="s">
        <v>7436</v>
      </c>
      <c r="XK2" s="1122" t="s">
        <v>7438</v>
      </c>
      <c r="XL2" s="1122" t="s">
        <v>7440</v>
      </c>
      <c r="XM2" s="1122" t="s">
        <v>7442</v>
      </c>
      <c r="XN2" s="1122" t="s">
        <v>7444</v>
      </c>
      <c r="XO2" s="1122" t="s">
        <v>7446</v>
      </c>
      <c r="XP2" s="1122" t="s">
        <v>7448</v>
      </c>
      <c r="XQ2" s="1122" t="s">
        <v>277</v>
      </c>
      <c r="XR2" s="1122" t="s">
        <v>293</v>
      </c>
      <c r="XS2" s="1122" t="s">
        <v>7450</v>
      </c>
      <c r="XT2" s="1122" t="s">
        <v>7452</v>
      </c>
      <c r="XU2" s="1122" t="s">
        <v>7454</v>
      </c>
      <c r="XV2" s="1122" t="s">
        <v>7417</v>
      </c>
      <c r="XW2" s="1122" t="s">
        <v>7419</v>
      </c>
      <c r="XX2" s="1122" t="s">
        <v>7421</v>
      </c>
      <c r="XY2" s="1122" t="s">
        <v>266</v>
      </c>
      <c r="XZ2" s="1122" t="s">
        <v>7488</v>
      </c>
      <c r="YA2" s="1122" t="s">
        <v>7202</v>
      </c>
      <c r="YB2" s="1122" t="s">
        <v>7203</v>
      </c>
      <c r="YC2" s="1122" t="s">
        <v>7204</v>
      </c>
      <c r="YD2" s="1122" t="s">
        <v>7205</v>
      </c>
      <c r="YE2" s="1122" t="s">
        <v>7424</v>
      </c>
      <c r="YF2" s="1122" t="s">
        <v>7427</v>
      </c>
      <c r="YG2" s="1122" t="s">
        <v>7429</v>
      </c>
      <c r="YH2" s="1122" t="s">
        <v>7432</v>
      </c>
      <c r="YI2" s="1122" t="s">
        <v>7431</v>
      </c>
      <c r="YJ2" s="1122" t="s">
        <v>7435</v>
      </c>
      <c r="YK2" s="1122" t="s">
        <v>7437</v>
      </c>
      <c r="YL2" s="1122" t="s">
        <v>7439</v>
      </c>
      <c r="YM2" s="1122" t="s">
        <v>7441</v>
      </c>
      <c r="YN2" s="1122" t="s">
        <v>7443</v>
      </c>
      <c r="YO2" s="1122" t="s">
        <v>7445</v>
      </c>
      <c r="YP2" s="1122" t="s">
        <v>7447</v>
      </c>
      <c r="YQ2" s="1122" t="s">
        <v>7449</v>
      </c>
      <c r="YR2" s="1122" t="s">
        <v>7968</v>
      </c>
      <c r="YS2" s="1122" t="s">
        <v>7969</v>
      </c>
      <c r="YT2" s="1122" t="s">
        <v>7451</v>
      </c>
      <c r="YU2" s="1122" t="s">
        <v>7453</v>
      </c>
      <c r="YV2" s="1122" t="s">
        <v>7455</v>
      </c>
      <c r="YW2" s="1122" t="s">
        <v>7198</v>
      </c>
      <c r="YX2" s="1122" t="s">
        <v>306</v>
      </c>
      <c r="YY2" s="1122" t="s">
        <v>276</v>
      </c>
      <c r="YZ2" s="1122" t="s">
        <v>288</v>
      </c>
      <c r="ZA2" s="1122" t="s">
        <v>6718</v>
      </c>
      <c r="ZB2" s="1122" t="s">
        <v>6705</v>
      </c>
      <c r="ZC2" s="1122" t="s">
        <v>7970</v>
      </c>
      <c r="ZD2" s="1122" t="s">
        <v>333</v>
      </c>
      <c r="ZE2" s="1122" t="s">
        <v>7199</v>
      </c>
      <c r="ZF2" s="1122" t="s">
        <v>7971</v>
      </c>
      <c r="ZG2" s="1122" t="s">
        <v>7972</v>
      </c>
      <c r="ZH2" s="1122" t="s">
        <v>7973</v>
      </c>
      <c r="ZI2" s="1122" t="s">
        <v>7974</v>
      </c>
      <c r="ZJ2" s="1122" t="s">
        <v>7975</v>
      </c>
      <c r="ZK2" s="1122" t="s">
        <v>7976</v>
      </c>
      <c r="ZL2" s="1122" t="s">
        <v>7977</v>
      </c>
      <c r="ZM2" s="1122" t="s">
        <v>7978</v>
      </c>
      <c r="ZN2" s="1122" t="s">
        <v>7979</v>
      </c>
      <c r="ZO2" s="1122" t="s">
        <v>7980</v>
      </c>
      <c r="ZP2" s="1122" t="s">
        <v>7981</v>
      </c>
      <c r="ZQ2" s="1122" t="s">
        <v>7982</v>
      </c>
      <c r="ZR2" s="1122" t="s">
        <v>7983</v>
      </c>
      <c r="ZS2" s="1122" t="s">
        <v>7984</v>
      </c>
      <c r="ZT2" s="1122" t="s">
        <v>7985</v>
      </c>
      <c r="ZU2" s="1122" t="s">
        <v>7986</v>
      </c>
      <c r="ZV2" s="1122" t="s">
        <v>7987</v>
      </c>
      <c r="ZW2" s="1122" t="s">
        <v>7988</v>
      </c>
      <c r="ZX2" s="1122" t="s">
        <v>7213</v>
      </c>
      <c r="ZY2" s="1122" t="s">
        <v>7210</v>
      </c>
      <c r="ZZ2" s="1122" t="s">
        <v>7504</v>
      </c>
      <c r="AAA2" s="1122" t="s">
        <v>7510</v>
      </c>
      <c r="AAB2" s="1122" t="s">
        <v>7513</v>
      </c>
      <c r="AAC2" s="1122" t="s">
        <v>7506</v>
      </c>
      <c r="AAD2" s="1122" t="s">
        <v>7505</v>
      </c>
      <c r="AAE2" s="1122" t="s">
        <v>7507</v>
      </c>
      <c r="AAF2" s="1122" t="s">
        <v>7508</v>
      </c>
      <c r="AAG2" s="1122" t="s">
        <v>7509</v>
      </c>
      <c r="AAH2" s="1122" t="s">
        <v>7457</v>
      </c>
      <c r="AAI2" s="1122" t="s">
        <v>7489</v>
      </c>
      <c r="AAJ2" s="1122" t="s">
        <v>7498</v>
      </c>
      <c r="AAK2" s="1122" t="s">
        <v>7511</v>
      </c>
      <c r="AAL2" s="1122" t="s">
        <v>7514</v>
      </c>
      <c r="AAM2" s="1122" t="s">
        <v>7499</v>
      </c>
      <c r="AAN2" s="1122" t="s">
        <v>7500</v>
      </c>
      <c r="AAO2" s="1122" t="s">
        <v>7501</v>
      </c>
      <c r="AAP2" s="1122" t="s">
        <v>7502</v>
      </c>
      <c r="AAQ2" s="1122" t="s">
        <v>7503</v>
      </c>
      <c r="AAR2" s="1122" t="s">
        <v>7490</v>
      </c>
      <c r="AAS2" s="1122" t="s">
        <v>7212</v>
      </c>
      <c r="AAT2" s="1122" t="s">
        <v>7497</v>
      </c>
      <c r="AAU2" s="1122" t="s">
        <v>7512</v>
      </c>
      <c r="AAV2" s="1122" t="s">
        <v>7515</v>
      </c>
      <c r="AAW2" s="1122" t="s">
        <v>7496</v>
      </c>
      <c r="AAX2" s="1122" t="s">
        <v>7495</v>
      </c>
      <c r="AAY2" s="1122" t="s">
        <v>7494</v>
      </c>
      <c r="AAZ2" s="1122" t="s">
        <v>7493</v>
      </c>
      <c r="ABA2" s="1122" t="s">
        <v>7492</v>
      </c>
      <c r="ABB2" s="1122" t="s">
        <v>7491</v>
      </c>
      <c r="ABC2" s="1122" t="s">
        <v>7211</v>
      </c>
      <c r="ABD2" s="1122" t="s">
        <v>7516</v>
      </c>
      <c r="ABE2" s="1122" t="s">
        <v>7217</v>
      </c>
      <c r="ABF2" s="1122" t="s">
        <v>7218</v>
      </c>
      <c r="ABG2" s="1122" t="s">
        <v>7219</v>
      </c>
      <c r="ABH2" s="1122" t="s">
        <v>7220</v>
      </c>
      <c r="ABI2" s="1122" t="s">
        <v>7517</v>
      </c>
      <c r="ABJ2" s="1122" t="s">
        <v>7222</v>
      </c>
      <c r="ABK2" s="1122" t="s">
        <v>7221</v>
      </c>
      <c r="ABL2" s="1122" t="s">
        <v>7223</v>
      </c>
      <c r="ABM2" s="1122" t="s">
        <v>7224</v>
      </c>
      <c r="ABN2" s="1122" t="s">
        <v>7225</v>
      </c>
      <c r="ABO2" s="1122" t="s">
        <v>7226</v>
      </c>
      <c r="ABP2" s="1122" t="s">
        <v>7227</v>
      </c>
      <c r="ABQ2" s="1122" t="s">
        <v>279</v>
      </c>
      <c r="ABR2" s="1122" t="s">
        <v>196</v>
      </c>
      <c r="ABS2" s="1122" t="s">
        <v>6720</v>
      </c>
      <c r="ABT2" s="1122" t="s">
        <v>280</v>
      </c>
      <c r="ABU2" s="1122" t="s">
        <v>281</v>
      </c>
      <c r="ABV2" s="1122" t="s">
        <v>7216</v>
      </c>
      <c r="ABW2" s="1122" t="s">
        <v>7215</v>
      </c>
      <c r="ABX2" s="1122" t="s">
        <v>282</v>
      </c>
      <c r="ABY2" s="1122" t="s">
        <v>283</v>
      </c>
      <c r="ABZ2" s="1122" t="s">
        <v>284</v>
      </c>
      <c r="ACA2" s="1122" t="s">
        <v>285</v>
      </c>
      <c r="ACB2" s="1122" t="s">
        <v>286</v>
      </c>
      <c r="ACC2" s="1122" t="s">
        <v>287</v>
      </c>
      <c r="ACD2" s="1122" t="s">
        <v>7989</v>
      </c>
      <c r="ACE2" s="1122" t="s">
        <v>289</v>
      </c>
      <c r="ACF2" s="1122" t="s">
        <v>290</v>
      </c>
      <c r="ACG2" s="1122" t="s">
        <v>7228</v>
      </c>
      <c r="ACH2" s="1122" t="s">
        <v>295</v>
      </c>
      <c r="ACI2" s="1122" t="s">
        <v>330</v>
      </c>
      <c r="ACJ2" s="1122" t="s">
        <v>331</v>
      </c>
      <c r="ACK2" s="1122" t="s">
        <v>296</v>
      </c>
      <c r="ACL2" s="1122" t="s">
        <v>297</v>
      </c>
      <c r="ACM2" s="1122" t="s">
        <v>298</v>
      </c>
      <c r="ACN2" s="1122" t="s">
        <v>299</v>
      </c>
      <c r="ACO2" s="1122" t="s">
        <v>300</v>
      </c>
      <c r="ACP2" s="1122" t="s">
        <v>301</v>
      </c>
      <c r="ACQ2" s="1122" t="s">
        <v>302</v>
      </c>
      <c r="ACR2" s="1122" t="s">
        <v>7990</v>
      </c>
      <c r="ACS2" s="1122" t="s">
        <v>7991</v>
      </c>
      <c r="ACT2" s="1122" t="s">
        <v>7992</v>
      </c>
      <c r="ACU2" s="1122" t="s">
        <v>7993</v>
      </c>
      <c r="ACV2" s="1122" t="s">
        <v>7994</v>
      </c>
      <c r="ACW2" s="1122" t="s">
        <v>7995</v>
      </c>
      <c r="ACX2" s="1122" t="s">
        <v>7996</v>
      </c>
      <c r="ACY2" s="1122" t="s">
        <v>7997</v>
      </c>
      <c r="ACZ2" s="1122" t="s">
        <v>7998</v>
      </c>
      <c r="ADA2" s="1122" t="s">
        <v>7999</v>
      </c>
      <c r="ADB2" s="1122" t="s">
        <v>8000</v>
      </c>
      <c r="ADC2" s="1122" t="s">
        <v>8001</v>
      </c>
      <c r="ADD2" s="1122" t="s">
        <v>8002</v>
      </c>
      <c r="ADE2" s="1122" t="s">
        <v>8003</v>
      </c>
      <c r="ADF2" s="1122" t="s">
        <v>8004</v>
      </c>
      <c r="ADG2" s="1122" t="s">
        <v>8005</v>
      </c>
      <c r="ADH2" s="1122" t="s">
        <v>8006</v>
      </c>
      <c r="ADI2" s="1122" t="s">
        <v>8007</v>
      </c>
      <c r="ADJ2" s="1122" t="s">
        <v>8008</v>
      </c>
      <c r="ADK2" s="1122" t="s">
        <v>8009</v>
      </c>
      <c r="ADL2" s="1122" t="s">
        <v>8010</v>
      </c>
      <c r="ADM2" s="1122" t="s">
        <v>8011</v>
      </c>
      <c r="ADN2" s="1122" t="s">
        <v>8012</v>
      </c>
      <c r="ADO2" s="1122" t="s">
        <v>8013</v>
      </c>
      <c r="ADP2" s="1122" t="s">
        <v>8014</v>
      </c>
      <c r="ADQ2" s="1122" t="s">
        <v>8015</v>
      </c>
      <c r="ADR2" s="1122" t="s">
        <v>8016</v>
      </c>
      <c r="ADS2" s="1122" t="s">
        <v>8017</v>
      </c>
      <c r="ADT2" s="1122" t="s">
        <v>8018</v>
      </c>
      <c r="ADU2" s="1122" t="s">
        <v>8019</v>
      </c>
      <c r="ADV2" s="1122" t="s">
        <v>7009</v>
      </c>
      <c r="ADW2" s="1122" t="s">
        <v>7010</v>
      </c>
      <c r="ADX2" s="1122" t="s">
        <v>6733</v>
      </c>
      <c r="ADY2" s="1122" t="s">
        <v>309</v>
      </c>
      <c r="ADZ2" s="1122" t="s">
        <v>311</v>
      </c>
      <c r="AEA2" s="1122" t="s">
        <v>310</v>
      </c>
      <c r="AEB2" s="1122" t="s">
        <v>312</v>
      </c>
      <c r="AEC2" s="1122" t="s">
        <v>313</v>
      </c>
      <c r="AED2" s="1122" t="s">
        <v>314</v>
      </c>
      <c r="AEE2" s="1122" t="s">
        <v>315</v>
      </c>
      <c r="AEF2" s="1122" t="s">
        <v>316</v>
      </c>
      <c r="AEG2" s="1122" t="s">
        <v>332</v>
      </c>
      <c r="AEH2" s="1122" t="s">
        <v>317</v>
      </c>
      <c r="AEI2" s="1122" t="s">
        <v>318</v>
      </c>
      <c r="AEJ2" s="1259" t="s">
        <v>8023</v>
      </c>
      <c r="AEK2" s="1256" t="s">
        <v>8024</v>
      </c>
    </row>
    <row r="3" spans="1:817" ht="44.25" customHeight="1">
      <c r="A3" s="3" t="s">
        <v>7921</v>
      </c>
      <c r="B3" s="3" t="s">
        <v>7921</v>
      </c>
      <c r="C3" s="3" t="s">
        <v>7921</v>
      </c>
      <c r="D3" s="3"/>
      <c r="E3" s="3"/>
      <c r="F3" s="3"/>
      <c r="G3" s="3"/>
      <c r="H3" s="3"/>
      <c r="I3" s="3"/>
      <c r="J3" s="3" t="s">
        <v>7921</v>
      </c>
      <c r="K3" s="3" t="s">
        <v>7921</v>
      </c>
      <c r="L3" s="3" t="s">
        <v>7921</v>
      </c>
      <c r="M3" s="3" t="s">
        <v>7921</v>
      </c>
      <c r="N3" s="3" t="s">
        <v>7921</v>
      </c>
      <c r="O3" s="3" t="s">
        <v>7921</v>
      </c>
      <c r="P3" s="3" t="s">
        <v>7921</v>
      </c>
      <c r="Q3" s="3"/>
      <c r="R3" s="3"/>
      <c r="S3" s="3"/>
      <c r="T3" s="3" t="s">
        <v>7921</v>
      </c>
      <c r="U3" s="3"/>
      <c r="V3" s="3" t="s">
        <v>7921</v>
      </c>
      <c r="W3" s="3"/>
      <c r="X3" s="3" t="s">
        <v>7921</v>
      </c>
      <c r="Y3" s="3" t="s">
        <v>7921</v>
      </c>
      <c r="Z3" s="3"/>
      <c r="AA3" s="3"/>
      <c r="AB3" s="3"/>
      <c r="AC3" s="3"/>
      <c r="AD3" s="3"/>
      <c r="AE3" s="3"/>
      <c r="AF3" s="3"/>
      <c r="AG3" s="1251"/>
      <c r="AH3" s="1251"/>
      <c r="AI3" s="1251"/>
      <c r="AJ3" s="1251"/>
      <c r="AK3" s="1251"/>
      <c r="AL3" s="1251"/>
      <c r="AM3" s="1251"/>
      <c r="AN3" s="1251"/>
      <c r="AO3" s="1251"/>
      <c r="AP3" s="1251"/>
      <c r="AQ3" s="1251"/>
      <c r="AR3" s="1251"/>
      <c r="AS3" s="1251"/>
      <c r="AT3" s="1251"/>
      <c r="AU3" s="3"/>
      <c r="AV3" s="3"/>
      <c r="AW3" s="3"/>
      <c r="AX3" s="3"/>
      <c r="AY3" s="3"/>
      <c r="AZ3" s="3"/>
      <c r="BA3" s="3"/>
      <c r="BB3" s="3"/>
      <c r="BC3" s="3"/>
      <c r="BD3" s="422">
        <v>1</v>
      </c>
      <c r="BE3" s="422">
        <v>1</v>
      </c>
      <c r="BF3" s="422">
        <v>1</v>
      </c>
      <c r="BG3" s="422">
        <v>1</v>
      </c>
      <c r="BH3" s="422">
        <v>1</v>
      </c>
      <c r="BI3" s="422">
        <v>1</v>
      </c>
      <c r="BJ3" s="422">
        <v>1</v>
      </c>
      <c r="BK3" s="422">
        <v>4</v>
      </c>
      <c r="BL3" s="422">
        <v>1</v>
      </c>
      <c r="BM3" s="422">
        <v>1</v>
      </c>
      <c r="BN3" s="422">
        <v>4</v>
      </c>
      <c r="BO3" s="422">
        <v>4</v>
      </c>
      <c r="BP3" s="422">
        <v>4</v>
      </c>
      <c r="BQ3" s="422">
        <v>4</v>
      </c>
      <c r="BR3" s="422">
        <v>1</v>
      </c>
      <c r="BS3" s="422">
        <v>3</v>
      </c>
      <c r="BT3" s="422">
        <v>3</v>
      </c>
      <c r="BU3" s="422">
        <v>3</v>
      </c>
      <c r="BV3" s="422">
        <v>4</v>
      </c>
      <c r="BW3" s="422">
        <v>4</v>
      </c>
      <c r="BX3" s="422">
        <v>4</v>
      </c>
      <c r="BY3" s="422">
        <v>4</v>
      </c>
      <c r="BZ3" s="422">
        <v>4</v>
      </c>
      <c r="CA3" s="422">
        <v>4</v>
      </c>
      <c r="CB3" s="422">
        <v>4</v>
      </c>
      <c r="CC3" s="422">
        <v>4</v>
      </c>
      <c r="CD3" s="422">
        <v>4</v>
      </c>
      <c r="CE3" s="422">
        <v>4</v>
      </c>
      <c r="CF3" s="422">
        <v>4</v>
      </c>
      <c r="CG3" s="422">
        <v>4</v>
      </c>
      <c r="CH3" s="422">
        <v>4</v>
      </c>
      <c r="CI3" s="422">
        <v>4</v>
      </c>
      <c r="CJ3" s="422">
        <v>2</v>
      </c>
      <c r="CK3" s="422">
        <v>2</v>
      </c>
      <c r="CL3" s="422">
        <v>2</v>
      </c>
      <c r="CM3" s="422">
        <v>2</v>
      </c>
      <c r="CN3" s="422">
        <v>3</v>
      </c>
      <c r="CO3" s="422">
        <v>3</v>
      </c>
      <c r="CP3" s="422">
        <v>3</v>
      </c>
      <c r="CQ3" s="422"/>
      <c r="CR3" s="422"/>
      <c r="CS3" s="422">
        <v>3</v>
      </c>
      <c r="CT3" s="422">
        <v>3</v>
      </c>
      <c r="CU3" s="422">
        <v>3</v>
      </c>
      <c r="CV3" s="422">
        <v>3</v>
      </c>
      <c r="CW3" s="422">
        <v>3</v>
      </c>
      <c r="CX3" s="422">
        <v>3</v>
      </c>
      <c r="CY3" s="422">
        <v>3</v>
      </c>
      <c r="CZ3" s="422">
        <v>3</v>
      </c>
      <c r="DA3" s="422">
        <v>3</v>
      </c>
      <c r="DB3" s="422">
        <v>3</v>
      </c>
      <c r="DC3" s="422">
        <v>3</v>
      </c>
      <c r="DD3" s="422">
        <v>3</v>
      </c>
      <c r="DE3" s="422">
        <v>3</v>
      </c>
      <c r="DF3" s="422">
        <v>3</v>
      </c>
      <c r="DG3" s="422">
        <v>3</v>
      </c>
      <c r="DH3" s="422">
        <v>3</v>
      </c>
      <c r="DI3" s="422">
        <v>3</v>
      </c>
      <c r="DJ3" s="422">
        <v>3</v>
      </c>
      <c r="DK3" s="422">
        <v>3</v>
      </c>
      <c r="DL3" s="422">
        <v>3</v>
      </c>
      <c r="DM3" s="422">
        <v>3</v>
      </c>
      <c r="DN3" s="422">
        <v>3</v>
      </c>
      <c r="DO3" s="422">
        <v>3</v>
      </c>
      <c r="DP3" s="422"/>
      <c r="DQ3" s="422">
        <v>3</v>
      </c>
      <c r="DR3" s="422">
        <v>3</v>
      </c>
      <c r="DS3" s="422"/>
      <c r="DT3" s="422"/>
      <c r="DU3" s="422"/>
      <c r="DV3" s="422"/>
      <c r="DW3" s="422">
        <v>3</v>
      </c>
      <c r="DX3" s="422">
        <v>3</v>
      </c>
      <c r="DY3" s="422">
        <v>3</v>
      </c>
      <c r="DZ3" s="422">
        <v>3</v>
      </c>
      <c r="EA3" s="422">
        <v>3</v>
      </c>
      <c r="EB3" s="422">
        <v>3</v>
      </c>
      <c r="EC3" s="422">
        <v>3</v>
      </c>
      <c r="ED3" s="422">
        <v>3</v>
      </c>
      <c r="EE3" s="422">
        <v>3</v>
      </c>
      <c r="EF3" s="422">
        <v>3</v>
      </c>
      <c r="EG3" s="422">
        <v>3</v>
      </c>
      <c r="EH3" s="422">
        <v>3</v>
      </c>
      <c r="EI3" s="422">
        <v>3</v>
      </c>
      <c r="EJ3" s="422">
        <v>3</v>
      </c>
      <c r="EK3" s="422">
        <v>3</v>
      </c>
      <c r="EL3" s="422">
        <v>3</v>
      </c>
      <c r="EM3" s="422">
        <v>3</v>
      </c>
      <c r="EN3" s="422">
        <v>3</v>
      </c>
      <c r="EO3" s="422">
        <v>2</v>
      </c>
      <c r="EP3" s="422">
        <v>2</v>
      </c>
      <c r="EQ3" s="422">
        <v>2</v>
      </c>
      <c r="ER3" s="422">
        <v>2</v>
      </c>
      <c r="ES3" s="422">
        <v>2</v>
      </c>
      <c r="ET3" s="422">
        <v>2</v>
      </c>
      <c r="EU3" s="422">
        <v>2</v>
      </c>
      <c r="EV3" s="422">
        <v>2</v>
      </c>
      <c r="EW3" s="422">
        <v>3</v>
      </c>
      <c r="EX3" s="422">
        <v>3</v>
      </c>
      <c r="EY3" s="422">
        <v>2</v>
      </c>
      <c r="EZ3" s="422">
        <v>2</v>
      </c>
      <c r="FA3" s="422">
        <v>2</v>
      </c>
      <c r="FB3" s="422">
        <v>2</v>
      </c>
      <c r="FC3" s="422">
        <v>2</v>
      </c>
      <c r="FD3" s="422">
        <v>2</v>
      </c>
      <c r="FE3" s="422">
        <v>2</v>
      </c>
      <c r="FF3" s="422">
        <v>2</v>
      </c>
      <c r="FG3" s="422">
        <v>3</v>
      </c>
      <c r="FH3" s="422">
        <v>3</v>
      </c>
      <c r="FI3" s="422">
        <v>2</v>
      </c>
      <c r="FJ3" s="422">
        <v>2</v>
      </c>
      <c r="FK3" s="422">
        <v>2</v>
      </c>
      <c r="FL3" s="422">
        <v>2</v>
      </c>
      <c r="FM3" s="422">
        <v>2</v>
      </c>
      <c r="FN3" s="422">
        <v>2</v>
      </c>
      <c r="FO3" s="422">
        <v>2</v>
      </c>
      <c r="FP3" s="422">
        <v>2</v>
      </c>
      <c r="FQ3" s="422">
        <v>2</v>
      </c>
      <c r="FR3" s="422">
        <v>3</v>
      </c>
      <c r="FS3" s="826">
        <v>3</v>
      </c>
      <c r="FT3" s="422">
        <v>3</v>
      </c>
      <c r="FU3" s="422">
        <v>3</v>
      </c>
      <c r="FV3" s="422">
        <v>2</v>
      </c>
      <c r="FW3" s="422">
        <v>2</v>
      </c>
      <c r="FX3" s="422">
        <v>2</v>
      </c>
      <c r="FY3" s="422">
        <v>2</v>
      </c>
      <c r="FZ3" s="422">
        <v>3</v>
      </c>
      <c r="GA3" s="422">
        <v>3</v>
      </c>
      <c r="GB3" s="422">
        <v>3</v>
      </c>
      <c r="GC3" s="422">
        <v>3</v>
      </c>
      <c r="GD3" s="828">
        <v>3</v>
      </c>
      <c r="GE3" s="422">
        <v>3</v>
      </c>
      <c r="GF3" s="422">
        <v>2</v>
      </c>
      <c r="GG3" s="422">
        <v>2</v>
      </c>
      <c r="GH3" s="422">
        <v>2</v>
      </c>
      <c r="GI3" s="422">
        <v>2</v>
      </c>
      <c r="GJ3" s="422">
        <v>2</v>
      </c>
      <c r="GK3" s="422">
        <v>3</v>
      </c>
      <c r="GL3" s="422">
        <v>3</v>
      </c>
      <c r="GM3" s="422">
        <v>3</v>
      </c>
      <c r="GN3" s="422">
        <v>3</v>
      </c>
      <c r="GO3" s="826">
        <v>3</v>
      </c>
      <c r="GP3" s="422">
        <v>2</v>
      </c>
      <c r="GQ3" s="422">
        <v>2</v>
      </c>
      <c r="GR3" s="422">
        <v>2</v>
      </c>
      <c r="GS3" s="422">
        <v>2</v>
      </c>
      <c r="GT3" s="422">
        <v>2</v>
      </c>
      <c r="GU3" s="422">
        <v>3</v>
      </c>
      <c r="GV3" s="422">
        <v>3</v>
      </c>
      <c r="GW3" s="422">
        <v>3</v>
      </c>
      <c r="GX3" s="828">
        <v>3</v>
      </c>
      <c r="GY3" s="422"/>
      <c r="GZ3" s="422"/>
      <c r="HA3" s="422"/>
      <c r="HB3" s="422"/>
      <c r="HC3" s="422"/>
      <c r="HD3" s="422">
        <v>3</v>
      </c>
      <c r="HE3" s="422"/>
      <c r="HF3" s="422"/>
      <c r="HG3" s="422"/>
      <c r="HH3" s="422"/>
      <c r="HI3" s="422"/>
      <c r="HJ3" s="422"/>
      <c r="HK3" s="828"/>
      <c r="HL3" s="422">
        <v>3</v>
      </c>
      <c r="HM3" s="422">
        <v>3</v>
      </c>
      <c r="HN3" s="422">
        <v>3</v>
      </c>
      <c r="HO3" s="422">
        <v>2</v>
      </c>
      <c r="HP3" s="422">
        <v>3</v>
      </c>
      <c r="HQ3" s="422">
        <v>3</v>
      </c>
      <c r="HR3" s="828">
        <v>3</v>
      </c>
      <c r="HS3" s="826">
        <v>3</v>
      </c>
      <c r="HT3" s="422">
        <v>3</v>
      </c>
      <c r="HU3" s="828">
        <v>3</v>
      </c>
      <c r="HV3" s="422">
        <v>3</v>
      </c>
      <c r="HW3" s="422">
        <v>3</v>
      </c>
      <c r="HX3" s="422">
        <v>3</v>
      </c>
      <c r="HY3" s="422">
        <v>2</v>
      </c>
      <c r="HZ3" s="422">
        <v>3</v>
      </c>
      <c r="IA3" s="422">
        <v>3</v>
      </c>
      <c r="IB3" s="828"/>
      <c r="IC3" s="422">
        <v>2</v>
      </c>
      <c r="ID3" s="422">
        <v>2</v>
      </c>
      <c r="IE3" s="422">
        <v>2</v>
      </c>
      <c r="IF3" s="422">
        <v>2</v>
      </c>
      <c r="IG3" s="422">
        <v>2</v>
      </c>
      <c r="IH3" s="422">
        <v>2</v>
      </c>
      <c r="II3" s="422">
        <v>2</v>
      </c>
      <c r="IJ3" s="422">
        <v>2</v>
      </c>
      <c r="IK3" s="422">
        <v>2</v>
      </c>
      <c r="IL3" s="422">
        <v>2</v>
      </c>
      <c r="IM3" s="422">
        <v>2</v>
      </c>
      <c r="IN3" s="422">
        <v>2</v>
      </c>
      <c r="IO3" s="422">
        <v>2</v>
      </c>
      <c r="IP3" s="422">
        <v>2</v>
      </c>
      <c r="IQ3" s="422">
        <v>2</v>
      </c>
      <c r="IR3" s="422">
        <v>2</v>
      </c>
      <c r="IS3" s="422">
        <v>2</v>
      </c>
      <c r="IT3" s="422">
        <v>2</v>
      </c>
      <c r="IU3" s="422">
        <v>2</v>
      </c>
      <c r="IV3" s="422">
        <v>2</v>
      </c>
      <c r="IW3" s="422">
        <v>2</v>
      </c>
      <c r="IX3" s="422">
        <v>2</v>
      </c>
      <c r="IY3" s="422">
        <v>2</v>
      </c>
      <c r="IZ3" s="422">
        <v>2</v>
      </c>
      <c r="JA3" s="422">
        <v>2</v>
      </c>
      <c r="JB3" s="422">
        <v>2</v>
      </c>
      <c r="JC3" s="422">
        <v>2</v>
      </c>
      <c r="JD3" s="422">
        <v>2</v>
      </c>
      <c r="JE3" s="422">
        <v>2</v>
      </c>
      <c r="JF3" s="422">
        <v>2</v>
      </c>
      <c r="JG3" s="422">
        <v>2</v>
      </c>
      <c r="JH3" s="422">
        <v>2</v>
      </c>
      <c r="JI3" s="422">
        <v>2</v>
      </c>
      <c r="JJ3" s="422">
        <v>2</v>
      </c>
      <c r="JK3" s="422">
        <v>2</v>
      </c>
      <c r="JL3" s="422">
        <v>2</v>
      </c>
      <c r="JM3" s="422">
        <v>2</v>
      </c>
      <c r="JN3" s="422">
        <v>2</v>
      </c>
      <c r="JO3" s="422">
        <v>2</v>
      </c>
      <c r="JP3" s="422">
        <v>2</v>
      </c>
      <c r="JQ3" s="422">
        <v>5</v>
      </c>
      <c r="JR3" s="422">
        <v>5</v>
      </c>
      <c r="JS3" s="422">
        <v>3</v>
      </c>
      <c r="JT3" s="422">
        <v>4</v>
      </c>
      <c r="JU3" s="422">
        <v>2</v>
      </c>
      <c r="JV3" s="422">
        <v>2</v>
      </c>
      <c r="JW3" s="422">
        <v>2</v>
      </c>
      <c r="JX3" s="422">
        <v>2</v>
      </c>
      <c r="JY3" s="422">
        <v>2</v>
      </c>
      <c r="JZ3" s="422">
        <v>2</v>
      </c>
      <c r="KA3" s="422">
        <v>2</v>
      </c>
      <c r="KB3" s="422">
        <v>2</v>
      </c>
      <c r="KC3" s="422">
        <v>2</v>
      </c>
      <c r="KD3" s="422">
        <v>2</v>
      </c>
      <c r="KE3" s="422">
        <v>1</v>
      </c>
      <c r="KF3" s="422">
        <v>1</v>
      </c>
      <c r="KG3" s="422">
        <v>1</v>
      </c>
      <c r="KH3" s="422">
        <v>4</v>
      </c>
      <c r="KI3" s="422">
        <v>4</v>
      </c>
      <c r="KJ3" s="422">
        <v>4</v>
      </c>
      <c r="KK3" s="422">
        <v>4</v>
      </c>
      <c r="KL3" s="3"/>
    </row>
    <row r="4" spans="1:817" ht="35.25" customHeight="1">
      <c r="A4" s="1257" t="s">
        <v>4533</v>
      </c>
      <c r="B4" s="1257" t="s">
        <v>4499</v>
      </c>
      <c r="C4" s="1257" t="s">
        <v>4523</v>
      </c>
      <c r="D4" s="1257"/>
      <c r="E4" s="1257"/>
      <c r="F4" s="1257"/>
      <c r="G4" s="1257"/>
      <c r="H4" s="1257"/>
      <c r="I4" s="1257"/>
      <c r="J4" s="1257" t="s">
        <v>4490</v>
      </c>
      <c r="K4" s="1257" t="s">
        <v>4524</v>
      </c>
      <c r="L4" s="1257" t="s">
        <v>4485</v>
      </c>
      <c r="M4" s="1257" t="s">
        <v>7930</v>
      </c>
      <c r="N4" s="1257" t="s">
        <v>7930</v>
      </c>
      <c r="O4" s="1257" t="s">
        <v>7930</v>
      </c>
      <c r="P4" s="1257" t="s">
        <v>7931</v>
      </c>
      <c r="Q4" s="1257"/>
      <c r="R4" s="1257"/>
      <c r="S4" s="1257"/>
      <c r="T4" s="1257" t="s">
        <v>4528</v>
      </c>
      <c r="U4" s="1257"/>
      <c r="V4" s="1257" t="s">
        <v>4507</v>
      </c>
      <c r="W4" s="1257"/>
      <c r="X4" s="1257" t="s">
        <v>4484</v>
      </c>
      <c r="Y4" s="1257" t="s">
        <v>7929</v>
      </c>
      <c r="BD4" s="425"/>
      <c r="BE4" s="425" t="s">
        <v>6734</v>
      </c>
      <c r="BF4" s="425"/>
      <c r="BG4" s="425"/>
      <c r="BH4" s="425"/>
      <c r="BI4" s="425"/>
      <c r="BJ4" s="425"/>
      <c r="BK4" s="425"/>
      <c r="BL4" s="425"/>
      <c r="BM4" s="425" t="s">
        <v>7229</v>
      </c>
      <c r="BN4" s="680"/>
      <c r="BO4" s="425"/>
      <c r="BP4" s="425"/>
      <c r="BQ4" s="425"/>
      <c r="BR4" s="425"/>
      <c r="BS4" s="425"/>
      <c r="BT4" s="425"/>
      <c r="BU4" s="425"/>
      <c r="BV4" s="425" t="s">
        <v>7484</v>
      </c>
      <c r="BW4" s="425" t="s">
        <v>7484</v>
      </c>
      <c r="BX4" s="425" t="s">
        <v>7484</v>
      </c>
      <c r="BY4" s="425" t="s">
        <v>7484</v>
      </c>
      <c r="BZ4" s="425" t="s">
        <v>7484</v>
      </c>
      <c r="CA4" s="425" t="s">
        <v>7484</v>
      </c>
      <c r="CB4" s="425" t="s">
        <v>7484</v>
      </c>
      <c r="CC4" s="425" t="s">
        <v>7484</v>
      </c>
      <c r="CD4" s="425" t="s">
        <v>7484</v>
      </c>
      <c r="CE4" s="425" t="s">
        <v>7484</v>
      </c>
      <c r="CF4" s="425" t="s">
        <v>7484</v>
      </c>
      <c r="CG4" s="425" t="s">
        <v>7485</v>
      </c>
      <c r="CH4" s="425" t="s">
        <v>7485</v>
      </c>
      <c r="CI4" s="425" t="s">
        <v>7485</v>
      </c>
      <c r="CJ4" s="425" t="s">
        <v>7486</v>
      </c>
      <c r="CK4" s="425" t="s">
        <v>7486</v>
      </c>
      <c r="CL4" s="425" t="s">
        <v>7486</v>
      </c>
      <c r="CM4" s="425" t="s">
        <v>7486</v>
      </c>
      <c r="CN4" s="425" t="s">
        <v>7486</v>
      </c>
      <c r="CO4" s="425" t="s">
        <v>7486</v>
      </c>
      <c r="CP4" s="425" t="s">
        <v>7486</v>
      </c>
      <c r="CQ4" s="425" t="s">
        <v>7486</v>
      </c>
      <c r="CR4" s="425" t="s">
        <v>7486</v>
      </c>
      <c r="CS4" s="425" t="s">
        <v>7486</v>
      </c>
      <c r="CT4" s="425" t="s">
        <v>7486</v>
      </c>
      <c r="CU4" s="425" t="s">
        <v>7486</v>
      </c>
      <c r="CV4" s="425" t="s">
        <v>7486</v>
      </c>
      <c r="CW4" s="425" t="s">
        <v>7486</v>
      </c>
      <c r="CX4" s="425" t="s">
        <v>7486</v>
      </c>
      <c r="CY4" s="425" t="s">
        <v>7486</v>
      </c>
      <c r="CZ4" s="425" t="s">
        <v>7486</v>
      </c>
      <c r="DA4" s="425" t="s">
        <v>7486</v>
      </c>
      <c r="DB4" s="425" t="s">
        <v>7486</v>
      </c>
      <c r="DC4" s="425" t="s">
        <v>7486</v>
      </c>
      <c r="DD4" s="425" t="s">
        <v>7486</v>
      </c>
      <c r="DE4" s="425" t="s">
        <v>7486</v>
      </c>
      <c r="DF4" s="425" t="s">
        <v>7486</v>
      </c>
      <c r="DG4" s="425" t="s">
        <v>7486</v>
      </c>
      <c r="DH4" s="425" t="s">
        <v>7486</v>
      </c>
      <c r="DI4" s="425" t="s">
        <v>7486</v>
      </c>
      <c r="DJ4" s="425" t="s">
        <v>7486</v>
      </c>
      <c r="DK4" s="425" t="s">
        <v>7486</v>
      </c>
      <c r="DL4" s="425" t="s">
        <v>7486</v>
      </c>
      <c r="DM4" s="425" t="s">
        <v>7486</v>
      </c>
      <c r="DN4" s="425" t="s">
        <v>7456</v>
      </c>
      <c r="DO4" s="425" t="s">
        <v>7456</v>
      </c>
      <c r="DP4" s="425" t="s">
        <v>7456</v>
      </c>
      <c r="DQ4" s="425" t="s">
        <v>7456</v>
      </c>
      <c r="DR4" s="425" t="s">
        <v>7456</v>
      </c>
      <c r="DS4" s="425" t="s">
        <v>7456</v>
      </c>
      <c r="DT4" s="425" t="s">
        <v>7456</v>
      </c>
      <c r="DU4" s="425" t="s">
        <v>7456</v>
      </c>
      <c r="DV4" s="425" t="s">
        <v>7456</v>
      </c>
      <c r="DW4" s="425" t="s">
        <v>7456</v>
      </c>
      <c r="DX4" s="425" t="s">
        <v>7456</v>
      </c>
      <c r="DY4" s="425" t="s">
        <v>7456</v>
      </c>
      <c r="DZ4" s="425" t="s">
        <v>7456</v>
      </c>
      <c r="EA4" s="425" t="s">
        <v>7456</v>
      </c>
      <c r="EB4" s="425" t="s">
        <v>7456</v>
      </c>
      <c r="EC4" s="425" t="s">
        <v>7456</v>
      </c>
      <c r="ED4" s="425" t="s">
        <v>7456</v>
      </c>
      <c r="EE4" s="425" t="s">
        <v>7456</v>
      </c>
      <c r="EF4" s="425" t="s">
        <v>7456</v>
      </c>
      <c r="EG4" s="425" t="s">
        <v>7456</v>
      </c>
      <c r="EH4" s="425" t="s">
        <v>7456</v>
      </c>
      <c r="EI4" s="425" t="s">
        <v>7456</v>
      </c>
      <c r="EJ4" s="425" t="s">
        <v>7456</v>
      </c>
      <c r="EK4" s="425" t="s">
        <v>7456</v>
      </c>
      <c r="EL4" s="425" t="s">
        <v>7456</v>
      </c>
      <c r="EM4" s="425" t="s">
        <v>7456</v>
      </c>
      <c r="EN4" s="425" t="s">
        <v>7456</v>
      </c>
      <c r="EO4" s="422" t="s">
        <v>273</v>
      </c>
      <c r="EP4" s="422" t="s">
        <v>273</v>
      </c>
      <c r="EQ4" s="422" t="s">
        <v>273</v>
      </c>
      <c r="ER4" s="422" t="s">
        <v>273</v>
      </c>
      <c r="ES4" s="422" t="s">
        <v>273</v>
      </c>
      <c r="ET4" s="3" t="s">
        <v>273</v>
      </c>
      <c r="EU4" s="422" t="s">
        <v>273</v>
      </c>
      <c r="EV4" s="422" t="s">
        <v>273</v>
      </c>
      <c r="EW4" s="422" t="s">
        <v>273</v>
      </c>
      <c r="EX4" s="422" t="s">
        <v>273</v>
      </c>
      <c r="EY4" s="422" t="s">
        <v>274</v>
      </c>
      <c r="EZ4" s="422" t="s">
        <v>274</v>
      </c>
      <c r="FA4" s="422" t="s">
        <v>274</v>
      </c>
      <c r="FB4" s="422" t="s">
        <v>274</v>
      </c>
      <c r="FC4" s="422" t="s">
        <v>274</v>
      </c>
      <c r="FD4" s="422" t="s">
        <v>274</v>
      </c>
      <c r="FE4" s="422" t="s">
        <v>274</v>
      </c>
      <c r="FF4" s="422" t="s">
        <v>274</v>
      </c>
      <c r="FG4" s="422" t="s">
        <v>274</v>
      </c>
      <c r="FH4" s="422" t="s">
        <v>274</v>
      </c>
      <c r="FI4" s="422" t="s">
        <v>275</v>
      </c>
      <c r="FJ4" s="422" t="s">
        <v>275</v>
      </c>
      <c r="FK4" s="422" t="s">
        <v>275</v>
      </c>
      <c r="FL4" s="422" t="s">
        <v>275</v>
      </c>
      <c r="FM4" s="422" t="s">
        <v>275</v>
      </c>
      <c r="FN4" s="422" t="s">
        <v>275</v>
      </c>
      <c r="FO4" s="422" t="s">
        <v>275</v>
      </c>
      <c r="FP4" s="422" t="s">
        <v>275</v>
      </c>
      <c r="FQ4" s="422" t="s">
        <v>275</v>
      </c>
      <c r="FR4" s="422" t="s">
        <v>275</v>
      </c>
      <c r="FS4" s="826" t="s">
        <v>7209</v>
      </c>
      <c r="FT4" s="422" t="s">
        <v>7209</v>
      </c>
      <c r="FU4" s="422" t="s">
        <v>7206</v>
      </c>
      <c r="FV4" s="422" t="s">
        <v>7206</v>
      </c>
      <c r="FW4" s="422" t="s">
        <v>7206</v>
      </c>
      <c r="FX4" s="422" t="s">
        <v>7206</v>
      </c>
      <c r="FY4" s="422" t="s">
        <v>7206</v>
      </c>
      <c r="FZ4" s="422" t="s">
        <v>7206</v>
      </c>
      <c r="GA4" s="422" t="s">
        <v>7206</v>
      </c>
      <c r="GB4" s="422" t="s">
        <v>7206</v>
      </c>
      <c r="GC4" s="422" t="s">
        <v>7206</v>
      </c>
      <c r="GD4" s="828" t="s">
        <v>7206</v>
      </c>
      <c r="GE4" s="422" t="s">
        <v>7207</v>
      </c>
      <c r="GF4" s="422" t="s">
        <v>7207</v>
      </c>
      <c r="GG4" s="422" t="s">
        <v>7207</v>
      </c>
      <c r="GH4" s="422" t="s">
        <v>7207</v>
      </c>
      <c r="GI4" s="422" t="s">
        <v>7207</v>
      </c>
      <c r="GJ4" s="422" t="s">
        <v>7207</v>
      </c>
      <c r="GK4" s="422" t="s">
        <v>7207</v>
      </c>
      <c r="GL4" s="422" t="s">
        <v>7207</v>
      </c>
      <c r="GM4" s="422" t="s">
        <v>7207</v>
      </c>
      <c r="GN4" s="422" t="s">
        <v>7207</v>
      </c>
      <c r="GO4" s="826" t="s">
        <v>7208</v>
      </c>
      <c r="GP4" s="422" t="s">
        <v>7208</v>
      </c>
      <c r="GQ4" s="422" t="s">
        <v>7208</v>
      </c>
      <c r="GR4" s="422" t="s">
        <v>7208</v>
      </c>
      <c r="GS4" s="422" t="s">
        <v>7207</v>
      </c>
      <c r="GT4" s="422" t="s">
        <v>7207</v>
      </c>
      <c r="GU4" s="422" t="s">
        <v>7208</v>
      </c>
      <c r="GV4" s="422" t="s">
        <v>7208</v>
      </c>
      <c r="GW4" s="422" t="s">
        <v>7208</v>
      </c>
      <c r="GX4" s="828" t="s">
        <v>7208</v>
      </c>
      <c r="GY4" s="422" t="s">
        <v>7214</v>
      </c>
      <c r="GZ4" s="422" t="s">
        <v>7214</v>
      </c>
      <c r="HA4" s="422" t="s">
        <v>7214</v>
      </c>
      <c r="HB4" s="422" t="s">
        <v>7214</v>
      </c>
      <c r="HC4" s="422" t="s">
        <v>7214</v>
      </c>
      <c r="HD4" s="422" t="s">
        <v>7214</v>
      </c>
      <c r="HE4" s="422" t="s">
        <v>7214</v>
      </c>
      <c r="HF4" s="422" t="s">
        <v>7214</v>
      </c>
      <c r="HG4" s="422" t="s">
        <v>7214</v>
      </c>
      <c r="HH4" s="422" t="s">
        <v>7214</v>
      </c>
      <c r="HI4" s="422" t="s">
        <v>7214</v>
      </c>
      <c r="HJ4" s="422" t="s">
        <v>7214</v>
      </c>
      <c r="HK4" s="828" t="s">
        <v>7214</v>
      </c>
      <c r="HL4" s="422" t="s">
        <v>7458</v>
      </c>
      <c r="HM4" s="422" t="s">
        <v>7458</v>
      </c>
      <c r="HN4" s="422" t="s">
        <v>7458</v>
      </c>
      <c r="HO4" s="422" t="s">
        <v>7458</v>
      </c>
      <c r="HP4" s="422" t="s">
        <v>7458</v>
      </c>
      <c r="HQ4" s="422" t="s">
        <v>7458</v>
      </c>
      <c r="HR4" s="828" t="s">
        <v>7458</v>
      </c>
      <c r="HS4" s="826" t="s">
        <v>7459</v>
      </c>
      <c r="HT4" s="422" t="s">
        <v>7460</v>
      </c>
      <c r="HU4" s="828" t="s">
        <v>7461</v>
      </c>
      <c r="HV4" s="422" t="s">
        <v>291</v>
      </c>
      <c r="HW4" s="422" t="s">
        <v>291</v>
      </c>
      <c r="HX4" s="422" t="s">
        <v>291</v>
      </c>
      <c r="HY4" s="422" t="s">
        <v>291</v>
      </c>
      <c r="HZ4" s="422" t="s">
        <v>291</v>
      </c>
      <c r="IA4" s="422" t="s">
        <v>291</v>
      </c>
      <c r="IB4" s="828" t="s">
        <v>291</v>
      </c>
      <c r="IC4" s="422" t="s">
        <v>294</v>
      </c>
      <c r="ID4" s="422" t="s">
        <v>294</v>
      </c>
      <c r="IE4" s="422" t="s">
        <v>294</v>
      </c>
      <c r="IF4" s="422" t="s">
        <v>294</v>
      </c>
      <c r="IG4" s="422" t="s">
        <v>294</v>
      </c>
      <c r="IH4" s="422" t="s">
        <v>294</v>
      </c>
      <c r="II4" s="422" t="s">
        <v>294</v>
      </c>
      <c r="IJ4" s="422" t="s">
        <v>294</v>
      </c>
      <c r="IK4" s="422" t="s">
        <v>294</v>
      </c>
      <c r="IL4" s="422" t="s">
        <v>294</v>
      </c>
      <c r="IM4" s="422" t="s">
        <v>303</v>
      </c>
      <c r="IN4" s="422" t="s">
        <v>303</v>
      </c>
      <c r="IO4" s="422" t="s">
        <v>303</v>
      </c>
      <c r="IP4" s="422" t="s">
        <v>303</v>
      </c>
      <c r="IQ4" s="422" t="s">
        <v>303</v>
      </c>
      <c r="IR4" s="422" t="s">
        <v>303</v>
      </c>
      <c r="IS4" s="422" t="s">
        <v>303</v>
      </c>
      <c r="IT4" s="422" t="s">
        <v>303</v>
      </c>
      <c r="IU4" s="422" t="s">
        <v>303</v>
      </c>
      <c r="IV4" s="422" t="s">
        <v>303</v>
      </c>
      <c r="IW4" s="422" t="s">
        <v>304</v>
      </c>
      <c r="IX4" s="422" t="s">
        <v>304</v>
      </c>
      <c r="IY4" s="422" t="s">
        <v>304</v>
      </c>
      <c r="IZ4" s="422" t="s">
        <v>304</v>
      </c>
      <c r="JA4" s="422" t="s">
        <v>304</v>
      </c>
      <c r="JB4" s="422" t="s">
        <v>304</v>
      </c>
      <c r="JC4" s="422" t="s">
        <v>304</v>
      </c>
      <c r="JD4" s="422" t="s">
        <v>304</v>
      </c>
      <c r="JE4" s="422" t="s">
        <v>304</v>
      </c>
      <c r="JF4" s="422" t="s">
        <v>304</v>
      </c>
      <c r="JG4" s="422" t="s">
        <v>305</v>
      </c>
      <c r="JH4" s="422" t="s">
        <v>305</v>
      </c>
      <c r="JI4" s="422" t="s">
        <v>305</v>
      </c>
      <c r="JJ4" s="422" t="s">
        <v>305</v>
      </c>
      <c r="JK4" s="422" t="s">
        <v>305</v>
      </c>
      <c r="JL4" s="422" t="s">
        <v>305</v>
      </c>
      <c r="JM4" s="422" t="s">
        <v>305</v>
      </c>
      <c r="JN4" s="422" t="s">
        <v>305</v>
      </c>
      <c r="JO4" s="422" t="s">
        <v>305</v>
      </c>
      <c r="JP4" s="422" t="s">
        <v>305</v>
      </c>
      <c r="JQ4" s="422" t="s">
        <v>6726</v>
      </c>
      <c r="JR4" s="422" t="s">
        <v>6726</v>
      </c>
      <c r="JS4" s="422" t="s">
        <v>6726</v>
      </c>
      <c r="JT4" s="422" t="s">
        <v>6726</v>
      </c>
      <c r="JU4" s="422" t="s">
        <v>6726</v>
      </c>
      <c r="JV4" s="422" t="s">
        <v>6726</v>
      </c>
      <c r="JW4" s="422" t="s">
        <v>6726</v>
      </c>
      <c r="JX4" s="422" t="s">
        <v>6726</v>
      </c>
      <c r="JY4" s="422" t="s">
        <v>6726</v>
      </c>
      <c r="JZ4" s="422" t="s">
        <v>6726</v>
      </c>
      <c r="KA4" s="422" t="s">
        <v>6726</v>
      </c>
      <c r="KB4" s="422" t="s">
        <v>6726</v>
      </c>
      <c r="KC4" s="422" t="s">
        <v>6726</v>
      </c>
      <c r="KD4" s="422" t="s">
        <v>6726</v>
      </c>
      <c r="KE4" s="422" t="s">
        <v>433</v>
      </c>
      <c r="KF4" s="422" t="s">
        <v>433</v>
      </c>
      <c r="KG4" s="422" t="s">
        <v>433</v>
      </c>
      <c r="KH4" s="422" t="s">
        <v>433</v>
      </c>
      <c r="KI4" s="422" t="s">
        <v>433</v>
      </c>
      <c r="KJ4" s="422" t="s">
        <v>433</v>
      </c>
      <c r="KK4" s="422" t="s">
        <v>433</v>
      </c>
      <c r="KL4" s="3"/>
    </row>
    <row r="5" spans="1:817" ht="14.25" customHeight="1">
      <c r="AG5" s="1252" t="str">
        <f>IF($F5&lt;&gt;"Large (3 YR $)","",IF($I5="FY 2027",AW5,IF($I5="FY 2028",AV5,"")))</f>
        <v/>
      </c>
      <c r="AH5" s="1252" t="str">
        <f>IF($F5&lt;&gt;"Large (3 YR $)","",IF($I5="FY 2027",$AX5,IF($I5="FY 2028",$AW5,IF($I5="FY 2029",$AV5,""))))</f>
        <v/>
      </c>
      <c r="AI5" s="1252" t="str">
        <f>IF($F5&lt;&gt;"Large (3 YR $)","",IF($I5="FY 2028",$AX5,IF($I5="FY 2029",$AW5,IF($I5="FY 2030",$AV5,""))))</f>
        <v/>
      </c>
      <c r="AJ5" s="1252" t="str">
        <f>IF($F5&lt;&gt;"Large (3 YR $)","",IF($I5="FY 2029",$AX5,IF($I5="FY 2030",$AW5,IF($I5="FY 2031",$AV5,""))))</f>
        <v/>
      </c>
      <c r="AK5" s="1252" t="str">
        <f>IF($F5&lt;&gt;"Large (3 YR $)","",IF($I5="FY 2030",$AX5,IF($I5="FY 2031",$AW5,IF($I5="FY 2032",$AV5,""))))</f>
        <v/>
      </c>
      <c r="AL5" s="1252" t="str">
        <f>IF($F5&lt;&gt;"Large (3 YR $)","",IF($I5="FY 2031",$AX5,""))</f>
        <v/>
      </c>
      <c r="AM5" s="1252"/>
      <c r="AN5" s="1252">
        <f>SUM(AG5:AL5)</f>
        <v>0</v>
      </c>
      <c r="AO5" s="1252" t="str">
        <f>IF(AND($F5&lt;&gt;"Large (3 YR $)",$I5="FY 2027"),$J5,"")</f>
        <v/>
      </c>
      <c r="AP5" s="1252" t="str">
        <f>IF(AND($F5&lt;&gt;"Large (3 YR $)",$I5="FY 2028"),$J5,"")</f>
        <v/>
      </c>
      <c r="AQ5" s="1252" t="str">
        <f>IF(AND($F5&lt;&gt;"Large (3 YR $)",$I5="FY 2029"),$J5,"")</f>
        <v/>
      </c>
      <c r="AR5" s="1252" t="str">
        <f>IF(AND($F5&lt;&gt;"Large (3 YR $)",$I5="FY 2030"),$J5,"")</f>
        <v/>
      </c>
      <c r="AS5" s="1252" t="str">
        <f>IF(AND($F5&lt;&gt;"Large (3 YR $)",$I5="FY 2031"),$J5,"")</f>
        <v/>
      </c>
      <c r="AT5" s="1252">
        <f>SUM(AO5:AS5)</f>
        <v>0</v>
      </c>
      <c r="AU5" s="1280" t="b">
        <f>BE5=C5</f>
        <v>1</v>
      </c>
      <c r="AY5" s="1284" t="b">
        <f>AV5=BN5</f>
        <v>1</v>
      </c>
      <c r="AZ5" s="1284" t="b">
        <f>AW5=BO5</f>
        <v>1</v>
      </c>
      <c r="BA5" s="1284" t="b">
        <f>AX5=BP5</f>
        <v>1</v>
      </c>
      <c r="BC5" s="3" t="s">
        <v>4503</v>
      </c>
      <c r="BD5" s="3" t="s">
        <v>4533</v>
      </c>
      <c r="BQ5" s="3"/>
      <c r="BR5" s="3"/>
      <c r="BS5" s="3"/>
      <c r="BT5" s="3"/>
      <c r="BU5" s="3"/>
      <c r="BV5" s="3"/>
      <c r="BW5" s="3"/>
      <c r="BX5" s="3"/>
      <c r="BY5" s="3"/>
      <c r="BZ5" s="3"/>
      <c r="CA5" s="3"/>
      <c r="CB5" s="3"/>
      <c r="CC5" s="3"/>
      <c r="CD5" s="3"/>
      <c r="CE5" s="3"/>
      <c r="CF5" s="3"/>
      <c r="CG5" s="3"/>
      <c r="CH5" s="3"/>
      <c r="CI5" s="3"/>
      <c r="CJ5" s="3"/>
      <c r="CK5" s="3"/>
      <c r="CL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c r="IZ5" s="3"/>
      <c r="JA5" s="3"/>
      <c r="JB5" s="3"/>
      <c r="JC5" s="3"/>
      <c r="JD5" s="3"/>
      <c r="JE5" s="3"/>
      <c r="JF5" s="3"/>
      <c r="JG5" s="3"/>
      <c r="JH5" s="3"/>
      <c r="JI5" s="3"/>
      <c r="JJ5" s="3"/>
      <c r="JK5" s="3"/>
      <c r="JL5" s="3"/>
      <c r="JM5" s="3"/>
      <c r="JN5" s="3"/>
      <c r="JO5" s="3"/>
      <c r="JP5" s="3"/>
      <c r="JQ5" s="3"/>
      <c r="JR5" s="3"/>
      <c r="JS5" s="3"/>
      <c r="JT5" s="3"/>
      <c r="JU5" s="3"/>
      <c r="JV5" s="3"/>
      <c r="JW5" s="3"/>
      <c r="JX5" s="3"/>
      <c r="JY5" s="3"/>
      <c r="JZ5" s="3"/>
      <c r="KA5" s="3"/>
      <c r="KB5" s="3"/>
      <c r="KC5" s="3"/>
      <c r="KD5" s="3"/>
      <c r="KE5" s="3"/>
      <c r="KF5" s="3"/>
      <c r="KG5" s="3"/>
      <c r="KH5" s="3"/>
      <c r="KI5" s="3"/>
      <c r="KJ5" s="3"/>
      <c r="KK5" s="3"/>
      <c r="KL5" s="3"/>
      <c r="KM5" s="1309" t="b">
        <f>BU5=BV5</f>
        <v>1</v>
      </c>
      <c r="KO5" s="1280" t="str">
        <f>IF($BI5&lt;&gt;"Large (3 YR $)","",IF($BL5="FY 2027",BO5,IF($BL5="FY 2028",BN5,"")))</f>
        <v/>
      </c>
      <c r="KP5" s="1280" t="str">
        <f>IF($BI5&lt;&gt;"Large (3 YR $)","",IF($BL5="FY 2027",$BP5,IF($BL5="FY 2028",$BO5,IF($BL5="FY 2029",$BN5,""))))</f>
        <v/>
      </c>
      <c r="KQ5" s="1280" t="str">
        <f>IF($BI5&lt;&gt;"Large (3 YR $)","",IF($BL5="FY 2028",$BP5,IF($BL5="FY 2029",$BO5,IF($BL5="FY 2030",$BN5,""))))</f>
        <v/>
      </c>
      <c r="KR5" s="1280" t="str">
        <f>IF($BI5&lt;&gt;"Large (3 YR $)","",IF($BL5="FY 2029",$BP5,IF($BL5="FY 2030",$BO5,IF($BL5="FY 2031",$BN5,""))))</f>
        <v/>
      </c>
      <c r="KS5" s="1280" t="str">
        <f>IF($BI5&lt;&gt;"Large (3 YR $)","",IF($BL5="FY 2030",$BP5,IF($BL5="FY 2031",$BO5,IF($BL5="FY 2032",$BN5,""))))</f>
        <v/>
      </c>
      <c r="KT5" s="1280" t="str">
        <f>IF($BI5&lt;&gt;"Large (3 YR $)","",IF($BL5="FY 2031",$BP5,""))</f>
        <v/>
      </c>
      <c r="KU5" s="1280">
        <f>SUM(KO5:KT5)</f>
        <v>0</v>
      </c>
      <c r="KV5" s="1280" t="str">
        <f>IF(AND($BI5&lt;&gt;"Large (3 YR $)",$BL5="FY 2027"),$BW5,"")</f>
        <v/>
      </c>
      <c r="KW5" s="1280" t="str">
        <f>IF(AND($BI5&lt;&gt;"Large (3 YR $)",$BL5="FY 2028"),$BW5,"")</f>
        <v/>
      </c>
      <c r="KX5" s="1280" t="str">
        <f>IF(AND($BI5&lt;&gt;"Large (3 YR $)",$BL5="FY 2029"),$BW5,"")</f>
        <v/>
      </c>
      <c r="KY5" s="1280" t="str">
        <f>IF(AND($BI5&lt;&gt;"Large (3 YR $)",$BL5="FY 2030"),$BW5,"")</f>
        <v/>
      </c>
      <c r="KZ5" s="1280" t="str">
        <f>IF(AND($BI5&lt;&gt;"Large (3 YR $)",$BL5="FY 2031"),$BW5,"")</f>
        <v/>
      </c>
      <c r="LA5" s="1280">
        <f>SUM(KV5:KZ5)</f>
        <v>0</v>
      </c>
      <c r="LB5" s="1280">
        <f>KU5+LA5</f>
        <v>0</v>
      </c>
      <c r="LC5" s="1280" t="b">
        <f>KU5=BW5</f>
        <v>1</v>
      </c>
      <c r="LI5" s="1280">
        <f t="shared" ref="LI5:LN5" si="250">IF(KO5="",0,KO5)</f>
        <v>0</v>
      </c>
      <c r="LJ5" s="1280">
        <f t="shared" si="250"/>
        <v>0</v>
      </c>
      <c r="LK5" s="1280">
        <f t="shared" si="250"/>
        <v>0</v>
      </c>
      <c r="LL5" s="1280">
        <f t="shared" si="250"/>
        <v>0</v>
      </c>
      <c r="LM5" s="1280">
        <f t="shared" si="250"/>
        <v>0</v>
      </c>
      <c r="LN5" s="1280">
        <f t="shared" si="250"/>
        <v>0</v>
      </c>
      <c r="LO5" s="1280"/>
      <c r="LP5" s="1280">
        <f t="shared" ref="LP5:LT5" si="251">IF(KV5="",0,KV5)</f>
        <v>0</v>
      </c>
      <c r="LQ5" s="1280">
        <f t="shared" si="251"/>
        <v>0</v>
      </c>
      <c r="LR5" s="1280">
        <f t="shared" si="251"/>
        <v>0</v>
      </c>
      <c r="LS5" s="1280">
        <f t="shared" si="251"/>
        <v>0</v>
      </c>
      <c r="LT5" s="1280">
        <f t="shared" si="251"/>
        <v>0</v>
      </c>
      <c r="LU5" s="1280"/>
      <c r="LV5" s="1280" t="str">
        <f t="shared" ref="LV5:LZ5" si="252">IF(LI5+LP5=0,"",LI5+LP5)</f>
        <v/>
      </c>
      <c r="LW5" s="1280" t="str">
        <f t="shared" si="252"/>
        <v/>
      </c>
      <c r="LX5" s="1280" t="str">
        <f t="shared" si="252"/>
        <v/>
      </c>
      <c r="LY5" s="1280" t="str">
        <f t="shared" si="252"/>
        <v/>
      </c>
      <c r="LZ5" s="1280" t="str">
        <f t="shared" si="252"/>
        <v/>
      </c>
      <c r="MA5" s="1280" t="str">
        <f>IF(LN5=0,"",LN5)</f>
        <v/>
      </c>
      <c r="MB5" s="1280" t="b">
        <f>H5=BL5</f>
        <v>1</v>
      </c>
      <c r="MC5" s="1280" t="b">
        <f>KL5&lt;&gt;""</f>
        <v>0</v>
      </c>
      <c r="VL5" s="1309" t="b">
        <f>BC5=MD5</f>
        <v>0</v>
      </c>
      <c r="VM5" s="1309" t="b">
        <f>BD5=ME5</f>
        <v>0</v>
      </c>
      <c r="VN5" s="1309" t="b">
        <f>BE5=MF5</f>
        <v>1</v>
      </c>
      <c r="VO5" s="1309" t="b">
        <f>BF5=MG5</f>
        <v>1</v>
      </c>
      <c r="VP5" s="1309" t="b">
        <f>BG5=MH5</f>
        <v>1</v>
      </c>
      <c r="VQ5" s="1309" t="b">
        <f t="shared" ref="VQ5:WV5" si="253">BI5=MI5</f>
        <v>1</v>
      </c>
      <c r="VR5" s="1309" t="b">
        <f t="shared" si="253"/>
        <v>1</v>
      </c>
      <c r="VS5" s="1309" t="b">
        <f t="shared" si="253"/>
        <v>1</v>
      </c>
      <c r="VT5" s="1309" t="b">
        <f t="shared" si="253"/>
        <v>1</v>
      </c>
      <c r="VU5" s="1309" t="b">
        <f t="shared" si="253"/>
        <v>1</v>
      </c>
      <c r="VV5" s="1309" t="b">
        <f t="shared" si="253"/>
        <v>1</v>
      </c>
      <c r="VW5" s="1309" t="b">
        <f t="shared" si="253"/>
        <v>1</v>
      </c>
      <c r="VX5" s="1309" t="b">
        <f t="shared" si="253"/>
        <v>1</v>
      </c>
      <c r="VY5" s="1309" t="b">
        <f t="shared" si="253"/>
        <v>1</v>
      </c>
      <c r="VZ5" s="1309" t="b">
        <f t="shared" si="253"/>
        <v>1</v>
      </c>
      <c r="WA5" s="1309" t="b">
        <f t="shared" si="253"/>
        <v>1</v>
      </c>
      <c r="WB5" s="1309" t="b">
        <f t="shared" si="253"/>
        <v>1</v>
      </c>
      <c r="WC5" s="1309" t="b">
        <f t="shared" si="253"/>
        <v>1</v>
      </c>
      <c r="WD5" s="1309" t="b">
        <f t="shared" si="253"/>
        <v>1</v>
      </c>
      <c r="WE5" s="1309" t="b">
        <f t="shared" si="253"/>
        <v>1</v>
      </c>
      <c r="WF5" s="1309" t="b">
        <f t="shared" si="253"/>
        <v>1</v>
      </c>
      <c r="WG5" s="1309" t="b">
        <f t="shared" si="253"/>
        <v>1</v>
      </c>
      <c r="WH5" s="1309" t="b">
        <f t="shared" si="253"/>
        <v>1</v>
      </c>
      <c r="WI5" s="1309" t="b">
        <f t="shared" si="253"/>
        <v>1</v>
      </c>
      <c r="WJ5" s="1309" t="b">
        <f t="shared" si="253"/>
        <v>1</v>
      </c>
      <c r="WK5" s="1309" t="b">
        <f t="shared" si="253"/>
        <v>1</v>
      </c>
      <c r="WL5" s="1309" t="b">
        <f t="shared" si="253"/>
        <v>1</v>
      </c>
      <c r="WM5" s="1309" t="b">
        <f t="shared" si="253"/>
        <v>1</v>
      </c>
      <c r="WN5" s="1309" t="b">
        <f t="shared" si="253"/>
        <v>1</v>
      </c>
      <c r="WO5" s="1309" t="b">
        <f t="shared" si="253"/>
        <v>1</v>
      </c>
      <c r="WP5" s="1309" t="b">
        <f t="shared" si="253"/>
        <v>1</v>
      </c>
      <c r="WQ5" s="1309" t="b">
        <f t="shared" si="253"/>
        <v>1</v>
      </c>
      <c r="WR5" s="1309" t="b">
        <f t="shared" si="253"/>
        <v>1</v>
      </c>
      <c r="WS5" s="1309" t="b">
        <f t="shared" si="253"/>
        <v>1</v>
      </c>
      <c r="WT5" s="1309" t="b">
        <f t="shared" si="253"/>
        <v>1</v>
      </c>
      <c r="WU5" s="1309" t="b">
        <f t="shared" si="253"/>
        <v>1</v>
      </c>
      <c r="WV5" s="1309" t="b">
        <f t="shared" si="253"/>
        <v>1</v>
      </c>
      <c r="WW5" s="1309" t="b">
        <f t="shared" ref="WW5:YB5" si="254">CO5=NO5</f>
        <v>1</v>
      </c>
      <c r="WX5" s="1309" t="b">
        <f t="shared" si="254"/>
        <v>1</v>
      </c>
      <c r="WY5" s="1309" t="b">
        <f t="shared" si="254"/>
        <v>1</v>
      </c>
      <c r="WZ5" s="1309" t="b">
        <f t="shared" si="254"/>
        <v>1</v>
      </c>
      <c r="XA5" s="1309" t="b">
        <f t="shared" si="254"/>
        <v>1</v>
      </c>
      <c r="XB5" s="1309" t="b">
        <f t="shared" si="254"/>
        <v>1</v>
      </c>
      <c r="XC5" s="1309" t="b">
        <f t="shared" si="254"/>
        <v>1</v>
      </c>
      <c r="XD5" s="1309" t="b">
        <f t="shared" si="254"/>
        <v>1</v>
      </c>
      <c r="XE5" s="1309" t="b">
        <f t="shared" si="254"/>
        <v>1</v>
      </c>
      <c r="XF5" s="1309" t="b">
        <f t="shared" si="254"/>
        <v>1</v>
      </c>
      <c r="XG5" s="1309" t="b">
        <f t="shared" si="254"/>
        <v>1</v>
      </c>
      <c r="XH5" s="1309" t="b">
        <f t="shared" si="254"/>
        <v>1</v>
      </c>
      <c r="XI5" s="1309" t="b">
        <f t="shared" si="254"/>
        <v>1</v>
      </c>
      <c r="XJ5" s="1309" t="b">
        <f t="shared" si="254"/>
        <v>1</v>
      </c>
      <c r="XK5" s="1309" t="b">
        <f t="shared" si="254"/>
        <v>1</v>
      </c>
      <c r="XL5" s="1309" t="b">
        <f t="shared" si="254"/>
        <v>1</v>
      </c>
      <c r="XM5" s="1309" t="b">
        <f t="shared" si="254"/>
        <v>1</v>
      </c>
      <c r="XN5" s="1309" t="b">
        <f t="shared" si="254"/>
        <v>1</v>
      </c>
      <c r="XO5" s="1309" t="b">
        <f t="shared" si="254"/>
        <v>1</v>
      </c>
      <c r="XP5" s="1309" t="b">
        <f t="shared" si="254"/>
        <v>1</v>
      </c>
      <c r="XQ5" s="1309" t="b">
        <f t="shared" si="254"/>
        <v>1</v>
      </c>
      <c r="XR5" s="1309" t="b">
        <f t="shared" si="254"/>
        <v>1</v>
      </c>
      <c r="XS5" s="1309" t="b">
        <f t="shared" si="254"/>
        <v>1</v>
      </c>
      <c r="XT5" s="1309" t="b">
        <f t="shared" si="254"/>
        <v>1</v>
      </c>
      <c r="XU5" s="1309" t="b">
        <f t="shared" si="254"/>
        <v>1</v>
      </c>
      <c r="XV5" s="1309" t="b">
        <f t="shared" si="254"/>
        <v>1</v>
      </c>
      <c r="XW5" s="1309" t="b">
        <f t="shared" si="254"/>
        <v>1</v>
      </c>
      <c r="XX5" s="1309" t="b">
        <f t="shared" si="254"/>
        <v>1</v>
      </c>
      <c r="XY5" s="1309" t="b">
        <f t="shared" si="254"/>
        <v>1</v>
      </c>
      <c r="XZ5" s="1309" t="b">
        <f t="shared" si="254"/>
        <v>1</v>
      </c>
      <c r="YA5" s="1309" t="b">
        <f t="shared" si="254"/>
        <v>1</v>
      </c>
      <c r="YB5" s="1309" t="b">
        <f t="shared" si="254"/>
        <v>1</v>
      </c>
      <c r="YC5" s="1309" t="b">
        <f t="shared" ref="YC5:ZE5" si="255">DU5=OU5</f>
        <v>1</v>
      </c>
      <c r="YD5" s="1309" t="b">
        <f t="shared" si="255"/>
        <v>1</v>
      </c>
      <c r="YE5" s="1309" t="b">
        <f t="shared" si="255"/>
        <v>1</v>
      </c>
      <c r="YF5" s="1309" t="b">
        <f t="shared" si="255"/>
        <v>1</v>
      </c>
      <c r="YG5" s="1309" t="b">
        <f t="shared" si="255"/>
        <v>1</v>
      </c>
      <c r="YH5" s="1309" t="b">
        <f t="shared" si="255"/>
        <v>1</v>
      </c>
      <c r="YI5" s="1309" t="b">
        <f t="shared" si="255"/>
        <v>1</v>
      </c>
      <c r="YJ5" s="1309" t="b">
        <f t="shared" si="255"/>
        <v>1</v>
      </c>
      <c r="YK5" s="1309" t="b">
        <f t="shared" si="255"/>
        <v>1</v>
      </c>
      <c r="YL5" s="1309" t="b">
        <f t="shared" si="255"/>
        <v>1</v>
      </c>
      <c r="YM5" s="1309" t="b">
        <f t="shared" si="255"/>
        <v>1</v>
      </c>
      <c r="YN5" s="1309" t="b">
        <f t="shared" si="255"/>
        <v>1</v>
      </c>
      <c r="YO5" s="1309" t="b">
        <f t="shared" si="255"/>
        <v>1</v>
      </c>
      <c r="YP5" s="1309" t="b">
        <f t="shared" si="255"/>
        <v>1</v>
      </c>
      <c r="YQ5" s="1309" t="b">
        <f t="shared" si="255"/>
        <v>1</v>
      </c>
      <c r="YR5" s="1309" t="b">
        <f t="shared" si="255"/>
        <v>1</v>
      </c>
      <c r="YS5" s="1309" t="b">
        <f t="shared" si="255"/>
        <v>1</v>
      </c>
      <c r="YT5" s="1309" t="b">
        <f t="shared" si="255"/>
        <v>1</v>
      </c>
      <c r="YU5" s="1309" t="b">
        <f t="shared" si="255"/>
        <v>1</v>
      </c>
      <c r="YV5" s="1309" t="b">
        <f t="shared" si="255"/>
        <v>1</v>
      </c>
      <c r="YW5" s="1309" t="b">
        <f t="shared" si="255"/>
        <v>1</v>
      </c>
      <c r="YX5" s="1309" t="b">
        <f t="shared" si="255"/>
        <v>1</v>
      </c>
      <c r="YY5" s="1309" t="b">
        <f t="shared" si="255"/>
        <v>1</v>
      </c>
      <c r="YZ5" s="1309" t="b">
        <f t="shared" si="255"/>
        <v>1</v>
      </c>
      <c r="ZA5" s="1309" t="b">
        <f t="shared" si="255"/>
        <v>1</v>
      </c>
      <c r="ZB5" s="1309" t="b">
        <f t="shared" si="255"/>
        <v>1</v>
      </c>
      <c r="ZC5" s="1309" t="b">
        <f t="shared" si="255"/>
        <v>1</v>
      </c>
      <c r="ZD5" s="1309" t="b">
        <f t="shared" si="255"/>
        <v>1</v>
      </c>
      <c r="ZE5" s="1309" t="b">
        <f t="shared" si="255"/>
        <v>1</v>
      </c>
      <c r="ZF5" s="1309" t="b">
        <f t="shared" ref="ZF5:ZN5" si="256">EY5=PX5</f>
        <v>1</v>
      </c>
      <c r="ZG5" s="1309" t="b">
        <f t="shared" si="256"/>
        <v>1</v>
      </c>
      <c r="ZH5" s="1309" t="b">
        <f t="shared" si="256"/>
        <v>1</v>
      </c>
      <c r="ZI5" s="1309" t="b">
        <f t="shared" si="256"/>
        <v>1</v>
      </c>
      <c r="ZJ5" s="1309" t="b">
        <f t="shared" si="256"/>
        <v>1</v>
      </c>
      <c r="ZK5" s="1309" t="b">
        <f t="shared" si="256"/>
        <v>1</v>
      </c>
      <c r="ZL5" s="1309" t="b">
        <f t="shared" si="256"/>
        <v>1</v>
      </c>
      <c r="ZM5" s="1309" t="b">
        <f t="shared" si="256"/>
        <v>1</v>
      </c>
      <c r="ZN5" s="1309" t="b">
        <f t="shared" si="256"/>
        <v>1</v>
      </c>
      <c r="ZO5" s="1309" t="b">
        <f t="shared" ref="ZO5:ZW5" si="257">FI5=QG5</f>
        <v>1</v>
      </c>
      <c r="ZP5" s="1309" t="b">
        <f t="shared" si="257"/>
        <v>1</v>
      </c>
      <c r="ZQ5" s="1309" t="b">
        <f t="shared" si="257"/>
        <v>1</v>
      </c>
      <c r="ZR5" s="1309" t="b">
        <f t="shared" si="257"/>
        <v>1</v>
      </c>
      <c r="ZS5" s="1309" t="b">
        <f t="shared" si="257"/>
        <v>1</v>
      </c>
      <c r="ZT5" s="1309" t="b">
        <f t="shared" si="257"/>
        <v>1</v>
      </c>
      <c r="ZU5" s="1309" t="b">
        <f t="shared" si="257"/>
        <v>1</v>
      </c>
      <c r="ZV5" s="1309" t="b">
        <f t="shared" si="257"/>
        <v>1</v>
      </c>
      <c r="ZW5" s="1309" t="b">
        <f t="shared" si="257"/>
        <v>1</v>
      </c>
      <c r="ZX5" s="1309" t="b">
        <f t="shared" ref="ZX5:AAN5" si="258">FS5=QP5</f>
        <v>1</v>
      </c>
      <c r="ZY5" s="1309" t="b">
        <f t="shared" si="258"/>
        <v>1</v>
      </c>
      <c r="ZZ5" s="1309" t="b">
        <f t="shared" si="258"/>
        <v>1</v>
      </c>
      <c r="AAA5" s="1309" t="b">
        <f t="shared" si="258"/>
        <v>1</v>
      </c>
      <c r="AAB5" s="1309" t="b">
        <f t="shared" si="258"/>
        <v>1</v>
      </c>
      <c r="AAC5" s="1309" t="b">
        <f t="shared" si="258"/>
        <v>1</v>
      </c>
      <c r="AAD5" s="1309" t="b">
        <f t="shared" si="258"/>
        <v>1</v>
      </c>
      <c r="AAE5" s="1309" t="b">
        <f t="shared" si="258"/>
        <v>1</v>
      </c>
      <c r="AAF5" s="1309" t="b">
        <f t="shared" si="258"/>
        <v>1</v>
      </c>
      <c r="AAG5" s="1309" t="b">
        <f t="shared" si="258"/>
        <v>1</v>
      </c>
      <c r="AAH5" s="1309" t="b">
        <f t="shared" si="258"/>
        <v>1</v>
      </c>
      <c r="AAI5" s="1309" t="b">
        <f t="shared" si="258"/>
        <v>1</v>
      </c>
      <c r="AAJ5" s="1309" t="b">
        <f t="shared" si="258"/>
        <v>1</v>
      </c>
      <c r="AAK5" s="1309" t="b">
        <f t="shared" si="258"/>
        <v>1</v>
      </c>
      <c r="AAL5" s="1309" t="b">
        <f t="shared" si="258"/>
        <v>1</v>
      </c>
      <c r="AAM5" s="1309" t="b">
        <f t="shared" si="258"/>
        <v>1</v>
      </c>
      <c r="AAN5" s="1309" t="b">
        <f t="shared" si="258"/>
        <v>1</v>
      </c>
      <c r="AAO5" s="1309" t="b">
        <f t="shared" ref="AAO5:ACZ5" si="259">GJ5=RG5</f>
        <v>1</v>
      </c>
      <c r="AAP5" s="1309" t="b">
        <f t="shared" si="259"/>
        <v>1</v>
      </c>
      <c r="AAQ5" s="1309" t="b">
        <f t="shared" si="259"/>
        <v>1</v>
      </c>
      <c r="AAR5" s="1309" t="b">
        <f t="shared" si="259"/>
        <v>1</v>
      </c>
      <c r="AAS5" s="1309" t="b">
        <f t="shared" si="259"/>
        <v>1</v>
      </c>
      <c r="AAT5" s="1309" t="b">
        <f t="shared" si="259"/>
        <v>1</v>
      </c>
      <c r="AAU5" s="1309" t="b">
        <f t="shared" si="259"/>
        <v>1</v>
      </c>
      <c r="AAV5" s="1309" t="b">
        <f t="shared" si="259"/>
        <v>1</v>
      </c>
      <c r="AAW5" s="1309" t="b">
        <f t="shared" si="259"/>
        <v>1</v>
      </c>
      <c r="AAX5" s="1309" t="b">
        <f t="shared" si="259"/>
        <v>1</v>
      </c>
      <c r="AAY5" s="1309" t="b">
        <f t="shared" si="259"/>
        <v>1</v>
      </c>
      <c r="AAZ5" s="1309" t="b">
        <f t="shared" si="259"/>
        <v>1</v>
      </c>
      <c r="ABA5" s="1309" t="b">
        <f t="shared" si="259"/>
        <v>1</v>
      </c>
      <c r="ABB5" s="1309" t="b">
        <f t="shared" si="259"/>
        <v>1</v>
      </c>
      <c r="ABC5" s="1309" t="b">
        <f t="shared" si="259"/>
        <v>1</v>
      </c>
      <c r="ABD5" s="1309" t="b">
        <f t="shared" si="259"/>
        <v>1</v>
      </c>
      <c r="ABE5" s="1309" t="b">
        <f t="shared" si="259"/>
        <v>1</v>
      </c>
      <c r="ABF5" s="1309" t="b">
        <f t="shared" si="259"/>
        <v>1</v>
      </c>
      <c r="ABG5" s="1309" t="b">
        <f t="shared" si="259"/>
        <v>1</v>
      </c>
      <c r="ABH5" s="1309" t="b">
        <f t="shared" si="259"/>
        <v>1</v>
      </c>
      <c r="ABI5" s="1309" t="b">
        <f t="shared" si="259"/>
        <v>1</v>
      </c>
      <c r="ABJ5" s="1309" t="b">
        <f t="shared" si="259"/>
        <v>1</v>
      </c>
      <c r="ABK5" s="1309" t="b">
        <f t="shared" si="259"/>
        <v>1</v>
      </c>
      <c r="ABL5" s="1309" t="b">
        <f t="shared" si="259"/>
        <v>1</v>
      </c>
      <c r="ABM5" s="1309" t="b">
        <f t="shared" si="259"/>
        <v>1</v>
      </c>
      <c r="ABN5" s="1309" t="b">
        <f t="shared" si="259"/>
        <v>1</v>
      </c>
      <c r="ABO5" s="1309" t="b">
        <f t="shared" si="259"/>
        <v>1</v>
      </c>
      <c r="ABP5" s="1309" t="b">
        <f t="shared" si="259"/>
        <v>1</v>
      </c>
      <c r="ABQ5" s="1309" t="b">
        <f t="shared" si="259"/>
        <v>1</v>
      </c>
      <c r="ABR5" s="1309" t="b">
        <f t="shared" si="259"/>
        <v>1</v>
      </c>
      <c r="ABS5" s="1309" t="b">
        <f t="shared" si="259"/>
        <v>1</v>
      </c>
      <c r="ABT5" s="1309" t="b">
        <f t="shared" si="259"/>
        <v>1</v>
      </c>
      <c r="ABU5" s="1309" t="b">
        <f t="shared" si="259"/>
        <v>1</v>
      </c>
      <c r="ABV5" s="1309" t="b">
        <f t="shared" si="259"/>
        <v>1</v>
      </c>
      <c r="ABW5" s="1309" t="b">
        <f t="shared" si="259"/>
        <v>1</v>
      </c>
      <c r="ABX5" s="1309" t="b">
        <f t="shared" si="259"/>
        <v>1</v>
      </c>
      <c r="ABY5" s="1309" t="b">
        <f t="shared" si="259"/>
        <v>1</v>
      </c>
      <c r="ABZ5" s="1309" t="b">
        <f t="shared" si="259"/>
        <v>1</v>
      </c>
      <c r="ACA5" s="1309" t="b">
        <f t="shared" si="259"/>
        <v>1</v>
      </c>
      <c r="ACB5" s="1309" t="b">
        <f t="shared" si="259"/>
        <v>1</v>
      </c>
      <c r="ACC5" s="1309" t="b">
        <f t="shared" si="259"/>
        <v>1</v>
      </c>
      <c r="ACD5" s="1309" t="b">
        <f t="shared" si="259"/>
        <v>1</v>
      </c>
      <c r="ACE5" s="1309" t="b">
        <f t="shared" si="259"/>
        <v>1</v>
      </c>
      <c r="ACF5" s="1309" t="b">
        <f t="shared" si="259"/>
        <v>1</v>
      </c>
      <c r="ACG5" s="1309" t="b">
        <f t="shared" si="259"/>
        <v>1</v>
      </c>
      <c r="ACH5" s="1309" t="b">
        <f t="shared" si="259"/>
        <v>1</v>
      </c>
      <c r="ACI5" s="1309" t="b">
        <f t="shared" si="259"/>
        <v>1</v>
      </c>
      <c r="ACJ5" s="1309" t="b">
        <f t="shared" si="259"/>
        <v>1</v>
      </c>
      <c r="ACK5" s="1309" t="b">
        <f t="shared" si="259"/>
        <v>1</v>
      </c>
      <c r="ACL5" s="1309" t="b">
        <f t="shared" si="259"/>
        <v>1</v>
      </c>
      <c r="ACM5" s="1309" t="b">
        <f t="shared" si="259"/>
        <v>1</v>
      </c>
      <c r="ACN5" s="1309" t="b">
        <f t="shared" si="259"/>
        <v>1</v>
      </c>
      <c r="ACO5" s="1309" t="b">
        <f t="shared" si="259"/>
        <v>1</v>
      </c>
      <c r="ACP5" s="1309" t="b">
        <f t="shared" si="259"/>
        <v>1</v>
      </c>
      <c r="ACQ5" s="1309" t="b">
        <f t="shared" si="259"/>
        <v>1</v>
      </c>
      <c r="ACR5" s="1309" t="b">
        <f t="shared" si="259"/>
        <v>1</v>
      </c>
      <c r="ACS5" s="1309" t="b">
        <f t="shared" si="259"/>
        <v>1</v>
      </c>
      <c r="ACT5" s="1309" t="b">
        <f t="shared" si="259"/>
        <v>1</v>
      </c>
      <c r="ACU5" s="1309" t="b">
        <f t="shared" si="259"/>
        <v>1</v>
      </c>
      <c r="ACV5" s="1309" t="b">
        <f t="shared" si="259"/>
        <v>1</v>
      </c>
      <c r="ACW5" s="1309" t="b">
        <f t="shared" si="259"/>
        <v>1</v>
      </c>
      <c r="ACX5" s="1309" t="b">
        <f t="shared" si="259"/>
        <v>1</v>
      </c>
      <c r="ACY5" s="1309" t="b">
        <f t="shared" si="259"/>
        <v>1</v>
      </c>
      <c r="ACZ5" s="1309" t="b">
        <f t="shared" si="259"/>
        <v>1</v>
      </c>
      <c r="ADA5" s="1309" t="b">
        <f t="shared" ref="ADA5:AEI5" si="260">IV5=TS5</f>
        <v>1</v>
      </c>
      <c r="ADB5" s="1309" t="b">
        <f t="shared" si="260"/>
        <v>1</v>
      </c>
      <c r="ADC5" s="1309" t="b">
        <f t="shared" si="260"/>
        <v>1</v>
      </c>
      <c r="ADD5" s="1309" t="b">
        <f t="shared" si="260"/>
        <v>1</v>
      </c>
      <c r="ADE5" s="1309" t="b">
        <f t="shared" si="260"/>
        <v>1</v>
      </c>
      <c r="ADF5" s="1309" t="b">
        <f t="shared" si="260"/>
        <v>1</v>
      </c>
      <c r="ADG5" s="1309" t="b">
        <f t="shared" si="260"/>
        <v>1</v>
      </c>
      <c r="ADH5" s="1309" t="b">
        <f t="shared" si="260"/>
        <v>1</v>
      </c>
      <c r="ADI5" s="1309" t="b">
        <f t="shared" si="260"/>
        <v>1</v>
      </c>
      <c r="ADJ5" s="1309" t="b">
        <f t="shared" si="260"/>
        <v>1</v>
      </c>
      <c r="ADK5" s="1309" t="b">
        <f t="shared" si="260"/>
        <v>1</v>
      </c>
      <c r="ADL5" s="1309" t="b">
        <f t="shared" si="260"/>
        <v>1</v>
      </c>
      <c r="ADM5" s="1309" t="b">
        <f t="shared" si="260"/>
        <v>1</v>
      </c>
      <c r="ADN5" s="1309" t="b">
        <f t="shared" si="260"/>
        <v>1</v>
      </c>
      <c r="ADO5" s="1309" t="b">
        <f t="shared" si="260"/>
        <v>1</v>
      </c>
      <c r="ADP5" s="1309" t="b">
        <f t="shared" si="260"/>
        <v>1</v>
      </c>
      <c r="ADQ5" s="1309" t="b">
        <f t="shared" si="260"/>
        <v>1</v>
      </c>
      <c r="ADR5" s="1309" t="b">
        <f t="shared" si="260"/>
        <v>1</v>
      </c>
      <c r="ADS5" s="1309" t="b">
        <f t="shared" si="260"/>
        <v>1</v>
      </c>
      <c r="ADT5" s="1309" t="b">
        <f t="shared" si="260"/>
        <v>1</v>
      </c>
      <c r="ADU5" s="1309" t="b">
        <f t="shared" si="260"/>
        <v>1</v>
      </c>
      <c r="ADV5" s="1309" t="b">
        <f t="shared" si="260"/>
        <v>1</v>
      </c>
      <c r="ADW5" s="1309" t="b">
        <f t="shared" si="260"/>
        <v>1</v>
      </c>
      <c r="ADX5" s="1309" t="b">
        <f t="shared" si="260"/>
        <v>1</v>
      </c>
      <c r="ADY5" s="1309" t="b">
        <f t="shared" si="260"/>
        <v>1</v>
      </c>
      <c r="ADZ5" s="1309" t="b">
        <f t="shared" si="260"/>
        <v>1</v>
      </c>
      <c r="AEA5" s="1309" t="b">
        <f t="shared" si="260"/>
        <v>1</v>
      </c>
      <c r="AEB5" s="1309" t="b">
        <f t="shared" si="260"/>
        <v>1</v>
      </c>
      <c r="AEC5" s="1309" t="b">
        <f t="shared" si="260"/>
        <v>1</v>
      </c>
      <c r="AED5" s="1309" t="b">
        <f t="shared" si="260"/>
        <v>1</v>
      </c>
      <c r="AEE5" s="1309" t="b">
        <f t="shared" si="260"/>
        <v>1</v>
      </c>
      <c r="AEF5" s="1309" t="b">
        <f t="shared" si="260"/>
        <v>1</v>
      </c>
      <c r="AEG5" s="1309" t="b">
        <f t="shared" si="260"/>
        <v>1</v>
      </c>
      <c r="AEH5" s="1309" t="b">
        <f t="shared" si="260"/>
        <v>1</v>
      </c>
      <c r="AEI5" s="1309" t="b">
        <f t="shared" si="260"/>
        <v>1</v>
      </c>
      <c r="AEK5" s="1309" t="b">
        <f>AEJ5=BE5</f>
        <v>1</v>
      </c>
    </row>
    <row r="6" spans="1:817">
      <c r="A6" s="1285" t="s">
        <v>7927</v>
      </c>
    </row>
    <row r="7" spans="1:817">
      <c r="A7" s="1286" t="s">
        <v>7936</v>
      </c>
    </row>
    <row r="8" spans="1:817">
      <c r="A8" s="1287" t="s">
        <v>7928</v>
      </c>
      <c r="AO8" s="3" t="s">
        <v>8036</v>
      </c>
      <c r="FB8" s="3"/>
      <c r="KV8" s="3" t="s">
        <v>8039</v>
      </c>
    </row>
    <row r="9" spans="1:817">
      <c r="A9" s="1288" t="s">
        <v>7935</v>
      </c>
      <c r="FB9" s="3"/>
      <c r="FC9" s="3"/>
      <c r="FD9" s="3"/>
    </row>
    <row r="10" spans="1:817">
      <c r="A10" s="1289" t="s">
        <v>8038</v>
      </c>
      <c r="AG10" s="1253" t="s">
        <v>7839</v>
      </c>
      <c r="AI10" s="3" t="s">
        <v>357</v>
      </c>
      <c r="AJ10" s="3" t="s">
        <v>6883</v>
      </c>
      <c r="KO10" s="1253" t="s">
        <v>7839</v>
      </c>
      <c r="KQ10" s="3" t="s">
        <v>357</v>
      </c>
      <c r="KR10" s="3" t="s">
        <v>6883</v>
      </c>
    </row>
    <row r="11" spans="1:817">
      <c r="A11" s="1290" t="s">
        <v>8037</v>
      </c>
      <c r="AG11" s="1254" t="s">
        <v>7840</v>
      </c>
      <c r="AI11" s="3" t="s">
        <v>358</v>
      </c>
      <c r="AJ11" s="3" t="s">
        <v>7173</v>
      </c>
      <c r="KO11" s="1254" t="s">
        <v>7840</v>
      </c>
      <c r="KQ11" s="3" t="s">
        <v>358</v>
      </c>
      <c r="KR11" s="3" t="s">
        <v>7173</v>
      </c>
    </row>
    <row r="12" spans="1:817">
      <c r="AG12" s="1254" t="s">
        <v>152</v>
      </c>
      <c r="AI12" s="3" t="s">
        <v>359</v>
      </c>
      <c r="AJ12" s="3" t="s">
        <v>7595</v>
      </c>
      <c r="KO12" s="1254" t="s">
        <v>152</v>
      </c>
      <c r="KQ12" s="3" t="s">
        <v>359</v>
      </c>
      <c r="KR12" s="3" t="s">
        <v>7595</v>
      </c>
    </row>
    <row r="13" spans="1:817">
      <c r="AI13" s="3" t="s">
        <v>6883</v>
      </c>
      <c r="AJ13" s="3" t="s">
        <v>7835</v>
      </c>
      <c r="KQ13" s="3" t="s">
        <v>6883</v>
      </c>
      <c r="KR13" s="3" t="s">
        <v>7835</v>
      </c>
    </row>
    <row r="14" spans="1:817">
      <c r="AI14" s="3" t="s">
        <v>7173</v>
      </c>
      <c r="AJ14" s="3" t="s">
        <v>8025</v>
      </c>
      <c r="KQ14" s="3" t="s">
        <v>7173</v>
      </c>
      <c r="KR14" s="3" t="s">
        <v>8025</v>
      </c>
    </row>
    <row r="15" spans="1:817">
      <c r="AI15" s="3" t="s">
        <v>7595</v>
      </c>
      <c r="AJ15" s="3" t="s">
        <v>8035</v>
      </c>
      <c r="KQ15" s="3" t="s">
        <v>7595</v>
      </c>
      <c r="KR15" s="3" t="s">
        <v>8035</v>
      </c>
    </row>
  </sheetData>
  <conditionalFormatting sqref="J1:K1">
    <cfRule type="expression" dxfId="5" priority="9">
      <formula>J1=0</formula>
    </cfRule>
  </conditionalFormatting>
  <conditionalFormatting sqref="M1:AE1">
    <cfRule type="expression" dxfId="4" priority="5">
      <formula>M1=0</formula>
    </cfRule>
  </conditionalFormatting>
  <conditionalFormatting sqref="VL1:AEI1">
    <cfRule type="cellIs" dxfId="3" priority="2" operator="equal">
      <formula>FALSE</formula>
    </cfRule>
  </conditionalFormatting>
  <conditionalFormatting sqref="VL5:AEI5">
    <cfRule type="cellIs" dxfId="2" priority="4" operator="equal">
      <formula>FALSE</formula>
    </cfRule>
  </conditionalFormatting>
  <conditionalFormatting sqref="AEK1">
    <cfRule type="cellIs" dxfId="1" priority="1" operator="equal">
      <formula>FALSE</formula>
    </cfRule>
  </conditionalFormatting>
  <conditionalFormatting sqref="AEK5">
    <cfRule type="cellIs" dxfId="0" priority="3" operator="equal">
      <formula>FALSE</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C3A2F-FE97-4641-B1D8-699CD5E2DAC6}">
  <sheetPr codeName="Sheet13">
    <tabColor theme="3" tint="0.59999389629810485"/>
    <pageSetUpPr fitToPage="1"/>
  </sheetPr>
  <dimension ref="A1:HM106"/>
  <sheetViews>
    <sheetView workbookViewId="0"/>
  </sheetViews>
  <sheetFormatPr defaultColWidth="11.7109375" defaultRowHeight="11.25"/>
  <cols>
    <col min="1" max="1" width="6.5703125" style="748" customWidth="1"/>
    <col min="2" max="2" width="30.5703125" style="748" customWidth="1"/>
    <col min="3" max="6" width="14" style="748" customWidth="1"/>
    <col min="7" max="7" width="12.7109375" style="748" customWidth="1"/>
    <col min="8" max="8" width="7.28515625" style="748" customWidth="1"/>
    <col min="9" max="9" width="11.140625" style="748" customWidth="1"/>
    <col min="10" max="10" width="10.28515625" style="748" customWidth="1"/>
    <col min="11" max="11" width="10.7109375" style="748" customWidth="1"/>
    <col min="12" max="12" width="10" style="748" customWidth="1"/>
    <col min="13" max="13" width="11.28515625" style="748" customWidth="1"/>
    <col min="14" max="14" width="11.7109375" style="748"/>
    <col min="15" max="15" width="10.140625" style="748" customWidth="1"/>
    <col min="16" max="16" width="10.42578125" style="748" customWidth="1"/>
    <col min="17" max="17" width="9.85546875" style="748" customWidth="1"/>
    <col min="18" max="18" width="10.28515625" style="748" customWidth="1"/>
    <col min="19" max="16384" width="11.7109375" style="748"/>
  </cols>
  <sheetData>
    <row r="1" spans="1:221" ht="12.75">
      <c r="A1" s="747"/>
      <c r="B1" s="750" t="s">
        <v>7563</v>
      </c>
      <c r="C1" s="747"/>
      <c r="D1" s="747"/>
      <c r="E1" s="747"/>
      <c r="F1" s="747"/>
      <c r="G1" s="747"/>
      <c r="H1" s="747"/>
      <c r="I1" s="747"/>
      <c r="J1" s="747"/>
      <c r="K1" s="747"/>
      <c r="L1" s="747"/>
      <c r="M1" s="747"/>
      <c r="N1" s="747"/>
      <c r="O1" s="747"/>
      <c r="P1" s="747"/>
      <c r="Q1" s="747"/>
      <c r="R1" s="747"/>
      <c r="S1" s="747"/>
      <c r="T1" s="747"/>
      <c r="U1" s="747"/>
      <c r="V1" s="747"/>
      <c r="W1" s="747"/>
      <c r="X1" s="747"/>
      <c r="Y1" s="747"/>
    </row>
    <row r="2" spans="1:221" ht="12" thickBot="1">
      <c r="A2" s="747"/>
      <c r="B2" s="747"/>
      <c r="C2" s="747"/>
      <c r="D2" s="747"/>
      <c r="E2" s="747"/>
      <c r="F2" s="747"/>
      <c r="G2" s="747"/>
      <c r="H2" s="747"/>
      <c r="I2" s="747"/>
      <c r="J2" s="747"/>
      <c r="K2" s="747"/>
      <c r="L2" s="747"/>
      <c r="M2" s="747"/>
      <c r="N2" s="747"/>
      <c r="O2" s="747"/>
      <c r="P2" s="747"/>
      <c r="Q2" s="747"/>
      <c r="R2" s="747"/>
      <c r="S2" s="747"/>
      <c r="T2" s="747"/>
      <c r="U2" s="747"/>
      <c r="V2" s="747"/>
      <c r="W2" s="747"/>
      <c r="X2" s="747"/>
      <c r="Y2" s="747"/>
    </row>
    <row r="3" spans="1:221" ht="12.75">
      <c r="A3" s="747"/>
      <c r="B3" s="981" t="s">
        <v>154</v>
      </c>
      <c r="C3" s="982">
        <f>'TAB 1 Proj. ID &amp; Prim Narrative'!D10</f>
        <v>0</v>
      </c>
      <c r="D3" s="862"/>
      <c r="E3" s="862"/>
      <c r="F3" s="863"/>
      <c r="G3" s="747"/>
      <c r="H3" s="747"/>
      <c r="I3" s="747"/>
      <c r="J3" s="747"/>
      <c r="K3" s="747"/>
      <c r="L3" s="747"/>
      <c r="M3" s="747"/>
      <c r="N3" s="747"/>
      <c r="O3" s="747"/>
      <c r="P3" s="747"/>
      <c r="Q3" s="747"/>
      <c r="R3" s="747"/>
      <c r="S3" s="747"/>
      <c r="T3" s="747"/>
      <c r="U3" s="747"/>
      <c r="V3" s="747"/>
      <c r="W3" s="747"/>
      <c r="X3" s="747"/>
      <c r="Y3" s="747"/>
    </row>
    <row r="4" spans="1:221" ht="12.75">
      <c r="A4" s="747"/>
      <c r="B4" s="983" t="s">
        <v>6701</v>
      </c>
      <c r="C4" s="984">
        <f>'TAB 1 Proj. ID &amp; Prim Narrative'!B7</f>
        <v>0</v>
      </c>
      <c r="D4" s="985"/>
      <c r="E4" s="985"/>
      <c r="F4" s="986"/>
      <c r="G4" s="747"/>
      <c r="H4" s="747"/>
      <c r="I4" s="747"/>
      <c r="J4" s="747"/>
      <c r="K4" s="747"/>
      <c r="L4" s="747"/>
      <c r="M4" s="747"/>
      <c r="N4" s="747"/>
      <c r="O4" s="747"/>
      <c r="P4" s="747"/>
      <c r="Q4" s="747"/>
      <c r="R4" s="747"/>
      <c r="S4" s="747"/>
      <c r="T4" s="747"/>
      <c r="U4" s="747"/>
      <c r="V4" s="747"/>
      <c r="W4" s="747"/>
      <c r="X4" s="747"/>
      <c r="Y4" s="747"/>
    </row>
    <row r="5" spans="1:221" ht="13.5" thickBot="1">
      <c r="A5" s="747"/>
      <c r="B5" s="987" t="s">
        <v>100</v>
      </c>
      <c r="C5" s="988">
        <f>'TAB 1 Proj. ID &amp; Prim Narrative'!F7</f>
        <v>0</v>
      </c>
      <c r="D5" s="989"/>
      <c r="E5" s="989"/>
      <c r="F5" s="990"/>
      <c r="G5" s="747"/>
      <c r="H5" s="747"/>
      <c r="I5" s="747"/>
      <c r="J5" s="747"/>
      <c r="K5" s="747"/>
      <c r="L5" s="747"/>
      <c r="M5" s="747"/>
      <c r="N5" s="747"/>
      <c r="O5" s="747"/>
      <c r="P5" s="747"/>
      <c r="Q5" s="747"/>
      <c r="R5" s="747"/>
      <c r="S5" s="747"/>
      <c r="T5" s="747"/>
      <c r="U5" s="747"/>
      <c r="V5" s="747"/>
      <c r="W5" s="747"/>
      <c r="X5" s="747"/>
      <c r="Y5" s="747"/>
    </row>
    <row r="6" spans="1:221">
      <c r="A6" s="747"/>
      <c r="B6" s="747"/>
      <c r="C6" s="747"/>
      <c r="D6" s="747"/>
      <c r="E6" s="747"/>
      <c r="F6" s="747"/>
      <c r="G6" s="747"/>
      <c r="H6" s="747"/>
      <c r="I6" s="747"/>
      <c r="J6" s="747"/>
      <c r="K6" s="747"/>
      <c r="L6" s="747"/>
      <c r="M6" s="747"/>
      <c r="N6" s="747"/>
      <c r="O6" s="747"/>
      <c r="P6" s="747"/>
      <c r="Q6" s="747"/>
      <c r="R6" s="747"/>
      <c r="S6" s="747"/>
      <c r="T6" s="747"/>
      <c r="U6" s="747"/>
      <c r="V6" s="747"/>
      <c r="W6" s="747"/>
      <c r="X6" s="747"/>
      <c r="Y6" s="747"/>
    </row>
    <row r="7" spans="1:221" ht="12" thickBot="1">
      <c r="A7" s="747"/>
      <c r="B7" s="747"/>
      <c r="C7" s="747"/>
      <c r="D7" s="747"/>
      <c r="E7" s="747"/>
      <c r="F7" s="747"/>
      <c r="G7" s="747"/>
      <c r="H7" s="747"/>
      <c r="I7" s="747"/>
      <c r="J7" s="747"/>
      <c r="K7" s="747"/>
      <c r="L7" s="747"/>
      <c r="M7" s="747"/>
      <c r="N7" s="747"/>
      <c r="O7" s="747"/>
      <c r="P7" s="747"/>
      <c r="Q7" s="747"/>
      <c r="R7" s="747"/>
      <c r="S7" s="747"/>
      <c r="T7" s="747"/>
      <c r="U7" s="747"/>
      <c r="V7" s="747"/>
      <c r="W7" s="747"/>
      <c r="X7" s="747"/>
      <c r="Y7" s="747"/>
    </row>
    <row r="8" spans="1:221" ht="12.75" thickBot="1">
      <c r="A8" s="747"/>
      <c r="B8" s="979" t="s">
        <v>408</v>
      </c>
      <c r="C8" s="980" t="str">
        <f>'TAB 3 Project Cost'!I5</f>
        <v/>
      </c>
      <c r="D8" s="747"/>
      <c r="E8" s="747"/>
      <c r="F8" s="747"/>
      <c r="G8" s="747"/>
      <c r="H8" s="747"/>
      <c r="I8" s="747"/>
      <c r="J8" s="747"/>
      <c r="K8" s="747"/>
      <c r="L8" s="747"/>
      <c r="M8" s="747"/>
      <c r="N8" s="747"/>
      <c r="O8" s="747"/>
      <c r="P8" s="747"/>
      <c r="Q8" s="747"/>
      <c r="R8" s="747"/>
      <c r="S8" s="747"/>
      <c r="T8" s="747"/>
      <c r="U8" s="747"/>
      <c r="V8" s="747"/>
      <c r="W8" s="747"/>
      <c r="X8" s="747"/>
      <c r="Y8" s="747"/>
    </row>
    <row r="9" spans="1:221" ht="12.75">
      <c r="A9"/>
      <c r="B9" s="367"/>
      <c r="C9" s="902"/>
      <c r="D9" s="898"/>
      <c r="E9" s="899"/>
      <c r="F9" s="900" t="s">
        <v>7560</v>
      </c>
      <c r="G9" s="862"/>
      <c r="H9" s="862"/>
      <c r="I9" s="862"/>
      <c r="J9" s="862"/>
      <c r="K9" s="862"/>
      <c r="L9" s="862"/>
      <c r="M9" s="862"/>
      <c r="N9" s="862"/>
      <c r="O9" s="863"/>
      <c r="P9" s="841" t="s">
        <v>7559</v>
      </c>
      <c r="Q9" s="842"/>
      <c r="R9" s="842"/>
      <c r="S9" s="842"/>
      <c r="T9" s="842"/>
      <c r="U9" s="842"/>
      <c r="V9" s="843"/>
      <c r="W9" s="747"/>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49"/>
      <c r="AY9" s="749"/>
      <c r="AZ9" s="749"/>
      <c r="BA9" s="749"/>
      <c r="BB9" s="749"/>
      <c r="BC9" s="749"/>
      <c r="BD9" s="749"/>
      <c r="BE9" s="749"/>
      <c r="BF9" s="749"/>
      <c r="BG9" s="749"/>
      <c r="BH9" s="749"/>
      <c r="BI9" s="749"/>
      <c r="BJ9" s="749"/>
      <c r="BK9" s="749"/>
      <c r="BL9" s="749"/>
      <c r="BM9" s="749"/>
      <c r="BN9" s="749"/>
      <c r="BO9" s="749"/>
      <c r="BP9" s="749"/>
      <c r="BQ9" s="749"/>
      <c r="BR9" s="749"/>
      <c r="BS9" s="749"/>
      <c r="BT9" s="749"/>
      <c r="BU9" s="749"/>
      <c r="BV9" s="749"/>
      <c r="BW9" s="749"/>
      <c r="BX9" s="749"/>
      <c r="BY9" s="749"/>
      <c r="BZ9" s="749"/>
      <c r="CA9" s="749"/>
      <c r="CB9" s="749"/>
      <c r="CC9" s="749"/>
      <c r="CD9" s="749"/>
      <c r="CE9" s="749"/>
      <c r="CF9" s="749"/>
      <c r="CG9" s="749"/>
      <c r="CH9" s="749"/>
      <c r="CI9" s="749"/>
      <c r="CJ9" s="749"/>
      <c r="CK9" s="749"/>
      <c r="CL9" s="749"/>
      <c r="CM9" s="749"/>
      <c r="CN9" s="749"/>
      <c r="CO9" s="749"/>
      <c r="CP9" s="749"/>
      <c r="CQ9" s="749"/>
      <c r="CR9" s="749"/>
      <c r="CS9" s="749"/>
      <c r="CT9" s="749"/>
      <c r="CU9" s="749"/>
      <c r="CV9" s="749"/>
      <c r="CW9" s="749"/>
      <c r="CX9" s="749"/>
      <c r="CY9" s="749"/>
      <c r="CZ9" s="749"/>
      <c r="DA9" s="749"/>
      <c r="DB9" s="749"/>
      <c r="DC9" s="749"/>
      <c r="DD9" s="749"/>
      <c r="DE9" s="749"/>
      <c r="DF9" s="749"/>
      <c r="DG9" s="749"/>
      <c r="DH9" s="749"/>
      <c r="DI9" s="749"/>
      <c r="DJ9" s="749"/>
      <c r="DK9" s="749"/>
      <c r="DL9" s="749"/>
      <c r="DM9" s="749"/>
      <c r="DN9" s="749"/>
      <c r="DO9" s="749"/>
      <c r="DP9" s="749"/>
      <c r="DQ9" s="749"/>
      <c r="DR9" s="749"/>
      <c r="DS9" s="749"/>
      <c r="DT9" s="749"/>
      <c r="DU9" s="749"/>
      <c r="DV9" s="749"/>
      <c r="DW9" s="749"/>
      <c r="DX9" s="749"/>
      <c r="DY9" s="749"/>
      <c r="DZ9" s="749"/>
      <c r="EA9" s="749"/>
      <c r="EB9" s="749"/>
      <c r="EC9" s="749"/>
      <c r="ED9" s="749"/>
      <c r="EE9" s="749"/>
      <c r="EF9" s="749"/>
      <c r="EG9" s="749"/>
      <c r="EH9" s="749"/>
      <c r="EI9" s="749"/>
      <c r="EJ9" s="749"/>
      <c r="EK9" s="749"/>
      <c r="EL9" s="749"/>
      <c r="EM9" s="749"/>
      <c r="EN9" s="749"/>
      <c r="EO9" s="749"/>
      <c r="EP9" s="749"/>
      <c r="EQ9" s="749"/>
      <c r="ER9" s="749"/>
      <c r="ES9" s="749"/>
      <c r="ET9" s="749"/>
      <c r="EU9" s="749"/>
      <c r="EV9" s="749"/>
      <c r="EW9" s="749"/>
      <c r="EX9" s="749"/>
      <c r="EY9" s="749"/>
      <c r="EZ9" s="749"/>
      <c r="FA9" s="749"/>
      <c r="FB9" s="749"/>
      <c r="FC9" s="749"/>
      <c r="FD9" s="749"/>
      <c r="FE9" s="749"/>
      <c r="FF9" s="749"/>
      <c r="FG9" s="749"/>
      <c r="FH9" s="749"/>
      <c r="FI9" s="749"/>
      <c r="FJ9" s="749"/>
      <c r="FK9" s="749"/>
      <c r="FL9" s="749"/>
      <c r="FM9" s="749"/>
      <c r="FN9" s="749"/>
      <c r="FO9" s="749"/>
      <c r="FP9" s="749"/>
      <c r="FQ9" s="749"/>
      <c r="FR9" s="749"/>
      <c r="FS9" s="749"/>
      <c r="FT9" s="749"/>
      <c r="FU9" s="749"/>
      <c r="FV9" s="749"/>
      <c r="FW9" s="749"/>
      <c r="FX9" s="749"/>
      <c r="FY9" s="749"/>
      <c r="FZ9" s="749"/>
      <c r="GA9" s="749"/>
      <c r="GB9" s="749"/>
      <c r="GC9" s="749"/>
      <c r="GD9" s="749"/>
      <c r="GE9" s="749"/>
      <c r="GF9" s="749"/>
      <c r="GG9" s="749"/>
      <c r="GH9" s="749"/>
      <c r="GI9" s="749"/>
      <c r="GJ9" s="749"/>
      <c r="GK9" s="749"/>
      <c r="GL9" s="749"/>
      <c r="GM9" s="749"/>
      <c r="GN9" s="749"/>
      <c r="GO9" s="749"/>
      <c r="GP9" s="749"/>
      <c r="GQ9" s="749"/>
      <c r="GR9" s="749"/>
      <c r="GS9" s="749"/>
      <c r="GT9" s="749"/>
      <c r="GU9" s="749"/>
      <c r="GV9" s="749"/>
      <c r="GW9" s="749"/>
      <c r="GX9" s="749"/>
      <c r="GY9" s="749"/>
      <c r="GZ9" s="749"/>
      <c r="HA9" s="749"/>
      <c r="HB9" s="749"/>
      <c r="HC9" s="749"/>
      <c r="HD9" s="749"/>
      <c r="HE9" s="749"/>
      <c r="HF9" s="749"/>
      <c r="HG9" s="749"/>
      <c r="HH9" s="749"/>
      <c r="HI9" s="749"/>
      <c r="HJ9" s="749"/>
      <c r="HK9" s="749"/>
      <c r="HL9" s="749"/>
      <c r="HM9" s="749"/>
    </row>
    <row r="10" spans="1:221" ht="12.75">
      <c r="A10"/>
      <c r="B10" s="852" t="s">
        <v>7552</v>
      </c>
      <c r="C10" s="903"/>
      <c r="D10" s="896"/>
      <c r="E10" s="897"/>
      <c r="F10" s="890"/>
      <c r="G10" s="889" t="e">
        <f>G18/G12</f>
        <v>#DIV/0!</v>
      </c>
      <c r="H10" s="868"/>
      <c r="I10" s="879">
        <f>'TAB 3 Project Cost'!H12</f>
        <v>0</v>
      </c>
      <c r="J10" s="885"/>
      <c r="K10" s="879">
        <f>'TAB 3 Project Cost'!H42</f>
        <v>0</v>
      </c>
      <c r="L10" s="840"/>
      <c r="M10" s="859"/>
      <c r="N10" s="864"/>
      <c r="O10" s="860"/>
      <c r="P10" s="914">
        <f>'TAB 3 Project Cost'!H39</f>
        <v>0</v>
      </c>
      <c r="Q10" s="915">
        <f>'TAB 3 Project Cost'!H40</f>
        <v>0</v>
      </c>
      <c r="R10" s="916">
        <f>'TAB 3 Project Cost'!H41</f>
        <v>0</v>
      </c>
      <c r="S10" s="852"/>
      <c r="T10" s="833"/>
      <c r="U10" s="833"/>
      <c r="V10" s="851"/>
      <c r="W10" s="747"/>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749"/>
      <c r="BW10" s="749"/>
      <c r="BX10" s="749"/>
      <c r="BY10" s="749"/>
      <c r="BZ10" s="749"/>
      <c r="CA10" s="749"/>
      <c r="CB10" s="749"/>
      <c r="CC10" s="749"/>
      <c r="CD10" s="749"/>
      <c r="CE10" s="749"/>
      <c r="CF10" s="749"/>
      <c r="CG10" s="749"/>
      <c r="CH10" s="749"/>
      <c r="CI10" s="749"/>
      <c r="CJ10" s="749"/>
      <c r="CK10" s="749"/>
      <c r="CL10" s="749"/>
      <c r="CM10" s="749"/>
      <c r="CN10" s="749"/>
      <c r="CO10" s="749"/>
      <c r="CP10" s="749"/>
      <c r="CQ10" s="749"/>
      <c r="CR10" s="749"/>
      <c r="CS10" s="749"/>
      <c r="CT10" s="749"/>
      <c r="CU10" s="749"/>
      <c r="CV10" s="749"/>
      <c r="CW10" s="749"/>
      <c r="CX10" s="749"/>
      <c r="CY10" s="749"/>
      <c r="CZ10" s="749"/>
      <c r="DA10" s="749"/>
      <c r="DB10" s="749"/>
      <c r="DC10" s="749"/>
      <c r="DD10" s="749"/>
      <c r="DE10" s="749"/>
      <c r="DF10" s="749"/>
      <c r="DG10" s="749"/>
      <c r="DH10" s="749"/>
      <c r="DI10" s="749"/>
      <c r="DJ10" s="749"/>
      <c r="DK10" s="749"/>
      <c r="DL10" s="749"/>
      <c r="DM10" s="749"/>
      <c r="DN10" s="749"/>
      <c r="DO10" s="749"/>
      <c r="DP10" s="749"/>
      <c r="DQ10" s="749"/>
      <c r="DR10" s="749"/>
      <c r="DS10" s="749"/>
      <c r="DT10" s="749"/>
      <c r="DU10" s="749"/>
      <c r="DV10" s="749"/>
      <c r="DW10" s="749"/>
      <c r="DX10" s="749"/>
      <c r="DY10" s="749"/>
      <c r="DZ10" s="749"/>
      <c r="EA10" s="749"/>
      <c r="EB10" s="749"/>
      <c r="EC10" s="749"/>
      <c r="ED10" s="749"/>
      <c r="EE10" s="749"/>
      <c r="EF10" s="749"/>
      <c r="EG10" s="749"/>
      <c r="EH10" s="749"/>
      <c r="EI10" s="749"/>
      <c r="EJ10" s="749"/>
      <c r="EK10" s="749"/>
      <c r="EL10" s="749"/>
      <c r="EM10" s="749"/>
      <c r="EN10" s="749"/>
      <c r="EO10" s="749"/>
      <c r="EP10" s="749"/>
      <c r="EQ10" s="749"/>
      <c r="ER10" s="749"/>
      <c r="ES10" s="749"/>
      <c r="ET10" s="749"/>
      <c r="EU10" s="749"/>
      <c r="EV10" s="749"/>
      <c r="EW10" s="749"/>
      <c r="EX10" s="749"/>
      <c r="EY10" s="749"/>
      <c r="EZ10" s="749"/>
      <c r="FA10" s="749"/>
      <c r="FB10" s="749"/>
      <c r="FC10" s="749"/>
      <c r="FD10" s="749"/>
      <c r="FE10" s="749"/>
      <c r="FF10" s="749"/>
      <c r="FG10" s="749"/>
      <c r="FH10" s="749"/>
      <c r="FI10" s="749"/>
      <c r="FJ10" s="749"/>
      <c r="FK10" s="749"/>
      <c r="FL10" s="749"/>
      <c r="FM10" s="749"/>
      <c r="FN10" s="749"/>
      <c r="FO10" s="749"/>
      <c r="FP10" s="749"/>
      <c r="FQ10" s="749"/>
      <c r="FR10" s="749"/>
      <c r="FS10" s="749"/>
      <c r="FT10" s="749"/>
      <c r="FU10" s="749"/>
      <c r="FV10" s="749"/>
      <c r="FW10" s="749"/>
      <c r="FX10" s="749"/>
      <c r="FY10" s="749"/>
      <c r="FZ10" s="749"/>
      <c r="GA10" s="749"/>
      <c r="GB10" s="749"/>
      <c r="GC10" s="749"/>
      <c r="GD10" s="749"/>
      <c r="GE10" s="749"/>
      <c r="GF10" s="749"/>
      <c r="GG10" s="749"/>
      <c r="GH10" s="749"/>
      <c r="GI10" s="749"/>
      <c r="GJ10" s="749"/>
      <c r="GK10" s="749"/>
      <c r="GL10" s="749"/>
      <c r="GM10" s="749"/>
      <c r="GN10" s="749"/>
      <c r="GO10" s="749"/>
      <c r="GP10" s="749"/>
      <c r="GQ10" s="749"/>
      <c r="GR10" s="749"/>
      <c r="GS10" s="749"/>
      <c r="GT10" s="749"/>
      <c r="GU10" s="749"/>
      <c r="GV10" s="749"/>
      <c r="GW10" s="749"/>
      <c r="GX10" s="749"/>
      <c r="GY10" s="749"/>
      <c r="GZ10" s="749"/>
      <c r="HA10" s="749"/>
      <c r="HB10" s="749"/>
      <c r="HC10" s="749"/>
      <c r="HD10" s="749"/>
      <c r="HE10" s="749"/>
      <c r="HF10" s="749"/>
      <c r="HG10" s="749"/>
      <c r="HH10" s="749"/>
      <c r="HI10" s="749"/>
      <c r="HJ10" s="749"/>
      <c r="HK10" s="749"/>
      <c r="HL10" s="749"/>
      <c r="HM10" s="749"/>
    </row>
    <row r="11" spans="1:221" ht="47.25" customHeight="1">
      <c r="A11"/>
      <c r="B11" s="664"/>
      <c r="C11" s="886"/>
      <c r="D11" s="865" t="s">
        <v>7572</v>
      </c>
      <c r="E11" s="886" t="s">
        <v>7572</v>
      </c>
      <c r="F11" s="870" t="s">
        <v>7556</v>
      </c>
      <c r="G11" s="871" t="s">
        <v>7549</v>
      </c>
      <c r="H11" s="870" t="s">
        <v>7557</v>
      </c>
      <c r="I11" s="871" t="s">
        <v>364</v>
      </c>
      <c r="J11" s="870" t="s">
        <v>7558</v>
      </c>
      <c r="K11" s="871" t="s">
        <v>7519</v>
      </c>
      <c r="L11" s="870" t="s">
        <v>7555</v>
      </c>
      <c r="M11" s="871" t="s">
        <v>7530</v>
      </c>
      <c r="N11" s="865" t="s">
        <v>2</v>
      </c>
      <c r="O11" s="848" t="s">
        <v>146</v>
      </c>
      <c r="P11" s="917" t="s">
        <v>7520</v>
      </c>
      <c r="Q11" s="918" t="s">
        <v>7521</v>
      </c>
      <c r="R11" s="919" t="s">
        <v>7522</v>
      </c>
      <c r="S11" s="935" t="s">
        <v>7532</v>
      </c>
      <c r="T11" s="936" t="s">
        <v>7533</v>
      </c>
      <c r="U11" s="936" t="s">
        <v>7534</v>
      </c>
      <c r="V11" s="937" t="s">
        <v>7461</v>
      </c>
      <c r="W11" s="747"/>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749"/>
      <c r="BW11" s="749"/>
      <c r="BX11" s="749"/>
      <c r="BY11" s="749"/>
      <c r="BZ11" s="749"/>
      <c r="CA11" s="749"/>
      <c r="CB11" s="749"/>
      <c r="CC11" s="749"/>
      <c r="CD11" s="749"/>
      <c r="CE11" s="749"/>
      <c r="CF11" s="749"/>
      <c r="CG11" s="749"/>
      <c r="CH11" s="749"/>
      <c r="CI11" s="749"/>
      <c r="CJ11" s="749"/>
      <c r="CK11" s="749"/>
      <c r="CL11" s="749"/>
      <c r="CM11" s="749"/>
      <c r="CN11" s="749"/>
      <c r="CO11" s="749"/>
      <c r="CP11" s="749"/>
      <c r="CQ11" s="749"/>
      <c r="CR11" s="749"/>
      <c r="CS11" s="749"/>
      <c r="CT11" s="749"/>
      <c r="CU11" s="749"/>
      <c r="CV11" s="749"/>
      <c r="CW11" s="749"/>
      <c r="CX11" s="749"/>
      <c r="CY11" s="749"/>
      <c r="CZ11" s="749"/>
      <c r="DA11" s="749"/>
      <c r="DB11" s="749"/>
      <c r="DC11" s="749"/>
      <c r="DD11" s="749"/>
      <c r="DE11" s="749"/>
      <c r="DF11" s="749"/>
      <c r="DG11" s="749"/>
      <c r="DH11" s="749"/>
      <c r="DI11" s="749"/>
      <c r="DJ11" s="749"/>
      <c r="DK11" s="749"/>
      <c r="DL11" s="749"/>
      <c r="DM11" s="749"/>
      <c r="DN11" s="749"/>
      <c r="DO11" s="749"/>
      <c r="DP11" s="749"/>
      <c r="DQ11" s="749"/>
      <c r="DR11" s="749"/>
      <c r="DS11" s="749"/>
      <c r="DT11" s="749"/>
      <c r="DU11" s="749"/>
      <c r="DV11" s="749"/>
      <c r="DW11" s="749"/>
      <c r="DX11" s="749"/>
      <c r="DY11" s="749"/>
      <c r="DZ11" s="749"/>
      <c r="EA11" s="749"/>
      <c r="EB11" s="749"/>
      <c r="EC11" s="749"/>
      <c r="ED11" s="749"/>
      <c r="EE11" s="749"/>
      <c r="EF11" s="749"/>
      <c r="EG11" s="749"/>
      <c r="EH11" s="749"/>
      <c r="EI11" s="749"/>
      <c r="EJ11" s="749"/>
      <c r="EK11" s="749"/>
      <c r="EL11" s="749"/>
      <c r="EM11" s="749"/>
      <c r="EN11" s="749"/>
      <c r="EO11" s="749"/>
      <c r="EP11" s="749"/>
      <c r="EQ11" s="749"/>
      <c r="ER11" s="749"/>
      <c r="ES11" s="749"/>
      <c r="ET11" s="749"/>
      <c r="EU11" s="749"/>
      <c r="EV11" s="749"/>
      <c r="EW11" s="749"/>
      <c r="EX11" s="749"/>
      <c r="EY11" s="749"/>
      <c r="EZ11" s="749"/>
      <c r="FA11" s="749"/>
      <c r="FB11" s="749"/>
      <c r="FC11" s="749"/>
      <c r="FD11" s="749"/>
      <c r="FE11" s="749"/>
      <c r="FF11" s="749"/>
      <c r="FG11" s="749"/>
      <c r="FH11" s="749"/>
      <c r="FI11" s="749"/>
      <c r="FJ11" s="749"/>
      <c r="FK11" s="749"/>
      <c r="FL11" s="749"/>
      <c r="FM11" s="749"/>
      <c r="FN11" s="749"/>
      <c r="FO11" s="749"/>
      <c r="FP11" s="749"/>
      <c r="FQ11" s="749"/>
      <c r="FR11" s="749"/>
      <c r="FS11" s="749"/>
      <c r="FT11" s="749"/>
      <c r="FU11" s="749"/>
      <c r="FV11" s="749"/>
      <c r="FW11" s="749"/>
      <c r="FX11" s="749"/>
      <c r="FY11" s="749"/>
      <c r="FZ11" s="749"/>
      <c r="GA11" s="749"/>
      <c r="GB11" s="749"/>
      <c r="GC11" s="749"/>
      <c r="GD11" s="749"/>
      <c r="GE11" s="749"/>
      <c r="GF11" s="749"/>
      <c r="GG11" s="749"/>
      <c r="GH11" s="749"/>
      <c r="GI11" s="749"/>
      <c r="GJ11" s="749"/>
      <c r="GK11" s="749"/>
      <c r="GL11" s="749"/>
      <c r="GM11" s="749"/>
      <c r="GN11" s="749"/>
      <c r="GO11" s="749"/>
      <c r="GP11" s="749"/>
      <c r="GQ11" s="749"/>
      <c r="GR11" s="749"/>
      <c r="GS11" s="749"/>
      <c r="GT11" s="749"/>
      <c r="GU11" s="749"/>
      <c r="GV11" s="749"/>
      <c r="GW11" s="749"/>
      <c r="GX11" s="749"/>
      <c r="GY11" s="749"/>
      <c r="GZ11" s="749"/>
      <c r="HA11" s="749"/>
      <c r="HB11" s="749"/>
      <c r="HC11" s="749"/>
      <c r="HD11" s="749"/>
      <c r="HE11" s="749"/>
      <c r="HF11" s="749"/>
      <c r="HG11" s="749"/>
      <c r="HH11" s="749"/>
      <c r="HI11" s="749"/>
      <c r="HJ11" s="749"/>
      <c r="HK11" s="749"/>
      <c r="HL11" s="749"/>
      <c r="HM11" s="749"/>
    </row>
    <row r="12" spans="1:221" ht="12.75">
      <c r="A12"/>
      <c r="B12" s="849" t="s">
        <v>7542</v>
      </c>
      <c r="C12" s="887"/>
      <c r="D12" s="866"/>
      <c r="E12" s="887"/>
      <c r="F12" s="872"/>
      <c r="G12" s="887">
        <f>I12+K12</f>
        <v>0</v>
      </c>
      <c r="H12" s="872"/>
      <c r="I12" s="887">
        <f>'TAB 3 Project Cost'!G10</f>
        <v>0</v>
      </c>
      <c r="J12" s="872"/>
      <c r="K12" s="887">
        <f>'TAB 3 Project Cost'!G36</f>
        <v>0</v>
      </c>
      <c r="L12" s="872"/>
      <c r="M12" s="968"/>
      <c r="N12" s="866">
        <f>'TAB 3 Project Cost'!F80</f>
        <v>0</v>
      </c>
      <c r="O12" s="844"/>
      <c r="P12" s="920">
        <f>'TAB 3 Project Cost'!F39</f>
        <v>0</v>
      </c>
      <c r="Q12" s="921">
        <f>'TAB 3 Project Cost'!F40</f>
        <v>0</v>
      </c>
      <c r="R12" s="922">
        <f>'TAB 3 Project Cost'!F41</f>
        <v>0</v>
      </c>
      <c r="S12" s="920"/>
      <c r="T12" s="921"/>
      <c r="U12" s="921"/>
      <c r="V12" s="922"/>
      <c r="W12" s="747"/>
      <c r="X12" s="749"/>
      <c r="Y12" s="749"/>
      <c r="Z12" s="749"/>
      <c r="AA12" s="749"/>
      <c r="AB12" s="749"/>
      <c r="AC12" s="749"/>
      <c r="AD12" s="749"/>
      <c r="AE12" s="749"/>
      <c r="AF12" s="749"/>
      <c r="AG12" s="749"/>
      <c r="AH12" s="749"/>
      <c r="AI12" s="749"/>
      <c r="AJ12" s="749"/>
      <c r="AK12" s="749"/>
      <c r="AL12" s="749"/>
      <c r="AM12" s="749"/>
      <c r="AN12" s="749"/>
      <c r="AO12" s="749"/>
      <c r="AP12" s="749"/>
      <c r="AQ12" s="749"/>
      <c r="AR12" s="749"/>
      <c r="AS12" s="749"/>
      <c r="AT12" s="749"/>
      <c r="AU12" s="749"/>
      <c r="AV12" s="749"/>
      <c r="AW12" s="749"/>
      <c r="AX12" s="749"/>
      <c r="AY12" s="749"/>
      <c r="AZ12" s="749"/>
      <c r="BA12" s="749"/>
      <c r="BB12" s="749"/>
      <c r="BC12" s="749"/>
      <c r="BD12" s="749"/>
      <c r="BE12" s="749"/>
      <c r="BF12" s="749"/>
      <c r="BG12" s="749"/>
      <c r="BH12" s="749"/>
      <c r="BI12" s="749"/>
      <c r="BJ12" s="749"/>
      <c r="BK12" s="749"/>
      <c r="BL12" s="749"/>
      <c r="BM12" s="749"/>
      <c r="BN12" s="749"/>
      <c r="BO12" s="749"/>
      <c r="BP12" s="749"/>
      <c r="BQ12" s="749"/>
      <c r="BR12" s="749"/>
      <c r="BS12" s="749"/>
      <c r="BT12" s="749"/>
      <c r="BU12" s="749"/>
      <c r="BV12" s="749"/>
      <c r="BW12" s="749"/>
      <c r="BX12" s="749"/>
      <c r="BY12" s="749"/>
      <c r="BZ12" s="749"/>
      <c r="CA12" s="749"/>
      <c r="CB12" s="749"/>
      <c r="CC12" s="749"/>
      <c r="CD12" s="749"/>
      <c r="CE12" s="749"/>
      <c r="CF12" s="749"/>
      <c r="CG12" s="749"/>
      <c r="CH12" s="749"/>
      <c r="CI12" s="749"/>
      <c r="CJ12" s="749"/>
      <c r="CK12" s="749"/>
      <c r="CL12" s="749"/>
      <c r="CM12" s="749"/>
      <c r="CN12" s="749"/>
      <c r="CO12" s="749"/>
      <c r="CP12" s="749"/>
      <c r="CQ12" s="749"/>
      <c r="CR12" s="749"/>
      <c r="CS12" s="749"/>
      <c r="CT12" s="749"/>
      <c r="CU12" s="749"/>
      <c r="CV12" s="749"/>
      <c r="CW12" s="749"/>
      <c r="CX12" s="749"/>
      <c r="CY12" s="749"/>
      <c r="CZ12" s="749"/>
      <c r="DA12" s="749"/>
      <c r="DB12" s="749"/>
      <c r="DC12" s="749"/>
      <c r="DD12" s="749"/>
      <c r="DE12" s="749"/>
      <c r="DF12" s="749"/>
      <c r="DG12" s="749"/>
      <c r="DH12" s="749"/>
      <c r="DI12" s="749"/>
      <c r="DJ12" s="749"/>
      <c r="DK12" s="749"/>
      <c r="DL12" s="749"/>
      <c r="DM12" s="749"/>
      <c r="DN12" s="749"/>
      <c r="DO12" s="749"/>
      <c r="DP12" s="749"/>
      <c r="DQ12" s="749"/>
      <c r="DR12" s="749"/>
      <c r="DS12" s="749"/>
      <c r="DT12" s="749"/>
      <c r="DU12" s="749"/>
      <c r="DV12" s="749"/>
      <c r="DW12" s="749"/>
      <c r="DX12" s="749"/>
      <c r="DY12" s="749"/>
      <c r="DZ12" s="749"/>
      <c r="EA12" s="749"/>
      <c r="EB12" s="749"/>
      <c r="EC12" s="749"/>
      <c r="ED12" s="749"/>
      <c r="EE12" s="749"/>
      <c r="EF12" s="749"/>
      <c r="EG12" s="749"/>
      <c r="EH12" s="749"/>
      <c r="EI12" s="749"/>
      <c r="EJ12" s="749"/>
      <c r="EK12" s="749"/>
      <c r="EL12" s="749"/>
      <c r="EM12" s="749"/>
      <c r="EN12" s="749"/>
      <c r="EO12" s="749"/>
      <c r="EP12" s="749"/>
      <c r="EQ12" s="749"/>
      <c r="ER12" s="749"/>
      <c r="ES12" s="749"/>
      <c r="ET12" s="749"/>
      <c r="EU12" s="749"/>
      <c r="EV12" s="749"/>
      <c r="EW12" s="749"/>
      <c r="EX12" s="749"/>
      <c r="EY12" s="749"/>
      <c r="EZ12" s="749"/>
      <c r="FA12" s="749"/>
      <c r="FB12" s="749"/>
      <c r="FC12" s="749"/>
      <c r="FD12" s="749"/>
      <c r="FE12" s="749"/>
      <c r="FF12" s="749"/>
      <c r="FG12" s="749"/>
      <c r="FH12" s="749"/>
      <c r="FI12" s="749"/>
      <c r="FJ12" s="749"/>
      <c r="FK12" s="749"/>
      <c r="FL12" s="749"/>
      <c r="FM12" s="749"/>
      <c r="FN12" s="749"/>
      <c r="FO12" s="749"/>
      <c r="FP12" s="749"/>
      <c r="FQ12" s="749"/>
      <c r="FR12" s="749"/>
      <c r="FS12" s="749"/>
      <c r="FT12" s="749"/>
      <c r="FU12" s="749"/>
      <c r="FV12" s="749"/>
      <c r="FW12" s="749"/>
      <c r="FX12" s="749"/>
      <c r="FY12" s="749"/>
      <c r="FZ12" s="749"/>
      <c r="GA12" s="749"/>
      <c r="GB12" s="749"/>
      <c r="GC12" s="749"/>
      <c r="GD12" s="749"/>
      <c r="GE12" s="749"/>
      <c r="GF12" s="749"/>
      <c r="GG12" s="749"/>
      <c r="GH12" s="749"/>
      <c r="GI12" s="749"/>
      <c r="GJ12" s="749"/>
      <c r="GK12" s="749"/>
      <c r="GL12" s="749"/>
      <c r="GM12" s="749"/>
      <c r="GN12" s="749"/>
      <c r="GO12" s="749"/>
      <c r="GP12" s="749"/>
      <c r="GQ12" s="749"/>
      <c r="GR12" s="749"/>
      <c r="GS12" s="749"/>
      <c r="GT12" s="749"/>
      <c r="GU12" s="749"/>
      <c r="GV12" s="749"/>
      <c r="GW12" s="749"/>
      <c r="GX12" s="749"/>
      <c r="GY12" s="749"/>
      <c r="GZ12" s="749"/>
      <c r="HA12" s="749"/>
      <c r="HB12" s="749"/>
      <c r="HC12" s="749"/>
      <c r="HD12" s="749"/>
      <c r="HE12" s="749"/>
      <c r="HF12" s="749"/>
      <c r="HG12" s="749"/>
      <c r="HH12" s="749"/>
      <c r="HI12" s="749"/>
      <c r="HJ12" s="749"/>
      <c r="HK12" s="749"/>
      <c r="HL12" s="749"/>
      <c r="HM12" s="749"/>
    </row>
    <row r="13" spans="1:221" ht="12.75">
      <c r="A13"/>
      <c r="B13" s="849" t="s">
        <v>7548</v>
      </c>
      <c r="C13" s="888"/>
      <c r="D13" s="893"/>
      <c r="E13" s="888"/>
      <c r="F13" s="873"/>
      <c r="G13" s="891" t="e">
        <f>G27/G12</f>
        <v>#DIV/0!</v>
      </c>
      <c r="H13" s="873"/>
      <c r="I13" s="888">
        <f>'TAB 3 Project Cost'!H20</f>
        <v>0</v>
      </c>
      <c r="J13" s="873"/>
      <c r="K13" s="888">
        <f>'TAB 3 Project Cost'!H51</f>
        <v>0</v>
      </c>
      <c r="L13" s="873"/>
      <c r="M13" s="838"/>
      <c r="N13" s="836"/>
      <c r="O13" s="844"/>
      <c r="P13" s="969"/>
      <c r="Q13" s="970"/>
      <c r="R13" s="971"/>
      <c r="S13" s="969"/>
      <c r="T13" s="970"/>
      <c r="U13" s="970"/>
      <c r="V13" s="971"/>
      <c r="W13" s="747"/>
      <c r="X13" s="749"/>
      <c r="Y13" s="749"/>
      <c r="Z13" s="749"/>
      <c r="AA13" s="749"/>
      <c r="AB13" s="749"/>
      <c r="AC13" s="749"/>
      <c r="AD13" s="749"/>
      <c r="AE13" s="749"/>
      <c r="AF13" s="749"/>
      <c r="AG13" s="749"/>
      <c r="AH13" s="749"/>
      <c r="AI13" s="749"/>
      <c r="AJ13" s="749"/>
      <c r="AK13" s="749"/>
      <c r="AL13" s="749"/>
      <c r="AM13" s="749"/>
      <c r="AN13" s="749"/>
      <c r="AO13" s="749"/>
      <c r="AP13" s="749"/>
      <c r="AQ13" s="749"/>
      <c r="AR13" s="749"/>
      <c r="AS13" s="749"/>
      <c r="AT13" s="749"/>
      <c r="AU13" s="749"/>
      <c r="AV13" s="749"/>
      <c r="AW13" s="749"/>
      <c r="AX13" s="749"/>
      <c r="AY13" s="749"/>
      <c r="AZ13" s="749"/>
      <c r="BA13" s="749"/>
      <c r="BB13" s="749"/>
      <c r="BC13" s="749"/>
      <c r="BD13" s="749"/>
      <c r="BE13" s="749"/>
      <c r="BF13" s="749"/>
      <c r="BG13" s="749"/>
      <c r="BH13" s="749"/>
      <c r="BI13" s="749"/>
      <c r="BJ13" s="749"/>
      <c r="BK13" s="749"/>
      <c r="BL13" s="749"/>
      <c r="BM13" s="749"/>
      <c r="BN13" s="749"/>
      <c r="BO13" s="749"/>
      <c r="BP13" s="749"/>
      <c r="BQ13" s="749"/>
      <c r="BR13" s="749"/>
      <c r="BS13" s="749"/>
      <c r="BT13" s="749"/>
      <c r="BU13" s="749"/>
      <c r="BV13" s="749"/>
      <c r="BW13" s="749"/>
      <c r="BX13" s="749"/>
      <c r="BY13" s="749"/>
      <c r="BZ13" s="749"/>
      <c r="CA13" s="749"/>
      <c r="CB13" s="749"/>
      <c r="CC13" s="749"/>
      <c r="CD13" s="749"/>
      <c r="CE13" s="749"/>
      <c r="CF13" s="749"/>
      <c r="CG13" s="749"/>
      <c r="CH13" s="749"/>
      <c r="CI13" s="749"/>
      <c r="CJ13" s="749"/>
      <c r="CK13" s="749"/>
      <c r="CL13" s="749"/>
      <c r="CM13" s="749"/>
      <c r="CN13" s="749"/>
      <c r="CO13" s="749"/>
      <c r="CP13" s="749"/>
      <c r="CQ13" s="749"/>
      <c r="CR13" s="749"/>
      <c r="CS13" s="749"/>
      <c r="CT13" s="749"/>
      <c r="CU13" s="749"/>
      <c r="CV13" s="749"/>
      <c r="CW13" s="749"/>
      <c r="CX13" s="749"/>
      <c r="CY13" s="749"/>
      <c r="CZ13" s="749"/>
      <c r="DA13" s="749"/>
      <c r="DB13" s="749"/>
      <c r="DC13" s="749"/>
      <c r="DD13" s="749"/>
      <c r="DE13" s="749"/>
      <c r="DF13" s="749"/>
      <c r="DG13" s="749"/>
      <c r="DH13" s="749"/>
      <c r="DI13" s="749"/>
      <c r="DJ13" s="749"/>
      <c r="DK13" s="749"/>
      <c r="DL13" s="749"/>
      <c r="DM13" s="749"/>
      <c r="DN13" s="749"/>
      <c r="DO13" s="749"/>
      <c r="DP13" s="749"/>
      <c r="DQ13" s="749"/>
      <c r="DR13" s="749"/>
      <c r="DS13" s="749"/>
      <c r="DT13" s="749"/>
      <c r="DU13" s="749"/>
      <c r="DV13" s="749"/>
      <c r="DW13" s="749"/>
      <c r="DX13" s="749"/>
      <c r="DY13" s="749"/>
      <c r="DZ13" s="749"/>
      <c r="EA13" s="749"/>
      <c r="EB13" s="749"/>
      <c r="EC13" s="749"/>
      <c r="ED13" s="749"/>
      <c r="EE13" s="749"/>
      <c r="EF13" s="749"/>
      <c r="EG13" s="749"/>
      <c r="EH13" s="749"/>
      <c r="EI13" s="749"/>
      <c r="EJ13" s="749"/>
      <c r="EK13" s="749"/>
      <c r="EL13" s="749"/>
      <c r="EM13" s="749"/>
      <c r="EN13" s="749"/>
      <c r="EO13" s="749"/>
      <c r="EP13" s="749"/>
      <c r="EQ13" s="749"/>
      <c r="ER13" s="749"/>
      <c r="ES13" s="749"/>
      <c r="ET13" s="749"/>
      <c r="EU13" s="749"/>
      <c r="EV13" s="749"/>
      <c r="EW13" s="749"/>
      <c r="EX13" s="749"/>
      <c r="EY13" s="749"/>
      <c r="EZ13" s="749"/>
      <c r="FA13" s="749"/>
      <c r="FB13" s="749"/>
      <c r="FC13" s="749"/>
      <c r="FD13" s="749"/>
      <c r="FE13" s="749"/>
      <c r="FF13" s="749"/>
      <c r="FG13" s="749"/>
      <c r="FH13" s="749"/>
      <c r="FI13" s="749"/>
      <c r="FJ13" s="749"/>
      <c r="FK13" s="749"/>
      <c r="FL13" s="749"/>
      <c r="FM13" s="749"/>
      <c r="FN13" s="749"/>
      <c r="FO13" s="749"/>
      <c r="FP13" s="749"/>
      <c r="FQ13" s="749"/>
      <c r="FR13" s="749"/>
      <c r="FS13" s="749"/>
      <c r="FT13" s="749"/>
      <c r="FU13" s="749"/>
      <c r="FV13" s="749"/>
      <c r="FW13" s="749"/>
      <c r="FX13" s="749"/>
      <c r="FY13" s="749"/>
      <c r="FZ13" s="749"/>
      <c r="GA13" s="749"/>
      <c r="GB13" s="749"/>
      <c r="GC13" s="749"/>
      <c r="GD13" s="749"/>
      <c r="GE13" s="749"/>
      <c r="GF13" s="749"/>
      <c r="GG13" s="749"/>
      <c r="GH13" s="749"/>
      <c r="GI13" s="749"/>
      <c r="GJ13" s="749"/>
      <c r="GK13" s="749"/>
      <c r="GL13" s="749"/>
      <c r="GM13" s="749"/>
      <c r="GN13" s="749"/>
      <c r="GO13" s="749"/>
      <c r="GP13" s="749"/>
      <c r="GQ13" s="749"/>
      <c r="GR13" s="749"/>
      <c r="GS13" s="749"/>
      <c r="GT13" s="749"/>
      <c r="GU13" s="749"/>
      <c r="GV13" s="749"/>
      <c r="GW13" s="749"/>
      <c r="GX13" s="749"/>
      <c r="GY13" s="749"/>
      <c r="GZ13" s="749"/>
      <c r="HA13" s="749"/>
      <c r="HB13" s="749"/>
      <c r="HC13" s="749"/>
      <c r="HD13" s="749"/>
      <c r="HE13" s="749"/>
      <c r="HF13" s="749"/>
      <c r="HG13" s="749"/>
      <c r="HH13" s="749"/>
      <c r="HI13" s="749"/>
      <c r="HJ13" s="749"/>
      <c r="HK13" s="749"/>
      <c r="HL13" s="749"/>
      <c r="HM13" s="749"/>
    </row>
    <row r="14" spans="1:221" ht="12.75">
      <c r="A14"/>
      <c r="B14" s="845"/>
      <c r="C14" s="875"/>
      <c r="D14" s="867"/>
      <c r="E14" s="875"/>
      <c r="F14" s="874"/>
      <c r="G14" s="875"/>
      <c r="H14" s="874"/>
      <c r="I14" s="875"/>
      <c r="J14" s="874"/>
      <c r="K14" s="875"/>
      <c r="L14" s="874"/>
      <c r="M14" s="875"/>
      <c r="N14" s="867"/>
      <c r="O14" s="972"/>
      <c r="P14" s="973"/>
      <c r="Q14" s="974"/>
      <c r="R14" s="975"/>
      <c r="S14" s="973"/>
      <c r="T14" s="974"/>
      <c r="U14" s="974"/>
      <c r="V14" s="975"/>
      <c r="W14" s="747"/>
      <c r="X14" s="749"/>
      <c r="Y14" s="749"/>
      <c r="Z14" s="749"/>
      <c r="AA14" s="749"/>
      <c r="AB14" s="749"/>
      <c r="AC14" s="749"/>
      <c r="AD14" s="749"/>
      <c r="AE14" s="749"/>
      <c r="AF14" s="749"/>
      <c r="AG14" s="749"/>
      <c r="AH14" s="749"/>
      <c r="AI14" s="749"/>
      <c r="AJ14" s="749"/>
      <c r="AK14" s="749"/>
      <c r="AL14" s="749"/>
      <c r="AM14" s="749"/>
      <c r="AN14" s="749"/>
      <c r="AO14" s="749"/>
      <c r="AP14" s="749"/>
      <c r="AQ14" s="749"/>
      <c r="AR14" s="749"/>
      <c r="AS14" s="749"/>
      <c r="AT14" s="749"/>
      <c r="AU14" s="749"/>
      <c r="AV14" s="749"/>
      <c r="AW14" s="749"/>
      <c r="AX14" s="749"/>
      <c r="AY14" s="749"/>
      <c r="AZ14" s="749"/>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49"/>
      <c r="BW14" s="749"/>
      <c r="BX14" s="749"/>
      <c r="BY14" s="749"/>
      <c r="BZ14" s="749"/>
      <c r="CA14" s="749"/>
      <c r="CB14" s="749"/>
      <c r="CC14" s="749"/>
      <c r="CD14" s="749"/>
      <c r="CE14" s="749"/>
      <c r="CF14" s="749"/>
      <c r="CG14" s="749"/>
      <c r="CH14" s="749"/>
      <c r="CI14" s="749"/>
      <c r="CJ14" s="749"/>
      <c r="CK14" s="749"/>
      <c r="CL14" s="749"/>
      <c r="CM14" s="749"/>
      <c r="CN14" s="749"/>
      <c r="CO14" s="749"/>
      <c r="CP14" s="749"/>
      <c r="CQ14" s="749"/>
      <c r="CR14" s="749"/>
      <c r="CS14" s="749"/>
      <c r="CT14" s="749"/>
      <c r="CU14" s="749"/>
      <c r="CV14" s="749"/>
      <c r="CW14" s="749"/>
      <c r="CX14" s="749"/>
      <c r="CY14" s="749"/>
      <c r="CZ14" s="749"/>
      <c r="DA14" s="749"/>
      <c r="DB14" s="749"/>
      <c r="DC14" s="749"/>
      <c r="DD14" s="749"/>
      <c r="DE14" s="749"/>
      <c r="DF14" s="749"/>
      <c r="DG14" s="749"/>
      <c r="DH14" s="749"/>
      <c r="DI14" s="749"/>
      <c r="DJ14" s="749"/>
      <c r="DK14" s="749"/>
      <c r="DL14" s="749"/>
      <c r="DM14" s="749"/>
      <c r="DN14" s="749"/>
      <c r="DO14" s="749"/>
      <c r="DP14" s="749"/>
      <c r="DQ14" s="749"/>
      <c r="DR14" s="749"/>
      <c r="DS14" s="749"/>
      <c r="DT14" s="749"/>
      <c r="DU14" s="749"/>
      <c r="DV14" s="749"/>
      <c r="DW14" s="749"/>
      <c r="DX14" s="749"/>
      <c r="DY14" s="749"/>
      <c r="DZ14" s="749"/>
      <c r="EA14" s="749"/>
      <c r="EB14" s="749"/>
      <c r="EC14" s="749"/>
      <c r="ED14" s="749"/>
      <c r="EE14" s="749"/>
      <c r="EF14" s="749"/>
      <c r="EG14" s="749"/>
      <c r="EH14" s="749"/>
      <c r="EI14" s="749"/>
      <c r="EJ14" s="749"/>
      <c r="EK14" s="749"/>
      <c r="EL14" s="749"/>
      <c r="EM14" s="749"/>
      <c r="EN14" s="749"/>
      <c r="EO14" s="749"/>
      <c r="EP14" s="749"/>
      <c r="EQ14" s="749"/>
      <c r="ER14" s="749"/>
      <c r="ES14" s="749"/>
      <c r="ET14" s="749"/>
      <c r="EU14" s="749"/>
      <c r="EV14" s="749"/>
      <c r="EW14" s="749"/>
      <c r="EX14" s="749"/>
      <c r="EY14" s="749"/>
      <c r="EZ14" s="749"/>
      <c r="FA14" s="749"/>
      <c r="FB14" s="749"/>
      <c r="FC14" s="749"/>
      <c r="FD14" s="749"/>
      <c r="FE14" s="749"/>
      <c r="FF14" s="749"/>
      <c r="FG14" s="749"/>
      <c r="FH14" s="749"/>
      <c r="FI14" s="749"/>
      <c r="FJ14" s="749"/>
      <c r="FK14" s="749"/>
      <c r="FL14" s="749"/>
      <c r="FM14" s="749"/>
      <c r="FN14" s="749"/>
      <c r="FO14" s="749"/>
      <c r="FP14" s="749"/>
      <c r="FQ14" s="749"/>
      <c r="FR14" s="749"/>
      <c r="FS14" s="749"/>
      <c r="FT14" s="749"/>
      <c r="FU14" s="749"/>
      <c r="FV14" s="749"/>
      <c r="FW14" s="749"/>
      <c r="FX14" s="749"/>
      <c r="FY14" s="749"/>
      <c r="FZ14" s="749"/>
      <c r="GA14" s="749"/>
      <c r="GB14" s="749"/>
      <c r="GC14" s="749"/>
      <c r="GD14" s="749"/>
      <c r="GE14" s="749"/>
      <c r="GF14" s="749"/>
      <c r="GG14" s="749"/>
      <c r="GH14" s="749"/>
      <c r="GI14" s="749"/>
      <c r="GJ14" s="749"/>
      <c r="GK14" s="749"/>
      <c r="GL14" s="749"/>
      <c r="GM14" s="749"/>
      <c r="GN14" s="749"/>
      <c r="GO14" s="749"/>
      <c r="GP14" s="749"/>
      <c r="GQ14" s="749"/>
      <c r="GR14" s="749"/>
      <c r="GS14" s="749"/>
      <c r="GT14" s="749"/>
      <c r="GU14" s="749"/>
      <c r="GV14" s="749"/>
      <c r="GW14" s="749"/>
      <c r="GX14" s="749"/>
      <c r="GY14" s="749"/>
      <c r="GZ14" s="749"/>
      <c r="HA14" s="749"/>
      <c r="HB14" s="749"/>
      <c r="HC14" s="749"/>
      <c r="HD14" s="749"/>
      <c r="HE14" s="749"/>
      <c r="HF14" s="749"/>
      <c r="HG14" s="749"/>
      <c r="HH14" s="749"/>
      <c r="HI14" s="749"/>
      <c r="HJ14" s="749"/>
      <c r="HK14" s="749"/>
      <c r="HL14" s="749"/>
      <c r="HM14" s="749"/>
    </row>
    <row r="15" spans="1:221" ht="12.75">
      <c r="A15"/>
      <c r="B15" s="845"/>
      <c r="C15" s="875"/>
      <c r="D15" s="867"/>
      <c r="E15" s="875"/>
      <c r="F15" s="874"/>
      <c r="G15" s="875"/>
      <c r="H15" s="874"/>
      <c r="I15" s="875"/>
      <c r="J15" s="874"/>
      <c r="K15" s="875"/>
      <c r="L15" s="874"/>
      <c r="M15" s="875"/>
      <c r="N15" s="867"/>
      <c r="O15" s="972"/>
      <c r="P15" s="973"/>
      <c r="Q15" s="974"/>
      <c r="R15" s="975"/>
      <c r="S15" s="973"/>
      <c r="T15" s="974"/>
      <c r="U15" s="974"/>
      <c r="V15" s="975"/>
      <c r="W15" s="747"/>
      <c r="X15" s="749"/>
      <c r="Y15" s="749"/>
      <c r="Z15" s="749"/>
      <c r="AA15" s="749"/>
      <c r="AB15" s="749"/>
      <c r="AC15" s="749"/>
      <c r="AD15" s="749"/>
      <c r="AE15" s="749"/>
      <c r="AF15" s="749"/>
      <c r="AG15" s="749"/>
      <c r="AH15" s="749"/>
      <c r="AI15" s="749"/>
      <c r="AJ15" s="749"/>
      <c r="AK15" s="749"/>
      <c r="AL15" s="749"/>
      <c r="AM15" s="749"/>
      <c r="AN15" s="749"/>
      <c r="AO15" s="749"/>
      <c r="AP15" s="749"/>
      <c r="AQ15" s="749"/>
      <c r="AR15" s="749"/>
      <c r="AS15" s="749"/>
      <c r="AT15" s="749"/>
      <c r="AU15" s="749"/>
      <c r="AV15" s="749"/>
      <c r="AW15" s="749"/>
      <c r="AX15" s="749"/>
      <c r="AY15" s="749"/>
      <c r="AZ15" s="749"/>
      <c r="BA15" s="749"/>
      <c r="BB15" s="749"/>
      <c r="BC15" s="749"/>
      <c r="BD15" s="749"/>
      <c r="BE15" s="749"/>
      <c r="BF15" s="749"/>
      <c r="BG15" s="749"/>
      <c r="BH15" s="749"/>
      <c r="BI15" s="749"/>
      <c r="BJ15" s="749"/>
      <c r="BK15" s="749"/>
      <c r="BL15" s="749"/>
      <c r="BM15" s="749"/>
      <c r="BN15" s="749"/>
      <c r="BO15" s="749"/>
      <c r="BP15" s="749"/>
      <c r="BQ15" s="749"/>
      <c r="BR15" s="749"/>
      <c r="BS15" s="749"/>
      <c r="BT15" s="749"/>
      <c r="BU15" s="749"/>
      <c r="BV15" s="749"/>
      <c r="BW15" s="749"/>
      <c r="BX15" s="749"/>
      <c r="BY15" s="749"/>
      <c r="BZ15" s="749"/>
      <c r="CA15" s="749"/>
      <c r="CB15" s="749"/>
      <c r="CC15" s="749"/>
      <c r="CD15" s="749"/>
      <c r="CE15" s="749"/>
      <c r="CF15" s="749"/>
      <c r="CG15" s="749"/>
      <c r="CH15" s="749"/>
      <c r="CI15" s="749"/>
      <c r="CJ15" s="749"/>
      <c r="CK15" s="749"/>
      <c r="CL15" s="749"/>
      <c r="CM15" s="749"/>
      <c r="CN15" s="749"/>
      <c r="CO15" s="749"/>
      <c r="CP15" s="749"/>
      <c r="CQ15" s="749"/>
      <c r="CR15" s="749"/>
      <c r="CS15" s="749"/>
      <c r="CT15" s="749"/>
      <c r="CU15" s="749"/>
      <c r="CV15" s="749"/>
      <c r="CW15" s="749"/>
      <c r="CX15" s="749"/>
      <c r="CY15" s="749"/>
      <c r="CZ15" s="749"/>
      <c r="DA15" s="749"/>
      <c r="DB15" s="749"/>
      <c r="DC15" s="749"/>
      <c r="DD15" s="749"/>
      <c r="DE15" s="749"/>
      <c r="DF15" s="749"/>
      <c r="DG15" s="749"/>
      <c r="DH15" s="749"/>
      <c r="DI15" s="749"/>
      <c r="DJ15" s="749"/>
      <c r="DK15" s="749"/>
      <c r="DL15" s="749"/>
      <c r="DM15" s="749"/>
      <c r="DN15" s="749"/>
      <c r="DO15" s="749"/>
      <c r="DP15" s="749"/>
      <c r="DQ15" s="749"/>
      <c r="DR15" s="749"/>
      <c r="DS15" s="749"/>
      <c r="DT15" s="749"/>
      <c r="DU15" s="749"/>
      <c r="DV15" s="749"/>
      <c r="DW15" s="749"/>
      <c r="DX15" s="749"/>
      <c r="DY15" s="749"/>
      <c r="DZ15" s="749"/>
      <c r="EA15" s="749"/>
      <c r="EB15" s="749"/>
      <c r="EC15" s="749"/>
      <c r="ED15" s="749"/>
      <c r="EE15" s="749"/>
      <c r="EF15" s="749"/>
      <c r="EG15" s="749"/>
      <c r="EH15" s="749"/>
      <c r="EI15" s="749"/>
      <c r="EJ15" s="749"/>
      <c r="EK15" s="749"/>
      <c r="EL15" s="749"/>
      <c r="EM15" s="749"/>
      <c r="EN15" s="749"/>
      <c r="EO15" s="749"/>
      <c r="EP15" s="749"/>
      <c r="EQ15" s="749"/>
      <c r="ER15" s="749"/>
      <c r="ES15" s="749"/>
      <c r="ET15" s="749"/>
      <c r="EU15" s="749"/>
      <c r="EV15" s="749"/>
      <c r="EW15" s="749"/>
      <c r="EX15" s="749"/>
      <c r="EY15" s="749"/>
      <c r="EZ15" s="749"/>
      <c r="FA15" s="749"/>
      <c r="FB15" s="749"/>
      <c r="FC15" s="749"/>
      <c r="FD15" s="749"/>
      <c r="FE15" s="749"/>
      <c r="FF15" s="749"/>
      <c r="FG15" s="749"/>
      <c r="FH15" s="749"/>
      <c r="FI15" s="749"/>
      <c r="FJ15" s="749"/>
      <c r="FK15" s="749"/>
      <c r="FL15" s="749"/>
      <c r="FM15" s="749"/>
      <c r="FN15" s="749"/>
      <c r="FO15" s="749"/>
      <c r="FP15" s="749"/>
      <c r="FQ15" s="749"/>
      <c r="FR15" s="749"/>
      <c r="FS15" s="749"/>
      <c r="FT15" s="749"/>
      <c r="FU15" s="749"/>
      <c r="FV15" s="749"/>
      <c r="FW15" s="749"/>
      <c r="FX15" s="749"/>
      <c r="FY15" s="749"/>
      <c r="FZ15" s="749"/>
      <c r="GA15" s="749"/>
      <c r="GB15" s="749"/>
      <c r="GC15" s="749"/>
      <c r="GD15" s="749"/>
      <c r="GE15" s="749"/>
      <c r="GF15" s="749"/>
      <c r="GG15" s="749"/>
      <c r="GH15" s="749"/>
      <c r="GI15" s="749"/>
      <c r="GJ15" s="749"/>
      <c r="GK15" s="749"/>
      <c r="GL15" s="749"/>
      <c r="GM15" s="749"/>
      <c r="GN15" s="749"/>
      <c r="GO15" s="749"/>
      <c r="GP15" s="749"/>
      <c r="GQ15" s="749"/>
      <c r="GR15" s="749"/>
      <c r="GS15" s="749"/>
      <c r="GT15" s="749"/>
      <c r="GU15" s="749"/>
      <c r="GV15" s="749"/>
      <c r="GW15" s="749"/>
      <c r="GX15" s="749"/>
      <c r="GY15" s="749"/>
      <c r="GZ15" s="749"/>
      <c r="HA15" s="749"/>
      <c r="HB15" s="749"/>
      <c r="HC15" s="749"/>
      <c r="HD15" s="749"/>
      <c r="HE15" s="749"/>
      <c r="HF15" s="749"/>
      <c r="HG15" s="749"/>
      <c r="HH15" s="749"/>
      <c r="HI15" s="749"/>
      <c r="HJ15" s="749"/>
      <c r="HK15" s="749"/>
      <c r="HL15" s="749"/>
      <c r="HM15" s="749"/>
    </row>
    <row r="16" spans="1:221" ht="12.75">
      <c r="A16"/>
      <c r="B16" s="850" t="s">
        <v>7525</v>
      </c>
      <c r="C16" s="879"/>
      <c r="D16" s="885"/>
      <c r="E16" s="879">
        <f>G16+M16+N16+O16</f>
        <v>0</v>
      </c>
      <c r="F16" s="876"/>
      <c r="G16" s="879">
        <f t="shared" ref="G16" si="0">I16+K16</f>
        <v>0</v>
      </c>
      <c r="H16" s="876"/>
      <c r="I16" s="879">
        <f>'TAB 3 Project Cost'!G13</f>
        <v>0</v>
      </c>
      <c r="J16" s="876"/>
      <c r="K16" s="879">
        <f>'TAB 3 Project Cost'!G44</f>
        <v>0</v>
      </c>
      <c r="L16" s="876"/>
      <c r="M16" s="877"/>
      <c r="N16" s="868"/>
      <c r="O16" s="851"/>
      <c r="P16" s="923">
        <f>'TAB 3 Project Cost'!AC44</f>
        <v>0</v>
      </c>
      <c r="Q16" s="924">
        <f>'TAB 3 Project Cost'!AD44</f>
        <v>0</v>
      </c>
      <c r="R16" s="925">
        <f>'TAB 3 Project Cost'!AE44</f>
        <v>0</v>
      </c>
      <c r="S16" s="995"/>
      <c r="T16" s="996"/>
      <c r="U16" s="996"/>
      <c r="V16" s="997"/>
      <c r="W16" s="747"/>
      <c r="X16" s="749"/>
      <c r="Y16" s="749"/>
      <c r="Z16" s="749"/>
      <c r="AA16" s="749"/>
      <c r="AB16" s="749"/>
      <c r="AC16" s="749"/>
      <c r="AD16" s="749"/>
      <c r="AE16" s="749"/>
      <c r="AF16" s="749"/>
      <c r="AG16" s="749"/>
      <c r="AH16" s="749"/>
      <c r="AI16" s="749"/>
      <c r="AJ16" s="749"/>
      <c r="AK16" s="749"/>
      <c r="AL16" s="749"/>
      <c r="AM16" s="749"/>
      <c r="AN16" s="749"/>
      <c r="AO16" s="749"/>
      <c r="AP16" s="749"/>
      <c r="AQ16" s="749"/>
      <c r="AR16" s="749"/>
      <c r="AS16" s="749"/>
      <c r="AT16" s="749"/>
      <c r="AU16" s="749"/>
      <c r="AV16" s="749"/>
      <c r="AW16" s="749"/>
      <c r="AX16" s="749"/>
      <c r="AY16" s="749"/>
      <c r="AZ16" s="749"/>
      <c r="BA16" s="749"/>
      <c r="BB16" s="749"/>
      <c r="BC16" s="749"/>
      <c r="BD16" s="749"/>
      <c r="BE16" s="749"/>
      <c r="BF16" s="749"/>
      <c r="BG16" s="749"/>
      <c r="BH16" s="749"/>
      <c r="BI16" s="749"/>
      <c r="BJ16" s="749"/>
      <c r="BK16" s="749"/>
      <c r="BL16" s="749"/>
      <c r="BM16" s="749"/>
      <c r="BN16" s="749"/>
      <c r="BO16" s="749"/>
      <c r="BP16" s="749"/>
      <c r="BQ16" s="749"/>
      <c r="BR16" s="749"/>
      <c r="BS16" s="749"/>
      <c r="BT16" s="749"/>
      <c r="BU16" s="749"/>
      <c r="BV16" s="749"/>
      <c r="BW16" s="749"/>
      <c r="BX16" s="749"/>
      <c r="BY16" s="749"/>
      <c r="BZ16" s="749"/>
      <c r="CA16" s="749"/>
      <c r="CB16" s="749"/>
      <c r="CC16" s="749"/>
      <c r="CD16" s="749"/>
      <c r="CE16" s="749"/>
      <c r="CF16" s="749"/>
      <c r="CG16" s="749"/>
      <c r="CH16" s="749"/>
      <c r="CI16" s="749"/>
      <c r="CJ16" s="749"/>
      <c r="CK16" s="749"/>
      <c r="CL16" s="749"/>
      <c r="CM16" s="749"/>
      <c r="CN16" s="749"/>
      <c r="CO16" s="749"/>
      <c r="CP16" s="749"/>
      <c r="CQ16" s="749"/>
      <c r="CR16" s="749"/>
      <c r="CS16" s="749"/>
      <c r="CT16" s="749"/>
      <c r="CU16" s="749"/>
      <c r="CV16" s="749"/>
      <c r="CW16" s="749"/>
      <c r="CX16" s="749"/>
      <c r="CY16" s="749"/>
      <c r="CZ16" s="749"/>
      <c r="DA16" s="749"/>
      <c r="DB16" s="749"/>
      <c r="DC16" s="749"/>
      <c r="DD16" s="749"/>
      <c r="DE16" s="749"/>
      <c r="DF16" s="749"/>
      <c r="DG16" s="749"/>
      <c r="DH16" s="749"/>
      <c r="DI16" s="749"/>
      <c r="DJ16" s="749"/>
      <c r="DK16" s="749"/>
      <c r="DL16" s="749"/>
      <c r="DM16" s="749"/>
      <c r="DN16" s="749"/>
      <c r="DO16" s="749"/>
      <c r="DP16" s="749"/>
      <c r="DQ16" s="749"/>
      <c r="DR16" s="749"/>
      <c r="DS16" s="749"/>
      <c r="DT16" s="749"/>
      <c r="DU16" s="749"/>
      <c r="DV16" s="749"/>
      <c r="DW16" s="749"/>
      <c r="DX16" s="749"/>
      <c r="DY16" s="749"/>
      <c r="DZ16" s="749"/>
      <c r="EA16" s="749"/>
      <c r="EB16" s="749"/>
      <c r="EC16" s="749"/>
      <c r="ED16" s="749"/>
      <c r="EE16" s="749"/>
      <c r="EF16" s="749"/>
      <c r="EG16" s="749"/>
      <c r="EH16" s="749"/>
      <c r="EI16" s="749"/>
      <c r="EJ16" s="749"/>
      <c r="EK16" s="749"/>
      <c r="EL16" s="749"/>
      <c r="EM16" s="749"/>
      <c r="EN16" s="749"/>
      <c r="EO16" s="749"/>
      <c r="EP16" s="749"/>
      <c r="EQ16" s="749"/>
      <c r="ER16" s="749"/>
      <c r="ES16" s="749"/>
      <c r="ET16" s="749"/>
      <c r="EU16" s="749"/>
      <c r="EV16" s="749"/>
      <c r="EW16" s="749"/>
      <c r="EX16" s="749"/>
      <c r="EY16" s="749"/>
      <c r="EZ16" s="749"/>
      <c r="FA16" s="749"/>
      <c r="FB16" s="749"/>
      <c r="FC16" s="749"/>
      <c r="FD16" s="749"/>
      <c r="FE16" s="749"/>
      <c r="FF16" s="749"/>
      <c r="FG16" s="749"/>
      <c r="FH16" s="749"/>
      <c r="FI16" s="749"/>
      <c r="FJ16" s="749"/>
      <c r="FK16" s="749"/>
      <c r="FL16" s="749"/>
      <c r="FM16" s="749"/>
      <c r="FN16" s="749"/>
      <c r="FO16" s="749"/>
      <c r="FP16" s="749"/>
      <c r="FQ16" s="749"/>
      <c r="FR16" s="749"/>
      <c r="FS16" s="749"/>
      <c r="FT16" s="749"/>
      <c r="FU16" s="749"/>
      <c r="FV16" s="749"/>
      <c r="FW16" s="749"/>
      <c r="FX16" s="749"/>
      <c r="FY16" s="749"/>
      <c r="FZ16" s="749"/>
      <c r="GA16" s="749"/>
      <c r="GB16" s="749"/>
      <c r="GC16" s="749"/>
      <c r="GD16" s="749"/>
      <c r="GE16" s="749"/>
      <c r="GF16" s="749"/>
      <c r="GG16" s="749"/>
      <c r="GH16" s="749"/>
      <c r="GI16" s="749"/>
      <c r="GJ16" s="749"/>
      <c r="GK16" s="749"/>
      <c r="GL16" s="749"/>
      <c r="GM16" s="749"/>
      <c r="GN16" s="749"/>
      <c r="GO16" s="749"/>
      <c r="GP16" s="749"/>
      <c r="GQ16" s="749"/>
      <c r="GR16" s="749"/>
      <c r="GS16" s="749"/>
      <c r="GT16" s="749"/>
      <c r="GU16" s="749"/>
      <c r="GV16" s="749"/>
      <c r="GW16" s="749"/>
      <c r="GX16" s="749"/>
      <c r="GY16" s="749"/>
      <c r="GZ16" s="749"/>
      <c r="HA16" s="749"/>
      <c r="HB16" s="749"/>
      <c r="HC16" s="749"/>
      <c r="HD16" s="749"/>
      <c r="HE16" s="749"/>
      <c r="HF16" s="749"/>
      <c r="HG16" s="749"/>
      <c r="HH16" s="749"/>
      <c r="HI16" s="749"/>
      <c r="HJ16" s="749"/>
      <c r="HK16" s="749"/>
      <c r="HL16" s="749"/>
      <c r="HM16" s="749"/>
    </row>
    <row r="17" spans="1:221" ht="12.75">
      <c r="A17" s="3"/>
      <c r="B17" s="850" t="s">
        <v>6742</v>
      </c>
      <c r="C17" s="877"/>
      <c r="D17" s="868"/>
      <c r="E17" s="877"/>
      <c r="F17" s="878"/>
      <c r="G17" s="879">
        <f t="shared" ref="G17" si="1">I17+K17</f>
        <v>0</v>
      </c>
      <c r="H17" s="878" t="str">
        <f>IF(C8&lt;&gt;"CM @ Risk","",'TAB 3 Project Cost'!F14)</f>
        <v/>
      </c>
      <c r="I17" s="889">
        <f>'TAB 3 Project Cost'!G14</f>
        <v>0</v>
      </c>
      <c r="J17" s="876" t="str">
        <f>IF(C8&lt;&gt;"CM @ Risk","",'TAB 3 Project Cost'!F45)</f>
        <v/>
      </c>
      <c r="K17" s="889">
        <f>'TAB 3 Project Cost'!G45</f>
        <v>0</v>
      </c>
      <c r="L17" s="878" t="str">
        <f>IF(C8&lt;&gt;"CM @ Risk","",'TAB 3 Project Cost'!F91)</f>
        <v/>
      </c>
      <c r="M17" s="889">
        <f>'TAB 3 Project Cost'!G91</f>
        <v>0</v>
      </c>
      <c r="N17" s="868"/>
      <c r="O17" s="851"/>
      <c r="P17" s="923">
        <f>'TAB 3 Project Cost'!AC45</f>
        <v>0</v>
      </c>
      <c r="Q17" s="924">
        <f>'TAB 3 Project Cost'!AD45</f>
        <v>0</v>
      </c>
      <c r="R17" s="925">
        <f>'TAB 3 Project Cost'!AE45</f>
        <v>0</v>
      </c>
      <c r="S17" s="995">
        <f>'TAB 3 Project Cost'!AA91</f>
        <v>0</v>
      </c>
      <c r="T17" s="996">
        <f>'TAB 3 Project Cost'!AB91</f>
        <v>0</v>
      </c>
      <c r="U17" s="996">
        <f>'TAB 3 Project Cost'!AC91</f>
        <v>0</v>
      </c>
      <c r="V17" s="997">
        <f>'TAB 3 Project Cost'!AD91</f>
        <v>0</v>
      </c>
      <c r="W17" s="749"/>
      <c r="X17" s="749"/>
      <c r="Y17" s="749"/>
      <c r="Z17" s="749"/>
      <c r="AA17" s="749"/>
      <c r="AB17" s="749"/>
      <c r="AC17" s="749"/>
      <c r="AD17" s="749"/>
      <c r="AE17" s="749"/>
      <c r="AF17" s="749"/>
      <c r="AG17" s="749"/>
      <c r="AH17" s="749"/>
      <c r="AI17" s="749"/>
      <c r="AJ17" s="749"/>
      <c r="AK17" s="749"/>
      <c r="AL17" s="749"/>
      <c r="AM17" s="749"/>
      <c r="AN17" s="749"/>
      <c r="AO17" s="749"/>
      <c r="AP17" s="749"/>
      <c r="AQ17" s="749"/>
      <c r="AR17" s="749"/>
      <c r="AS17" s="749"/>
      <c r="AT17" s="749"/>
      <c r="AU17" s="749"/>
      <c r="AV17" s="749"/>
      <c r="AW17" s="749"/>
      <c r="AX17" s="749"/>
      <c r="AY17" s="749"/>
      <c r="AZ17" s="749"/>
      <c r="BA17" s="749"/>
      <c r="BB17" s="749"/>
      <c r="BC17" s="749"/>
      <c r="BD17" s="749"/>
      <c r="BE17" s="749"/>
      <c r="BF17" s="749"/>
      <c r="BG17" s="749"/>
      <c r="BH17" s="749"/>
      <c r="BI17" s="749"/>
      <c r="BJ17" s="749"/>
      <c r="BK17" s="749"/>
      <c r="BL17" s="749"/>
      <c r="BM17" s="749"/>
      <c r="BN17" s="749"/>
      <c r="BO17" s="749"/>
      <c r="BP17" s="749"/>
      <c r="BQ17" s="749"/>
      <c r="BR17" s="749"/>
      <c r="BS17" s="749"/>
      <c r="BT17" s="749"/>
      <c r="BU17" s="749"/>
      <c r="BV17" s="749"/>
      <c r="BW17" s="749"/>
      <c r="BX17" s="749"/>
      <c r="BY17" s="749"/>
      <c r="BZ17" s="749"/>
      <c r="CA17" s="749"/>
      <c r="CB17" s="749"/>
      <c r="CC17" s="749"/>
      <c r="CD17" s="749"/>
      <c r="CE17" s="749"/>
      <c r="CF17" s="749"/>
      <c r="CG17" s="749"/>
      <c r="CH17" s="749"/>
      <c r="CI17" s="749"/>
      <c r="CJ17" s="749"/>
      <c r="CK17" s="749"/>
      <c r="CL17" s="749"/>
      <c r="CM17" s="749"/>
      <c r="CN17" s="749"/>
      <c r="CO17" s="749"/>
      <c r="CP17" s="749"/>
      <c r="CQ17" s="749"/>
      <c r="CR17" s="749"/>
      <c r="CS17" s="749"/>
      <c r="CT17" s="749"/>
      <c r="CU17" s="749"/>
      <c r="CV17" s="749"/>
      <c r="CW17" s="749"/>
      <c r="CX17" s="749"/>
      <c r="CY17" s="749"/>
      <c r="CZ17" s="749"/>
      <c r="DA17" s="749"/>
      <c r="DB17" s="749"/>
      <c r="DC17" s="749"/>
      <c r="DD17" s="749"/>
      <c r="DE17" s="749"/>
      <c r="DF17" s="749"/>
      <c r="DG17" s="749"/>
      <c r="DH17" s="749"/>
      <c r="DI17" s="749"/>
      <c r="DJ17" s="749"/>
      <c r="DK17" s="749"/>
      <c r="DL17" s="749"/>
      <c r="DM17" s="749"/>
      <c r="DN17" s="749"/>
      <c r="DO17" s="749"/>
      <c r="DP17" s="749"/>
      <c r="DQ17" s="749"/>
      <c r="DR17" s="749"/>
      <c r="DS17" s="749"/>
      <c r="DT17" s="749"/>
      <c r="DU17" s="749"/>
      <c r="DV17" s="749"/>
      <c r="DW17" s="749"/>
      <c r="DX17" s="749"/>
      <c r="DY17" s="749"/>
      <c r="DZ17" s="749"/>
      <c r="EA17" s="749"/>
      <c r="EB17" s="749"/>
      <c r="EC17" s="749"/>
      <c r="ED17" s="749"/>
      <c r="EE17" s="749"/>
      <c r="EF17" s="749"/>
      <c r="EG17" s="749"/>
      <c r="EH17" s="749"/>
      <c r="EI17" s="749"/>
      <c r="EJ17" s="749"/>
      <c r="EK17" s="749"/>
      <c r="EL17" s="749"/>
      <c r="EM17" s="749"/>
      <c r="EN17" s="749"/>
      <c r="EO17" s="749"/>
      <c r="EP17" s="749"/>
      <c r="EQ17" s="749"/>
      <c r="ER17" s="749"/>
      <c r="ES17" s="749"/>
      <c r="ET17" s="749"/>
      <c r="EU17" s="749"/>
      <c r="EV17" s="749"/>
      <c r="EW17" s="749"/>
      <c r="EX17" s="749"/>
      <c r="EY17" s="749"/>
      <c r="EZ17" s="749"/>
      <c r="FA17" s="749"/>
      <c r="FB17" s="749"/>
      <c r="FC17" s="749"/>
      <c r="FD17" s="749"/>
      <c r="FE17" s="749"/>
      <c r="FF17" s="749"/>
      <c r="FG17" s="749"/>
      <c r="FH17" s="749"/>
      <c r="FI17" s="749"/>
      <c r="FJ17" s="749"/>
      <c r="FK17" s="749"/>
      <c r="FL17" s="749"/>
      <c r="FM17" s="749"/>
      <c r="FN17" s="749"/>
      <c r="FO17" s="749"/>
      <c r="FP17" s="749"/>
      <c r="FQ17" s="749"/>
      <c r="FR17" s="749"/>
      <c r="FS17" s="749"/>
      <c r="FT17" s="749"/>
      <c r="FU17" s="749"/>
      <c r="FV17" s="749"/>
      <c r="FW17" s="749"/>
      <c r="FX17" s="749"/>
      <c r="FY17" s="749"/>
      <c r="FZ17" s="749"/>
      <c r="GA17" s="749"/>
      <c r="GB17" s="749"/>
      <c r="GC17" s="749"/>
      <c r="GD17" s="749"/>
      <c r="GE17" s="749"/>
      <c r="GF17" s="749"/>
      <c r="GG17" s="749"/>
      <c r="GH17" s="749"/>
      <c r="GI17" s="749"/>
      <c r="GJ17" s="749"/>
      <c r="GK17" s="749"/>
      <c r="GL17" s="749"/>
      <c r="GM17" s="749"/>
      <c r="GN17" s="749"/>
      <c r="GO17" s="749"/>
      <c r="GP17" s="749"/>
      <c r="GQ17" s="749"/>
      <c r="GR17" s="749"/>
      <c r="GS17" s="749"/>
      <c r="GT17" s="749"/>
      <c r="GU17" s="749"/>
      <c r="GV17" s="749"/>
      <c r="GW17" s="749"/>
      <c r="GX17" s="749"/>
      <c r="GY17" s="749"/>
      <c r="GZ17" s="749"/>
      <c r="HA17" s="749"/>
      <c r="HB17" s="749"/>
      <c r="HC17" s="749"/>
      <c r="HD17" s="749"/>
      <c r="HE17" s="749"/>
      <c r="HF17" s="749"/>
      <c r="HG17" s="749"/>
      <c r="HH17" s="749"/>
      <c r="HI17" s="749"/>
      <c r="HJ17" s="749"/>
      <c r="HK17" s="749"/>
      <c r="HL17" s="749"/>
      <c r="HM17" s="749"/>
    </row>
    <row r="18" spans="1:221" ht="12.75">
      <c r="A18" s="3"/>
      <c r="B18" s="850" t="s">
        <v>7526</v>
      </c>
      <c r="C18" s="879"/>
      <c r="D18" s="885"/>
      <c r="E18" s="879">
        <f>G18+M18+N18+O18</f>
        <v>0</v>
      </c>
      <c r="F18" s="876"/>
      <c r="G18" s="879">
        <f t="shared" ref="G18" si="2">I18+K18</f>
        <v>0</v>
      </c>
      <c r="H18" s="876"/>
      <c r="I18" s="879">
        <f>'TAB 3 Project Cost'!G15</f>
        <v>0</v>
      </c>
      <c r="J18" s="876"/>
      <c r="K18" s="879">
        <f>'TAB 3 Project Cost'!G46</f>
        <v>0</v>
      </c>
      <c r="L18" s="876"/>
      <c r="M18" s="877"/>
      <c r="N18" s="868"/>
      <c r="O18" s="851"/>
      <c r="P18" s="923">
        <f>'TAB 3 Project Cost'!AC46</f>
        <v>0</v>
      </c>
      <c r="Q18" s="924">
        <f>'TAB 3 Project Cost'!AD46</f>
        <v>0</v>
      </c>
      <c r="R18" s="925">
        <f>'TAB 3 Project Cost'!AE46</f>
        <v>0</v>
      </c>
      <c r="S18" s="995">
        <f>'TAB 3 Project Cost'!AA92</f>
        <v>0</v>
      </c>
      <c r="T18" s="996">
        <f>'TAB 3 Project Cost'!AB92</f>
        <v>0</v>
      </c>
      <c r="U18" s="996">
        <f>'TAB 3 Project Cost'!AC92</f>
        <v>0</v>
      </c>
      <c r="V18" s="997">
        <f>'TAB 3 Project Cost'!AD92</f>
        <v>0</v>
      </c>
      <c r="W18" s="749"/>
      <c r="X18" s="749"/>
      <c r="Y18" s="749"/>
      <c r="Z18" s="749"/>
      <c r="AA18" s="749"/>
      <c r="AB18" s="749"/>
      <c r="AC18" s="749"/>
      <c r="AD18" s="749"/>
      <c r="AE18" s="749"/>
      <c r="AF18" s="749"/>
      <c r="AG18" s="749"/>
      <c r="AH18" s="749"/>
      <c r="AI18" s="749"/>
      <c r="AJ18" s="749"/>
      <c r="AK18" s="749"/>
      <c r="AL18" s="749"/>
      <c r="AM18" s="749"/>
      <c r="AN18" s="749"/>
      <c r="AO18" s="749"/>
      <c r="AP18" s="749"/>
      <c r="AQ18" s="749"/>
      <c r="AR18" s="749"/>
      <c r="AS18" s="749"/>
      <c r="AT18" s="749"/>
      <c r="AU18" s="749"/>
      <c r="AV18" s="749"/>
      <c r="AW18" s="749"/>
      <c r="AX18" s="749"/>
      <c r="AY18" s="749"/>
      <c r="AZ18" s="749"/>
      <c r="BA18" s="749"/>
      <c r="BB18" s="749"/>
      <c r="BC18" s="749"/>
      <c r="BD18" s="749"/>
      <c r="BE18" s="749"/>
      <c r="BF18" s="749"/>
      <c r="BG18" s="749"/>
      <c r="BH18" s="749"/>
      <c r="BI18" s="749"/>
      <c r="BJ18" s="749"/>
      <c r="BK18" s="749"/>
      <c r="BL18" s="749"/>
      <c r="BM18" s="749"/>
      <c r="BN18" s="749"/>
      <c r="BO18" s="749"/>
      <c r="BP18" s="749"/>
      <c r="BQ18" s="749"/>
      <c r="BR18" s="749"/>
      <c r="BS18" s="749"/>
      <c r="BT18" s="749"/>
      <c r="BU18" s="749"/>
      <c r="BV18" s="749"/>
      <c r="BW18" s="749"/>
      <c r="BX18" s="749"/>
      <c r="BY18" s="749"/>
      <c r="BZ18" s="749"/>
      <c r="CA18" s="749"/>
      <c r="CB18" s="749"/>
      <c r="CC18" s="749"/>
      <c r="CD18" s="749"/>
      <c r="CE18" s="749"/>
      <c r="CF18" s="749"/>
      <c r="CG18" s="749"/>
      <c r="CH18" s="749"/>
      <c r="CI18" s="749"/>
      <c r="CJ18" s="749"/>
      <c r="CK18" s="749"/>
      <c r="CL18" s="749"/>
      <c r="CM18" s="749"/>
      <c r="CN18" s="749"/>
      <c r="CO18" s="749"/>
      <c r="CP18" s="749"/>
      <c r="CQ18" s="749"/>
      <c r="CR18" s="749"/>
      <c r="CS18" s="749"/>
      <c r="CT18" s="749"/>
      <c r="CU18" s="749"/>
      <c r="CV18" s="749"/>
      <c r="CW18" s="749"/>
      <c r="CX18" s="749"/>
      <c r="CY18" s="749"/>
      <c r="CZ18" s="749"/>
      <c r="DA18" s="749"/>
      <c r="DB18" s="749"/>
      <c r="DC18" s="749"/>
      <c r="DD18" s="749"/>
      <c r="DE18" s="749"/>
      <c r="DF18" s="749"/>
      <c r="DG18" s="749"/>
      <c r="DH18" s="749"/>
      <c r="DI18" s="749"/>
      <c r="DJ18" s="749"/>
      <c r="DK18" s="749"/>
      <c r="DL18" s="749"/>
      <c r="DM18" s="749"/>
      <c r="DN18" s="749"/>
      <c r="DO18" s="749"/>
      <c r="DP18" s="749"/>
      <c r="DQ18" s="749"/>
      <c r="DR18" s="749"/>
      <c r="DS18" s="749"/>
      <c r="DT18" s="749"/>
      <c r="DU18" s="749"/>
      <c r="DV18" s="749"/>
      <c r="DW18" s="749"/>
      <c r="DX18" s="749"/>
      <c r="DY18" s="749"/>
      <c r="DZ18" s="749"/>
      <c r="EA18" s="749"/>
      <c r="EB18" s="749"/>
      <c r="EC18" s="749"/>
      <c r="ED18" s="749"/>
      <c r="EE18" s="749"/>
      <c r="EF18" s="749"/>
      <c r="EG18" s="749"/>
      <c r="EH18" s="749"/>
      <c r="EI18" s="749"/>
      <c r="EJ18" s="749"/>
      <c r="EK18" s="749"/>
      <c r="EL18" s="749"/>
      <c r="EM18" s="749"/>
      <c r="EN18" s="749"/>
      <c r="EO18" s="749"/>
      <c r="EP18" s="749"/>
      <c r="EQ18" s="749"/>
      <c r="ER18" s="749"/>
      <c r="ES18" s="749"/>
      <c r="ET18" s="749"/>
      <c r="EU18" s="749"/>
      <c r="EV18" s="749"/>
      <c r="EW18" s="749"/>
      <c r="EX18" s="749"/>
      <c r="EY18" s="749"/>
      <c r="EZ18" s="749"/>
      <c r="FA18" s="749"/>
      <c r="FB18" s="749"/>
      <c r="FC18" s="749"/>
      <c r="FD18" s="749"/>
      <c r="FE18" s="749"/>
      <c r="FF18" s="749"/>
      <c r="FG18" s="749"/>
      <c r="FH18" s="749"/>
      <c r="FI18" s="749"/>
      <c r="FJ18" s="749"/>
      <c r="FK18" s="749"/>
      <c r="FL18" s="749"/>
      <c r="FM18" s="749"/>
      <c r="FN18" s="749"/>
      <c r="FO18" s="749"/>
      <c r="FP18" s="749"/>
      <c r="FQ18" s="749"/>
      <c r="FR18" s="749"/>
      <c r="FS18" s="749"/>
      <c r="FT18" s="749"/>
      <c r="FU18" s="749"/>
      <c r="FV18" s="749"/>
      <c r="FW18" s="749"/>
      <c r="FX18" s="749"/>
      <c r="FY18" s="749"/>
      <c r="FZ18" s="749"/>
      <c r="GA18" s="749"/>
      <c r="GB18" s="749"/>
      <c r="GC18" s="749"/>
      <c r="GD18" s="749"/>
      <c r="GE18" s="749"/>
      <c r="GF18" s="749"/>
      <c r="GG18" s="749"/>
      <c r="GH18" s="749"/>
      <c r="GI18" s="749"/>
      <c r="GJ18" s="749"/>
      <c r="GK18" s="749"/>
      <c r="GL18" s="749"/>
      <c r="GM18" s="749"/>
      <c r="GN18" s="749"/>
      <c r="GO18" s="749"/>
      <c r="GP18" s="749"/>
      <c r="GQ18" s="749"/>
      <c r="GR18" s="749"/>
      <c r="GS18" s="749"/>
      <c r="GT18" s="749"/>
      <c r="GU18" s="749"/>
      <c r="GV18" s="749"/>
      <c r="GW18" s="749"/>
      <c r="GX18" s="749"/>
      <c r="GY18" s="749"/>
      <c r="GZ18" s="749"/>
      <c r="HA18" s="749"/>
      <c r="HB18" s="749"/>
      <c r="HC18" s="749"/>
      <c r="HD18" s="749"/>
      <c r="HE18" s="749"/>
      <c r="HF18" s="749"/>
      <c r="HG18" s="749"/>
      <c r="HH18" s="749"/>
      <c r="HI18" s="749"/>
      <c r="HJ18" s="749"/>
      <c r="HK18" s="749"/>
      <c r="HL18" s="749"/>
      <c r="HM18" s="749"/>
    </row>
    <row r="19" spans="1:221" ht="12.75">
      <c r="A19" s="3"/>
      <c r="B19" s="850" t="s">
        <v>7527</v>
      </c>
      <c r="C19" s="879"/>
      <c r="D19" s="885"/>
      <c r="E19" s="879">
        <f>G19+M19+N19+O19</f>
        <v>0</v>
      </c>
      <c r="F19" s="876"/>
      <c r="G19" s="879">
        <f t="shared" ref="G19" si="3">I19+K19</f>
        <v>0</v>
      </c>
      <c r="H19" s="876"/>
      <c r="I19" s="879">
        <f>'TAB 3 Project Cost'!G16</f>
        <v>0</v>
      </c>
      <c r="J19" s="876"/>
      <c r="K19" s="879">
        <f>'TAB 3 Project Cost'!G47</f>
        <v>0</v>
      </c>
      <c r="L19" s="876"/>
      <c r="M19" s="877"/>
      <c r="N19" s="868"/>
      <c r="O19" s="851"/>
      <c r="P19" s="923">
        <f>'TAB 3 Project Cost'!AC43</f>
        <v>0</v>
      </c>
      <c r="Q19" s="924">
        <f>'TAB 3 Project Cost'!AD43</f>
        <v>0</v>
      </c>
      <c r="R19" s="925">
        <f>'TAB 3 Project Cost'!AE43</f>
        <v>0</v>
      </c>
      <c r="S19" s="995"/>
      <c r="T19" s="996"/>
      <c r="U19" s="996"/>
      <c r="V19" s="997"/>
      <c r="W19" s="749"/>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749"/>
      <c r="BT19" s="749"/>
      <c r="BU19" s="749"/>
      <c r="BV19" s="749"/>
      <c r="BW19" s="749"/>
      <c r="BX19" s="749"/>
      <c r="BY19" s="749"/>
      <c r="BZ19" s="749"/>
      <c r="CA19" s="749"/>
      <c r="CB19" s="749"/>
      <c r="CC19" s="749"/>
      <c r="CD19" s="749"/>
      <c r="CE19" s="749"/>
      <c r="CF19" s="749"/>
      <c r="CG19" s="749"/>
      <c r="CH19" s="749"/>
      <c r="CI19" s="749"/>
      <c r="CJ19" s="749"/>
      <c r="CK19" s="749"/>
      <c r="CL19" s="749"/>
      <c r="CM19" s="749"/>
      <c r="CN19" s="749"/>
      <c r="CO19" s="749"/>
      <c r="CP19" s="749"/>
      <c r="CQ19" s="749"/>
      <c r="CR19" s="749"/>
      <c r="CS19" s="749"/>
      <c r="CT19" s="749"/>
      <c r="CU19" s="749"/>
      <c r="CV19" s="749"/>
      <c r="CW19" s="749"/>
      <c r="CX19" s="749"/>
      <c r="CY19" s="749"/>
      <c r="CZ19" s="749"/>
      <c r="DA19" s="749"/>
      <c r="DB19" s="749"/>
      <c r="DC19" s="749"/>
      <c r="DD19" s="749"/>
      <c r="DE19" s="749"/>
      <c r="DF19" s="749"/>
      <c r="DG19" s="749"/>
      <c r="DH19" s="749"/>
      <c r="DI19" s="749"/>
      <c r="DJ19" s="749"/>
      <c r="DK19" s="749"/>
      <c r="DL19" s="749"/>
      <c r="DM19" s="749"/>
      <c r="DN19" s="749"/>
      <c r="DO19" s="749"/>
      <c r="DP19" s="749"/>
      <c r="DQ19" s="749"/>
      <c r="DR19" s="749"/>
      <c r="DS19" s="749"/>
      <c r="DT19" s="749"/>
      <c r="DU19" s="749"/>
      <c r="DV19" s="749"/>
      <c r="DW19" s="749"/>
      <c r="DX19" s="749"/>
      <c r="DY19" s="749"/>
      <c r="DZ19" s="749"/>
      <c r="EA19" s="749"/>
      <c r="EB19" s="749"/>
      <c r="EC19" s="749"/>
      <c r="ED19" s="749"/>
      <c r="EE19" s="749"/>
      <c r="EF19" s="749"/>
      <c r="EG19" s="749"/>
      <c r="EH19" s="749"/>
      <c r="EI19" s="749"/>
      <c r="EJ19" s="749"/>
      <c r="EK19" s="749"/>
      <c r="EL19" s="749"/>
      <c r="EM19" s="749"/>
      <c r="EN19" s="749"/>
      <c r="EO19" s="749"/>
      <c r="EP19" s="749"/>
      <c r="EQ19" s="749"/>
      <c r="ER19" s="749"/>
      <c r="ES19" s="749"/>
      <c r="ET19" s="749"/>
      <c r="EU19" s="749"/>
      <c r="EV19" s="749"/>
      <c r="EW19" s="749"/>
      <c r="EX19" s="749"/>
      <c r="EY19" s="749"/>
      <c r="EZ19" s="749"/>
      <c r="FA19" s="749"/>
      <c r="FB19" s="749"/>
      <c r="FC19" s="749"/>
      <c r="FD19" s="749"/>
      <c r="FE19" s="749"/>
      <c r="FF19" s="749"/>
      <c r="FG19" s="749"/>
      <c r="FH19" s="749"/>
      <c r="FI19" s="749"/>
      <c r="FJ19" s="749"/>
      <c r="FK19" s="749"/>
      <c r="FL19" s="749"/>
      <c r="FM19" s="749"/>
      <c r="FN19" s="749"/>
      <c r="FO19" s="749"/>
      <c r="FP19" s="749"/>
      <c r="FQ19" s="749"/>
      <c r="FR19" s="749"/>
      <c r="FS19" s="749"/>
      <c r="FT19" s="749"/>
      <c r="FU19" s="749"/>
      <c r="FV19" s="749"/>
      <c r="FW19" s="749"/>
      <c r="FX19" s="749"/>
      <c r="FY19" s="749"/>
      <c r="FZ19" s="749"/>
      <c r="GA19" s="749"/>
      <c r="GB19" s="749"/>
      <c r="GC19" s="749"/>
      <c r="GD19" s="749"/>
      <c r="GE19" s="749"/>
      <c r="GF19" s="749"/>
      <c r="GG19" s="749"/>
      <c r="GH19" s="749"/>
      <c r="GI19" s="749"/>
      <c r="GJ19" s="749"/>
      <c r="GK19" s="749"/>
      <c r="GL19" s="749"/>
      <c r="GM19" s="749"/>
      <c r="GN19" s="749"/>
      <c r="GO19" s="749"/>
      <c r="GP19" s="749"/>
      <c r="GQ19" s="749"/>
      <c r="GR19" s="749"/>
      <c r="GS19" s="749"/>
      <c r="GT19" s="749"/>
      <c r="GU19" s="749"/>
      <c r="GV19" s="749"/>
      <c r="GW19" s="749"/>
      <c r="GX19" s="749"/>
      <c r="GY19" s="749"/>
      <c r="GZ19" s="749"/>
      <c r="HA19" s="749"/>
      <c r="HB19" s="749"/>
      <c r="HC19" s="749"/>
      <c r="HD19" s="749"/>
      <c r="HE19" s="749"/>
      <c r="HF19" s="749"/>
      <c r="HG19" s="749"/>
      <c r="HH19" s="749"/>
      <c r="HI19" s="749"/>
      <c r="HJ19" s="749"/>
      <c r="HK19" s="749"/>
      <c r="HL19" s="749"/>
      <c r="HM19" s="749"/>
    </row>
    <row r="20" spans="1:221" ht="12.75">
      <c r="A20" s="3"/>
      <c r="B20" s="849"/>
      <c r="C20" s="838"/>
      <c r="D20" s="836"/>
      <c r="E20" s="838"/>
      <c r="F20" s="872"/>
      <c r="G20" s="838"/>
      <c r="H20" s="872"/>
      <c r="I20" s="838"/>
      <c r="J20" s="872"/>
      <c r="K20" s="838"/>
      <c r="L20" s="872"/>
      <c r="M20" s="838"/>
      <c r="N20" s="836"/>
      <c r="O20" s="844"/>
      <c r="P20" s="920"/>
      <c r="Q20" s="921"/>
      <c r="R20" s="922"/>
      <c r="S20" s="998"/>
      <c r="T20" s="999"/>
      <c r="U20" s="999"/>
      <c r="V20" s="1000"/>
      <c r="W20" s="749"/>
      <c r="X20" s="749"/>
      <c r="Y20" s="749"/>
      <c r="Z20" s="749"/>
      <c r="AA20" s="749"/>
      <c r="AB20" s="749"/>
      <c r="AC20" s="749"/>
      <c r="AD20" s="749"/>
      <c r="AE20" s="749"/>
      <c r="AF20" s="749"/>
      <c r="AG20" s="749"/>
      <c r="AH20" s="749"/>
      <c r="AI20" s="749"/>
      <c r="AJ20" s="749"/>
      <c r="AK20" s="749"/>
      <c r="AL20" s="749"/>
      <c r="AM20" s="749"/>
      <c r="AN20" s="749"/>
      <c r="AO20" s="749"/>
      <c r="AP20" s="749"/>
      <c r="AQ20" s="749"/>
      <c r="AR20" s="749"/>
      <c r="AS20" s="749"/>
      <c r="AT20" s="749"/>
      <c r="AU20" s="749"/>
      <c r="AV20" s="749"/>
      <c r="AW20" s="749"/>
      <c r="AX20" s="749"/>
      <c r="AY20" s="749"/>
      <c r="AZ20" s="749"/>
      <c r="BA20" s="749"/>
      <c r="BB20" s="749"/>
      <c r="BC20" s="749"/>
      <c r="BD20" s="749"/>
      <c r="BE20" s="749"/>
      <c r="BF20" s="749"/>
      <c r="BG20" s="749"/>
      <c r="BH20" s="749"/>
      <c r="BI20" s="749"/>
      <c r="BJ20" s="749"/>
      <c r="BK20" s="749"/>
      <c r="BL20" s="749"/>
      <c r="BM20" s="749"/>
      <c r="BN20" s="749"/>
      <c r="BO20" s="749"/>
      <c r="BP20" s="749"/>
      <c r="BQ20" s="749"/>
      <c r="BR20" s="749"/>
      <c r="BS20" s="749"/>
      <c r="BT20" s="749"/>
      <c r="BU20" s="749"/>
      <c r="BV20" s="749"/>
      <c r="BW20" s="749"/>
      <c r="BX20" s="749"/>
      <c r="BY20" s="749"/>
      <c r="BZ20" s="749"/>
      <c r="CA20" s="749"/>
      <c r="CB20" s="749"/>
      <c r="CC20" s="749"/>
      <c r="CD20" s="749"/>
      <c r="CE20" s="749"/>
      <c r="CF20" s="749"/>
      <c r="CG20" s="749"/>
      <c r="CH20" s="749"/>
      <c r="CI20" s="749"/>
      <c r="CJ20" s="749"/>
      <c r="CK20" s="749"/>
      <c r="CL20" s="749"/>
      <c r="CM20" s="749"/>
      <c r="CN20" s="749"/>
      <c r="CO20" s="749"/>
      <c r="CP20" s="749"/>
      <c r="CQ20" s="749"/>
      <c r="CR20" s="749"/>
      <c r="CS20" s="749"/>
      <c r="CT20" s="749"/>
      <c r="CU20" s="749"/>
      <c r="CV20" s="749"/>
      <c r="CW20" s="749"/>
      <c r="CX20" s="749"/>
      <c r="CY20" s="749"/>
      <c r="CZ20" s="749"/>
      <c r="DA20" s="749"/>
      <c r="DB20" s="749"/>
      <c r="DC20" s="749"/>
      <c r="DD20" s="749"/>
      <c r="DE20" s="749"/>
      <c r="DF20" s="749"/>
      <c r="DG20" s="749"/>
      <c r="DH20" s="749"/>
      <c r="DI20" s="749"/>
      <c r="DJ20" s="749"/>
      <c r="DK20" s="749"/>
      <c r="DL20" s="749"/>
      <c r="DM20" s="749"/>
      <c r="DN20" s="749"/>
      <c r="DO20" s="749"/>
      <c r="DP20" s="749"/>
      <c r="DQ20" s="749"/>
      <c r="DR20" s="749"/>
      <c r="DS20" s="749"/>
      <c r="DT20" s="749"/>
      <c r="DU20" s="749"/>
      <c r="DV20" s="749"/>
      <c r="DW20" s="749"/>
      <c r="DX20" s="749"/>
      <c r="DY20" s="749"/>
      <c r="DZ20" s="749"/>
      <c r="EA20" s="749"/>
      <c r="EB20" s="749"/>
      <c r="EC20" s="749"/>
      <c r="ED20" s="749"/>
      <c r="EE20" s="749"/>
      <c r="EF20" s="749"/>
      <c r="EG20" s="749"/>
      <c r="EH20" s="749"/>
      <c r="EI20" s="749"/>
      <c r="EJ20" s="749"/>
      <c r="EK20" s="749"/>
      <c r="EL20" s="749"/>
      <c r="EM20" s="749"/>
      <c r="EN20" s="749"/>
      <c r="EO20" s="749"/>
      <c r="EP20" s="749"/>
      <c r="EQ20" s="749"/>
      <c r="ER20" s="749"/>
      <c r="ES20" s="749"/>
      <c r="ET20" s="749"/>
      <c r="EU20" s="749"/>
      <c r="EV20" s="749"/>
      <c r="EW20" s="749"/>
      <c r="EX20" s="749"/>
      <c r="EY20" s="749"/>
      <c r="EZ20" s="749"/>
      <c r="FA20" s="749"/>
      <c r="FB20" s="749"/>
      <c r="FC20" s="749"/>
      <c r="FD20" s="749"/>
      <c r="FE20" s="749"/>
      <c r="FF20" s="749"/>
      <c r="FG20" s="749"/>
      <c r="FH20" s="749"/>
      <c r="FI20" s="749"/>
      <c r="FJ20" s="749"/>
      <c r="FK20" s="749"/>
      <c r="FL20" s="749"/>
      <c r="FM20" s="749"/>
      <c r="FN20" s="749"/>
      <c r="FO20" s="749"/>
      <c r="FP20" s="749"/>
      <c r="FQ20" s="749"/>
      <c r="FR20" s="749"/>
      <c r="FS20" s="749"/>
      <c r="FT20" s="749"/>
      <c r="FU20" s="749"/>
      <c r="FV20" s="749"/>
      <c r="FW20" s="749"/>
      <c r="FX20" s="749"/>
      <c r="FY20" s="749"/>
      <c r="FZ20" s="749"/>
      <c r="GA20" s="749"/>
      <c r="GB20" s="749"/>
      <c r="GC20" s="749"/>
      <c r="GD20" s="749"/>
      <c r="GE20" s="749"/>
      <c r="GF20" s="749"/>
      <c r="GG20" s="749"/>
      <c r="GH20" s="749"/>
      <c r="GI20" s="749"/>
      <c r="GJ20" s="749"/>
      <c r="GK20" s="749"/>
      <c r="GL20" s="749"/>
      <c r="GM20" s="749"/>
      <c r="GN20" s="749"/>
      <c r="GO20" s="749"/>
      <c r="GP20" s="749"/>
      <c r="GQ20" s="749"/>
      <c r="GR20" s="749"/>
      <c r="GS20" s="749"/>
      <c r="GT20" s="749"/>
      <c r="GU20" s="749"/>
      <c r="GV20" s="749"/>
      <c r="GW20" s="749"/>
      <c r="GX20" s="749"/>
      <c r="GY20" s="749"/>
      <c r="GZ20" s="749"/>
      <c r="HA20" s="749"/>
      <c r="HB20" s="749"/>
      <c r="HC20" s="749"/>
      <c r="HD20" s="749"/>
      <c r="HE20" s="749"/>
      <c r="HF20" s="749"/>
      <c r="HG20" s="749"/>
      <c r="HH20" s="749"/>
      <c r="HI20" s="749"/>
      <c r="HJ20" s="749"/>
      <c r="HK20" s="749"/>
      <c r="HL20" s="749"/>
      <c r="HM20" s="749"/>
    </row>
    <row r="21" spans="1:221" ht="12.75">
      <c r="A21" s="3"/>
      <c r="B21" s="850" t="s">
        <v>7528</v>
      </c>
      <c r="C21" s="879"/>
      <c r="D21" s="885"/>
      <c r="E21" s="879">
        <f>G21+M21+N21+O21</f>
        <v>0</v>
      </c>
      <c r="F21" s="876"/>
      <c r="G21" s="879">
        <f t="shared" ref="G21" si="4">I21+K21</f>
        <v>0</v>
      </c>
      <c r="H21" s="876"/>
      <c r="I21" s="879">
        <f>I18+I19</f>
        <v>0</v>
      </c>
      <c r="J21" s="876"/>
      <c r="K21" s="879">
        <f>K18+K19</f>
        <v>0</v>
      </c>
      <c r="L21" s="876"/>
      <c r="M21" s="879">
        <f>'TAB 3 Project Cost'!G92</f>
        <v>0</v>
      </c>
      <c r="N21" s="868"/>
      <c r="O21" s="851"/>
      <c r="P21" s="976">
        <f>P18+P19</f>
        <v>0</v>
      </c>
      <c r="Q21" s="977">
        <f>Q18+Q19</f>
        <v>0</v>
      </c>
      <c r="R21" s="978">
        <f>R18+R19</f>
        <v>0</v>
      </c>
      <c r="S21" s="914">
        <f>S18+S19</f>
        <v>0</v>
      </c>
      <c r="T21" s="915">
        <f t="shared" ref="T21:V21" si="5">T18+T19</f>
        <v>0</v>
      </c>
      <c r="U21" s="915">
        <f t="shared" si="5"/>
        <v>0</v>
      </c>
      <c r="V21" s="916">
        <f t="shared" si="5"/>
        <v>0</v>
      </c>
      <c r="W21" s="749"/>
      <c r="X21" s="749"/>
      <c r="Y21" s="749"/>
      <c r="Z21" s="749"/>
      <c r="AA21" s="749"/>
      <c r="AB21" s="749"/>
      <c r="AC21" s="749"/>
      <c r="AD21" s="749"/>
      <c r="AE21" s="749"/>
      <c r="AF21" s="749"/>
      <c r="AG21" s="749"/>
      <c r="AH21" s="749"/>
      <c r="AI21" s="749"/>
      <c r="AJ21" s="749"/>
      <c r="AK21" s="749"/>
      <c r="AL21" s="749"/>
      <c r="AM21" s="749"/>
      <c r="AN21" s="749"/>
      <c r="AO21" s="749"/>
      <c r="AP21" s="749"/>
      <c r="AQ21" s="749"/>
      <c r="AR21" s="749"/>
      <c r="AS21" s="749"/>
      <c r="AT21" s="749"/>
      <c r="AU21" s="749"/>
      <c r="AV21" s="749"/>
      <c r="AW21" s="749"/>
      <c r="AX21" s="749"/>
      <c r="AY21" s="749"/>
      <c r="AZ21" s="749"/>
      <c r="BA21" s="749"/>
      <c r="BB21" s="749"/>
      <c r="BC21" s="749"/>
      <c r="BD21" s="749"/>
      <c r="BE21" s="749"/>
      <c r="BF21" s="749"/>
      <c r="BG21" s="749"/>
      <c r="BH21" s="749"/>
      <c r="BI21" s="749"/>
      <c r="BJ21" s="749"/>
      <c r="BK21" s="749"/>
      <c r="BL21" s="749"/>
      <c r="BM21" s="749"/>
      <c r="BN21" s="749"/>
      <c r="BO21" s="749"/>
      <c r="BP21" s="749"/>
      <c r="BQ21" s="749"/>
      <c r="BR21" s="749"/>
      <c r="BS21" s="749"/>
      <c r="BT21" s="749"/>
      <c r="BU21" s="749"/>
      <c r="BV21" s="749"/>
      <c r="BW21" s="749"/>
      <c r="BX21" s="749"/>
      <c r="BY21" s="749"/>
      <c r="BZ21" s="749"/>
      <c r="CA21" s="749"/>
      <c r="CB21" s="749"/>
      <c r="CC21" s="749"/>
      <c r="CD21" s="749"/>
      <c r="CE21" s="749"/>
      <c r="CF21" s="749"/>
      <c r="CG21" s="749"/>
      <c r="CH21" s="749"/>
      <c r="CI21" s="749"/>
      <c r="CJ21" s="749"/>
      <c r="CK21" s="749"/>
      <c r="CL21" s="749"/>
      <c r="CM21" s="749"/>
      <c r="CN21" s="749"/>
      <c r="CO21" s="749"/>
      <c r="CP21" s="749"/>
      <c r="CQ21" s="749"/>
      <c r="CR21" s="749"/>
      <c r="CS21" s="749"/>
      <c r="CT21" s="749"/>
      <c r="CU21" s="749"/>
      <c r="CV21" s="749"/>
      <c r="CW21" s="749"/>
      <c r="CX21" s="749"/>
      <c r="CY21" s="749"/>
      <c r="CZ21" s="749"/>
      <c r="DA21" s="749"/>
      <c r="DB21" s="749"/>
      <c r="DC21" s="749"/>
      <c r="DD21" s="749"/>
      <c r="DE21" s="749"/>
      <c r="DF21" s="749"/>
      <c r="DG21" s="749"/>
      <c r="DH21" s="749"/>
      <c r="DI21" s="749"/>
      <c r="DJ21" s="749"/>
      <c r="DK21" s="749"/>
      <c r="DL21" s="749"/>
      <c r="DM21" s="749"/>
      <c r="DN21" s="749"/>
      <c r="DO21" s="749"/>
      <c r="DP21" s="749"/>
      <c r="DQ21" s="749"/>
      <c r="DR21" s="749"/>
      <c r="DS21" s="749"/>
      <c r="DT21" s="749"/>
      <c r="DU21" s="749"/>
      <c r="DV21" s="749"/>
      <c r="DW21" s="749"/>
      <c r="DX21" s="749"/>
      <c r="DY21" s="749"/>
      <c r="DZ21" s="749"/>
      <c r="EA21" s="749"/>
      <c r="EB21" s="749"/>
      <c r="EC21" s="749"/>
      <c r="ED21" s="749"/>
      <c r="EE21" s="749"/>
      <c r="EF21" s="749"/>
      <c r="EG21" s="749"/>
      <c r="EH21" s="749"/>
      <c r="EI21" s="749"/>
      <c r="EJ21" s="749"/>
      <c r="EK21" s="749"/>
      <c r="EL21" s="749"/>
      <c r="EM21" s="749"/>
      <c r="EN21" s="749"/>
      <c r="EO21" s="749"/>
      <c r="EP21" s="749"/>
      <c r="EQ21" s="749"/>
      <c r="ER21" s="749"/>
      <c r="ES21" s="749"/>
      <c r="ET21" s="749"/>
      <c r="EU21" s="749"/>
      <c r="EV21" s="749"/>
      <c r="EW21" s="749"/>
      <c r="EX21" s="749"/>
      <c r="EY21" s="749"/>
      <c r="EZ21" s="749"/>
      <c r="FA21" s="749"/>
      <c r="FB21" s="749"/>
      <c r="FC21" s="749"/>
      <c r="FD21" s="749"/>
      <c r="FE21" s="749"/>
      <c r="FF21" s="749"/>
      <c r="FG21" s="749"/>
      <c r="FH21" s="749"/>
      <c r="FI21" s="749"/>
      <c r="FJ21" s="749"/>
      <c r="FK21" s="749"/>
      <c r="FL21" s="749"/>
      <c r="FM21" s="749"/>
      <c r="FN21" s="749"/>
      <c r="FO21" s="749"/>
      <c r="FP21" s="749"/>
      <c r="FQ21" s="749"/>
      <c r="FR21" s="749"/>
      <c r="FS21" s="749"/>
      <c r="FT21" s="749"/>
      <c r="FU21" s="749"/>
      <c r="FV21" s="749"/>
      <c r="FW21" s="749"/>
      <c r="FX21" s="749"/>
      <c r="FY21" s="749"/>
      <c r="FZ21" s="749"/>
      <c r="GA21" s="749"/>
      <c r="GB21" s="749"/>
      <c r="GC21" s="749"/>
      <c r="GD21" s="749"/>
      <c r="GE21" s="749"/>
      <c r="GF21" s="749"/>
      <c r="GG21" s="749"/>
      <c r="GH21" s="749"/>
      <c r="GI21" s="749"/>
      <c r="GJ21" s="749"/>
      <c r="GK21" s="749"/>
      <c r="GL21" s="749"/>
      <c r="GM21" s="749"/>
      <c r="GN21" s="749"/>
      <c r="GO21" s="749"/>
      <c r="GP21" s="749"/>
      <c r="GQ21" s="749"/>
      <c r="GR21" s="749"/>
      <c r="GS21" s="749"/>
      <c r="GT21" s="749"/>
      <c r="GU21" s="749"/>
      <c r="GV21" s="749"/>
      <c r="GW21" s="749"/>
      <c r="GX21" s="749"/>
      <c r="GY21" s="749"/>
      <c r="GZ21" s="749"/>
      <c r="HA21" s="749"/>
      <c r="HB21" s="749"/>
      <c r="HC21" s="749"/>
      <c r="HD21" s="749"/>
      <c r="HE21" s="749"/>
      <c r="HF21" s="749"/>
      <c r="HG21" s="749"/>
      <c r="HH21" s="749"/>
      <c r="HI21" s="749"/>
      <c r="HJ21" s="749"/>
      <c r="HK21" s="749"/>
      <c r="HL21" s="749"/>
      <c r="HM21" s="749"/>
    </row>
    <row r="22" spans="1:221" ht="12.75">
      <c r="A22" s="3"/>
      <c r="B22" s="849"/>
      <c r="C22" s="838"/>
      <c r="D22" s="836"/>
      <c r="E22" s="838"/>
      <c r="F22" s="872"/>
      <c r="G22" s="838"/>
      <c r="H22" s="872"/>
      <c r="I22" s="838"/>
      <c r="J22" s="872"/>
      <c r="K22" s="838"/>
      <c r="L22" s="872"/>
      <c r="M22" s="838"/>
      <c r="N22" s="836"/>
      <c r="O22" s="844"/>
      <c r="P22" s="920"/>
      <c r="Q22" s="921"/>
      <c r="R22" s="922"/>
      <c r="S22" s="998"/>
      <c r="T22" s="999"/>
      <c r="U22" s="999"/>
      <c r="V22" s="1000"/>
      <c r="W22" s="749"/>
      <c r="X22" s="749"/>
      <c r="Y22" s="749"/>
      <c r="Z22" s="749"/>
      <c r="AA22" s="749"/>
      <c r="AB22" s="749"/>
      <c r="AC22" s="749"/>
      <c r="AD22" s="749"/>
      <c r="AE22" s="749"/>
      <c r="AF22" s="749"/>
      <c r="AG22" s="749"/>
      <c r="AH22" s="749"/>
      <c r="AI22" s="749"/>
      <c r="AJ22" s="749"/>
      <c r="AK22" s="749"/>
      <c r="AL22" s="749"/>
      <c r="AM22" s="749"/>
      <c r="AN22" s="749"/>
      <c r="AO22" s="749"/>
      <c r="AP22" s="749"/>
      <c r="AQ22" s="749"/>
      <c r="AR22" s="749"/>
      <c r="AS22" s="749"/>
      <c r="AT22" s="749"/>
      <c r="AU22" s="749"/>
      <c r="AV22" s="749"/>
      <c r="AW22" s="749"/>
      <c r="AX22" s="749"/>
      <c r="AY22" s="749"/>
      <c r="AZ22" s="749"/>
      <c r="BA22" s="749"/>
      <c r="BB22" s="749"/>
      <c r="BC22" s="749"/>
      <c r="BD22" s="749"/>
      <c r="BE22" s="749"/>
      <c r="BF22" s="749"/>
      <c r="BG22" s="749"/>
      <c r="BH22" s="749"/>
      <c r="BI22" s="749"/>
      <c r="BJ22" s="749"/>
      <c r="BK22" s="749"/>
      <c r="BL22" s="749"/>
      <c r="BM22" s="749"/>
      <c r="BN22" s="749"/>
      <c r="BO22" s="749"/>
      <c r="BP22" s="749"/>
      <c r="BQ22" s="749"/>
      <c r="BR22" s="749"/>
      <c r="BS22" s="749"/>
      <c r="BT22" s="749"/>
      <c r="BU22" s="749"/>
      <c r="BV22" s="749"/>
      <c r="BW22" s="749"/>
      <c r="BX22" s="749"/>
      <c r="BY22" s="749"/>
      <c r="BZ22" s="749"/>
      <c r="CA22" s="749"/>
      <c r="CB22" s="749"/>
      <c r="CC22" s="749"/>
      <c r="CD22" s="749"/>
      <c r="CE22" s="749"/>
      <c r="CF22" s="749"/>
      <c r="CG22" s="749"/>
      <c r="CH22" s="749"/>
      <c r="CI22" s="749"/>
      <c r="CJ22" s="749"/>
      <c r="CK22" s="749"/>
      <c r="CL22" s="749"/>
      <c r="CM22" s="749"/>
      <c r="CN22" s="749"/>
      <c r="CO22" s="749"/>
      <c r="CP22" s="749"/>
      <c r="CQ22" s="749"/>
      <c r="CR22" s="749"/>
      <c r="CS22" s="749"/>
      <c r="CT22" s="749"/>
      <c r="CU22" s="749"/>
      <c r="CV22" s="749"/>
      <c r="CW22" s="749"/>
      <c r="CX22" s="749"/>
      <c r="CY22" s="749"/>
      <c r="CZ22" s="749"/>
      <c r="DA22" s="749"/>
      <c r="DB22" s="749"/>
      <c r="DC22" s="749"/>
      <c r="DD22" s="749"/>
      <c r="DE22" s="749"/>
      <c r="DF22" s="749"/>
      <c r="DG22" s="749"/>
      <c r="DH22" s="749"/>
      <c r="DI22" s="749"/>
      <c r="DJ22" s="749"/>
      <c r="DK22" s="749"/>
      <c r="DL22" s="749"/>
      <c r="DM22" s="749"/>
      <c r="DN22" s="749"/>
      <c r="DO22" s="749"/>
      <c r="DP22" s="749"/>
      <c r="DQ22" s="749"/>
      <c r="DR22" s="749"/>
      <c r="DS22" s="749"/>
      <c r="DT22" s="749"/>
      <c r="DU22" s="749"/>
      <c r="DV22" s="749"/>
      <c r="DW22" s="749"/>
      <c r="DX22" s="749"/>
      <c r="DY22" s="749"/>
      <c r="DZ22" s="749"/>
      <c r="EA22" s="749"/>
      <c r="EB22" s="749"/>
      <c r="EC22" s="749"/>
      <c r="ED22" s="749"/>
      <c r="EE22" s="749"/>
      <c r="EF22" s="749"/>
      <c r="EG22" s="749"/>
      <c r="EH22" s="749"/>
      <c r="EI22" s="749"/>
      <c r="EJ22" s="749"/>
      <c r="EK22" s="749"/>
      <c r="EL22" s="749"/>
      <c r="EM22" s="749"/>
      <c r="EN22" s="749"/>
      <c r="EO22" s="749"/>
      <c r="EP22" s="749"/>
      <c r="EQ22" s="749"/>
      <c r="ER22" s="749"/>
      <c r="ES22" s="749"/>
      <c r="ET22" s="749"/>
      <c r="EU22" s="749"/>
      <c r="EV22" s="749"/>
      <c r="EW22" s="749"/>
      <c r="EX22" s="749"/>
      <c r="EY22" s="749"/>
      <c r="EZ22" s="749"/>
      <c r="FA22" s="749"/>
      <c r="FB22" s="749"/>
      <c r="FC22" s="749"/>
      <c r="FD22" s="749"/>
      <c r="FE22" s="749"/>
      <c r="FF22" s="749"/>
      <c r="FG22" s="749"/>
      <c r="FH22" s="749"/>
      <c r="FI22" s="749"/>
      <c r="FJ22" s="749"/>
      <c r="FK22" s="749"/>
      <c r="FL22" s="749"/>
      <c r="FM22" s="749"/>
      <c r="FN22" s="749"/>
      <c r="FO22" s="749"/>
      <c r="FP22" s="749"/>
      <c r="FQ22" s="749"/>
      <c r="FR22" s="749"/>
      <c r="FS22" s="749"/>
      <c r="FT22" s="749"/>
      <c r="FU22" s="749"/>
      <c r="FV22" s="749"/>
      <c r="FW22" s="749"/>
      <c r="FX22" s="749"/>
      <c r="FY22" s="749"/>
      <c r="FZ22" s="749"/>
      <c r="GA22" s="749"/>
      <c r="GB22" s="749"/>
      <c r="GC22" s="749"/>
      <c r="GD22" s="749"/>
      <c r="GE22" s="749"/>
      <c r="GF22" s="749"/>
      <c r="GG22" s="749"/>
      <c r="GH22" s="749"/>
      <c r="GI22" s="749"/>
      <c r="GJ22" s="749"/>
      <c r="GK22" s="749"/>
      <c r="GL22" s="749"/>
      <c r="GM22" s="749"/>
      <c r="GN22" s="749"/>
      <c r="GO22" s="749"/>
      <c r="GP22" s="749"/>
      <c r="GQ22" s="749"/>
      <c r="GR22" s="749"/>
      <c r="GS22" s="749"/>
      <c r="GT22" s="749"/>
      <c r="GU22" s="749"/>
      <c r="GV22" s="749"/>
      <c r="GW22" s="749"/>
      <c r="GX22" s="749"/>
      <c r="GY22" s="749"/>
      <c r="GZ22" s="749"/>
      <c r="HA22" s="749"/>
      <c r="HB22" s="749"/>
      <c r="HC22" s="749"/>
      <c r="HD22" s="749"/>
      <c r="HE22" s="749"/>
      <c r="HF22" s="749"/>
      <c r="HG22" s="749"/>
      <c r="HH22" s="749"/>
      <c r="HI22" s="749"/>
      <c r="HJ22" s="749"/>
      <c r="HK22" s="749"/>
      <c r="HL22" s="749"/>
      <c r="HM22" s="749"/>
    </row>
    <row r="23" spans="1:221" ht="12.75">
      <c r="A23" s="3"/>
      <c r="B23" s="849"/>
      <c r="C23" s="838"/>
      <c r="D23" s="836"/>
      <c r="E23" s="838"/>
      <c r="F23" s="872"/>
      <c r="G23" s="838"/>
      <c r="H23" s="872"/>
      <c r="I23" s="838"/>
      <c r="J23" s="872"/>
      <c r="K23" s="838"/>
      <c r="L23" s="872"/>
      <c r="M23" s="838"/>
      <c r="N23" s="836"/>
      <c r="O23" s="844"/>
      <c r="P23" s="920"/>
      <c r="Q23" s="921"/>
      <c r="R23" s="922"/>
      <c r="S23" s="998"/>
      <c r="T23" s="999"/>
      <c r="U23" s="999"/>
      <c r="V23" s="1000"/>
      <c r="W23" s="749"/>
      <c r="X23" s="749"/>
      <c r="Y23" s="749"/>
      <c r="Z23" s="749"/>
      <c r="AA23" s="749"/>
      <c r="AB23" s="749"/>
      <c r="AC23" s="749"/>
      <c r="AD23" s="749"/>
      <c r="AE23" s="749"/>
      <c r="AF23" s="749"/>
      <c r="AG23" s="749"/>
      <c r="AH23" s="749"/>
      <c r="AI23" s="749"/>
      <c r="AJ23" s="749"/>
      <c r="AK23" s="749"/>
      <c r="AL23" s="749"/>
      <c r="AM23" s="749"/>
      <c r="AN23" s="749"/>
      <c r="AO23" s="749"/>
      <c r="AP23" s="749"/>
      <c r="AQ23" s="749"/>
      <c r="AR23" s="749"/>
      <c r="AS23" s="749"/>
      <c r="AT23" s="749"/>
      <c r="AU23" s="749"/>
      <c r="AV23" s="749"/>
      <c r="AW23" s="749"/>
      <c r="AX23" s="749"/>
      <c r="AY23" s="749"/>
      <c r="AZ23" s="749"/>
      <c r="BA23" s="749"/>
      <c r="BB23" s="749"/>
      <c r="BC23" s="749"/>
      <c r="BD23" s="749"/>
      <c r="BE23" s="749"/>
      <c r="BF23" s="749"/>
      <c r="BG23" s="749"/>
      <c r="BH23" s="749"/>
      <c r="BI23" s="749"/>
      <c r="BJ23" s="749"/>
      <c r="BK23" s="749"/>
      <c r="BL23" s="749"/>
      <c r="BM23" s="749"/>
      <c r="BN23" s="749"/>
      <c r="BO23" s="749"/>
      <c r="BP23" s="749"/>
      <c r="BQ23" s="749"/>
      <c r="BR23" s="749"/>
      <c r="BS23" s="749"/>
      <c r="BT23" s="749"/>
      <c r="BU23" s="749"/>
      <c r="BV23" s="749"/>
      <c r="BW23" s="749"/>
      <c r="BX23" s="749"/>
      <c r="BY23" s="749"/>
      <c r="BZ23" s="749"/>
      <c r="CA23" s="749"/>
      <c r="CB23" s="749"/>
      <c r="CC23" s="749"/>
      <c r="CD23" s="749"/>
      <c r="CE23" s="749"/>
      <c r="CF23" s="749"/>
      <c r="CG23" s="749"/>
      <c r="CH23" s="749"/>
      <c r="CI23" s="749"/>
      <c r="CJ23" s="749"/>
      <c r="CK23" s="749"/>
      <c r="CL23" s="749"/>
      <c r="CM23" s="749"/>
      <c r="CN23" s="749"/>
      <c r="CO23" s="749"/>
      <c r="CP23" s="749"/>
      <c r="CQ23" s="749"/>
      <c r="CR23" s="749"/>
      <c r="CS23" s="749"/>
      <c r="CT23" s="749"/>
      <c r="CU23" s="749"/>
      <c r="CV23" s="749"/>
      <c r="CW23" s="749"/>
      <c r="CX23" s="749"/>
      <c r="CY23" s="749"/>
      <c r="CZ23" s="749"/>
      <c r="DA23" s="749"/>
      <c r="DB23" s="749"/>
      <c r="DC23" s="749"/>
      <c r="DD23" s="749"/>
      <c r="DE23" s="749"/>
      <c r="DF23" s="749"/>
      <c r="DG23" s="749"/>
      <c r="DH23" s="749"/>
      <c r="DI23" s="749"/>
      <c r="DJ23" s="749"/>
      <c r="DK23" s="749"/>
      <c r="DL23" s="749"/>
      <c r="DM23" s="749"/>
      <c r="DN23" s="749"/>
      <c r="DO23" s="749"/>
      <c r="DP23" s="749"/>
      <c r="DQ23" s="749"/>
      <c r="DR23" s="749"/>
      <c r="DS23" s="749"/>
      <c r="DT23" s="749"/>
      <c r="DU23" s="749"/>
      <c r="DV23" s="749"/>
      <c r="DW23" s="749"/>
      <c r="DX23" s="749"/>
      <c r="DY23" s="749"/>
      <c r="DZ23" s="749"/>
      <c r="EA23" s="749"/>
      <c r="EB23" s="749"/>
      <c r="EC23" s="749"/>
      <c r="ED23" s="749"/>
      <c r="EE23" s="749"/>
      <c r="EF23" s="749"/>
      <c r="EG23" s="749"/>
      <c r="EH23" s="749"/>
      <c r="EI23" s="749"/>
      <c r="EJ23" s="749"/>
      <c r="EK23" s="749"/>
      <c r="EL23" s="749"/>
      <c r="EM23" s="749"/>
      <c r="EN23" s="749"/>
      <c r="EO23" s="749"/>
      <c r="EP23" s="749"/>
      <c r="EQ23" s="749"/>
      <c r="ER23" s="749"/>
      <c r="ES23" s="749"/>
      <c r="ET23" s="749"/>
      <c r="EU23" s="749"/>
      <c r="EV23" s="749"/>
      <c r="EW23" s="749"/>
      <c r="EX23" s="749"/>
      <c r="EY23" s="749"/>
      <c r="EZ23" s="749"/>
      <c r="FA23" s="749"/>
      <c r="FB23" s="749"/>
      <c r="FC23" s="749"/>
      <c r="FD23" s="749"/>
      <c r="FE23" s="749"/>
      <c r="FF23" s="749"/>
      <c r="FG23" s="749"/>
      <c r="FH23" s="749"/>
      <c r="FI23" s="749"/>
      <c r="FJ23" s="749"/>
      <c r="FK23" s="749"/>
      <c r="FL23" s="749"/>
      <c r="FM23" s="749"/>
      <c r="FN23" s="749"/>
      <c r="FO23" s="749"/>
      <c r="FP23" s="749"/>
      <c r="FQ23" s="749"/>
      <c r="FR23" s="749"/>
      <c r="FS23" s="749"/>
      <c r="FT23" s="749"/>
      <c r="FU23" s="749"/>
      <c r="FV23" s="749"/>
      <c r="FW23" s="749"/>
      <c r="FX23" s="749"/>
      <c r="FY23" s="749"/>
      <c r="FZ23" s="749"/>
      <c r="GA23" s="749"/>
      <c r="GB23" s="749"/>
      <c r="GC23" s="749"/>
      <c r="GD23" s="749"/>
      <c r="GE23" s="749"/>
      <c r="GF23" s="749"/>
      <c r="GG23" s="749"/>
      <c r="GH23" s="749"/>
      <c r="GI23" s="749"/>
      <c r="GJ23" s="749"/>
      <c r="GK23" s="749"/>
      <c r="GL23" s="749"/>
      <c r="GM23" s="749"/>
      <c r="GN23" s="749"/>
      <c r="GO23" s="749"/>
      <c r="GP23" s="749"/>
      <c r="GQ23" s="749"/>
      <c r="GR23" s="749"/>
      <c r="GS23" s="749"/>
      <c r="GT23" s="749"/>
      <c r="GU23" s="749"/>
      <c r="GV23" s="749"/>
      <c r="GW23" s="749"/>
      <c r="GX23" s="749"/>
      <c r="GY23" s="749"/>
      <c r="GZ23" s="749"/>
      <c r="HA23" s="749"/>
      <c r="HB23" s="749"/>
      <c r="HC23" s="749"/>
      <c r="HD23" s="749"/>
      <c r="HE23" s="749"/>
      <c r="HF23" s="749"/>
      <c r="HG23" s="749"/>
      <c r="HH23" s="749"/>
      <c r="HI23" s="749"/>
      <c r="HJ23" s="749"/>
      <c r="HK23" s="749"/>
      <c r="HL23" s="749"/>
      <c r="HM23" s="749"/>
    </row>
    <row r="24" spans="1:221" ht="12.75">
      <c r="A24" s="770"/>
      <c r="B24" s="852" t="s">
        <v>6928</v>
      </c>
      <c r="C24" s="879"/>
      <c r="D24" s="885" t="e">
        <f>E24/$E$27</f>
        <v>#DIV/0!</v>
      </c>
      <c r="E24" s="879">
        <f t="shared" ref="E24:E26" si="6">G24+M24+N24+O24</f>
        <v>0</v>
      </c>
      <c r="F24" s="876" t="e">
        <f>G24/$G$27</f>
        <v>#DIV/0!</v>
      </c>
      <c r="G24" s="879">
        <f t="shared" ref="G24:G26" si="7">I24+K24</f>
        <v>0</v>
      </c>
      <c r="H24" s="876" t="str">
        <f>'TAB 3 Project Cost'!F17</f>
        <v/>
      </c>
      <c r="I24" s="879">
        <f>'TAB 3 Project Cost'!G17</f>
        <v>0</v>
      </c>
      <c r="J24" s="876" t="str">
        <f>'TAB 3 Project Cost'!F48</f>
        <v/>
      </c>
      <c r="K24" s="879">
        <f>'TAB 3 Project Cost'!G48</f>
        <v>0</v>
      </c>
      <c r="L24" s="876" t="str">
        <f>'TAB 3 Project Cost'!F93</f>
        <v/>
      </c>
      <c r="M24" s="879">
        <f>'TAB 3 Project Cost'!G93</f>
        <v>0</v>
      </c>
      <c r="N24" s="868"/>
      <c r="O24" s="851"/>
      <c r="P24" s="923">
        <f>'TAB 3 Project Cost'!AC48</f>
        <v>0</v>
      </c>
      <c r="Q24" s="924">
        <f>'TAB 3 Project Cost'!AD48</f>
        <v>0</v>
      </c>
      <c r="R24" s="925">
        <f>'TAB 3 Project Cost'!AE48</f>
        <v>0</v>
      </c>
      <c r="S24" s="995">
        <f>'TAB 3 Project Cost'!AA93</f>
        <v>0</v>
      </c>
      <c r="T24" s="996">
        <f>'TAB 3 Project Cost'!AB93</f>
        <v>0</v>
      </c>
      <c r="U24" s="996">
        <f>'TAB 3 Project Cost'!AC93</f>
        <v>0</v>
      </c>
      <c r="V24" s="997">
        <f>'TAB 3 Project Cost'!AD93</f>
        <v>0</v>
      </c>
      <c r="W24" s="749"/>
      <c r="X24" s="749"/>
      <c r="Y24" s="749"/>
      <c r="Z24" s="749"/>
      <c r="AA24" s="749"/>
      <c r="AB24" s="749"/>
      <c r="AC24" s="749"/>
      <c r="AD24" s="749"/>
      <c r="AE24" s="749"/>
      <c r="AF24" s="749"/>
      <c r="AG24" s="749"/>
      <c r="AH24" s="749"/>
      <c r="AI24" s="749"/>
      <c r="AJ24" s="749"/>
      <c r="AK24" s="749"/>
      <c r="AL24" s="749"/>
      <c r="AM24" s="749"/>
      <c r="AN24" s="749"/>
      <c r="AO24" s="749"/>
      <c r="AP24" s="749"/>
      <c r="AQ24" s="749"/>
      <c r="AR24" s="749"/>
      <c r="AS24" s="749"/>
      <c r="AT24" s="749"/>
      <c r="AU24" s="749"/>
      <c r="AV24" s="749"/>
      <c r="AW24" s="749"/>
      <c r="AX24" s="749"/>
      <c r="AY24" s="749"/>
      <c r="AZ24" s="749"/>
      <c r="BA24" s="749"/>
      <c r="BB24" s="749"/>
      <c r="BC24" s="749"/>
      <c r="BD24" s="749"/>
      <c r="BE24" s="749"/>
      <c r="BF24" s="749"/>
      <c r="BG24" s="749"/>
      <c r="BH24" s="749"/>
      <c r="BI24" s="749"/>
      <c r="BJ24" s="749"/>
      <c r="BK24" s="749"/>
      <c r="BL24" s="749"/>
      <c r="BM24" s="749"/>
      <c r="BN24" s="749"/>
      <c r="BO24" s="749"/>
      <c r="BP24" s="749"/>
      <c r="BQ24" s="749"/>
      <c r="BR24" s="749"/>
      <c r="BS24" s="749"/>
      <c r="BT24" s="749"/>
      <c r="BU24" s="749"/>
      <c r="BV24" s="749"/>
      <c r="BW24" s="749"/>
      <c r="BX24" s="749"/>
      <c r="BY24" s="749"/>
      <c r="BZ24" s="749"/>
      <c r="CA24" s="749"/>
      <c r="CB24" s="749"/>
      <c r="CC24" s="749"/>
      <c r="CD24" s="749"/>
      <c r="CE24" s="749"/>
      <c r="CF24" s="749"/>
      <c r="CG24" s="749"/>
      <c r="CH24" s="749"/>
      <c r="CI24" s="749"/>
      <c r="CJ24" s="749"/>
      <c r="CK24" s="749"/>
      <c r="CL24" s="749"/>
      <c r="CM24" s="749"/>
      <c r="CN24" s="749"/>
      <c r="CO24" s="749"/>
      <c r="CP24" s="749"/>
      <c r="CQ24" s="749"/>
      <c r="CR24" s="749"/>
      <c r="CS24" s="749"/>
      <c r="CT24" s="749"/>
      <c r="CU24" s="749"/>
      <c r="CV24" s="749"/>
      <c r="CW24" s="749"/>
      <c r="CX24" s="749"/>
      <c r="CY24" s="749"/>
      <c r="CZ24" s="749"/>
      <c r="DA24" s="749"/>
      <c r="DB24" s="749"/>
      <c r="DC24" s="749"/>
      <c r="DD24" s="749"/>
      <c r="DE24" s="749"/>
      <c r="DF24" s="749"/>
      <c r="DG24" s="749"/>
      <c r="DH24" s="749"/>
      <c r="DI24" s="749"/>
      <c r="DJ24" s="749"/>
      <c r="DK24" s="749"/>
      <c r="DL24" s="749"/>
      <c r="DM24" s="749"/>
      <c r="DN24" s="749"/>
      <c r="DO24" s="749"/>
      <c r="DP24" s="749"/>
      <c r="DQ24" s="749"/>
      <c r="DR24" s="749"/>
      <c r="DS24" s="749"/>
      <c r="DT24" s="749"/>
      <c r="DU24" s="749"/>
      <c r="DV24" s="749"/>
      <c r="DW24" s="749"/>
      <c r="DX24" s="749"/>
      <c r="DY24" s="749"/>
      <c r="DZ24" s="749"/>
      <c r="EA24" s="749"/>
      <c r="EB24" s="749"/>
      <c r="EC24" s="749"/>
      <c r="ED24" s="749"/>
      <c r="EE24" s="749"/>
      <c r="EF24" s="749"/>
      <c r="EG24" s="749"/>
      <c r="EH24" s="749"/>
      <c r="EI24" s="749"/>
      <c r="EJ24" s="749"/>
      <c r="EK24" s="749"/>
      <c r="EL24" s="749"/>
      <c r="EM24" s="749"/>
      <c r="EN24" s="749"/>
      <c r="EO24" s="749"/>
      <c r="EP24" s="749"/>
      <c r="EQ24" s="749"/>
      <c r="ER24" s="749"/>
      <c r="ES24" s="749"/>
      <c r="ET24" s="749"/>
      <c r="EU24" s="749"/>
      <c r="EV24" s="749"/>
      <c r="EW24" s="749"/>
      <c r="EX24" s="749"/>
      <c r="EY24" s="749"/>
      <c r="EZ24" s="749"/>
      <c r="FA24" s="749"/>
      <c r="FB24" s="749"/>
      <c r="FC24" s="749"/>
      <c r="FD24" s="749"/>
      <c r="FE24" s="749"/>
      <c r="FF24" s="749"/>
      <c r="FG24" s="749"/>
      <c r="FH24" s="749"/>
      <c r="FI24" s="749"/>
      <c r="FJ24" s="749"/>
      <c r="FK24" s="749"/>
      <c r="FL24" s="749"/>
      <c r="FM24" s="749"/>
      <c r="FN24" s="749"/>
      <c r="FO24" s="749"/>
      <c r="FP24" s="749"/>
      <c r="FQ24" s="749"/>
      <c r="FR24" s="749"/>
      <c r="FS24" s="749"/>
      <c r="FT24" s="749"/>
      <c r="FU24" s="749"/>
      <c r="FV24" s="749"/>
      <c r="FW24" s="749"/>
      <c r="FX24" s="749"/>
      <c r="FY24" s="749"/>
      <c r="FZ24" s="749"/>
      <c r="GA24" s="749"/>
      <c r="GB24" s="749"/>
      <c r="GC24" s="749"/>
      <c r="GD24" s="749"/>
      <c r="GE24" s="749"/>
      <c r="GF24" s="749"/>
      <c r="GG24" s="749"/>
      <c r="GH24" s="749"/>
      <c r="GI24" s="749"/>
      <c r="GJ24" s="749"/>
      <c r="GK24" s="749"/>
      <c r="GL24" s="749"/>
      <c r="GM24" s="749"/>
      <c r="GN24" s="749"/>
      <c r="GO24" s="749"/>
      <c r="GP24" s="749"/>
      <c r="GQ24" s="749"/>
      <c r="GR24" s="749"/>
      <c r="GS24" s="749"/>
      <c r="GT24" s="749"/>
      <c r="GU24" s="749"/>
      <c r="GV24" s="749"/>
      <c r="GW24" s="749"/>
      <c r="GX24" s="749"/>
      <c r="GY24" s="749"/>
      <c r="GZ24" s="749"/>
      <c r="HA24" s="749"/>
      <c r="HB24" s="749"/>
      <c r="HC24" s="749"/>
      <c r="HD24" s="749"/>
      <c r="HE24" s="749"/>
      <c r="HF24" s="749"/>
      <c r="HG24" s="749"/>
      <c r="HH24" s="749"/>
      <c r="HI24" s="749"/>
      <c r="HJ24" s="749"/>
      <c r="HK24" s="749"/>
      <c r="HL24" s="749"/>
      <c r="HM24" s="749"/>
    </row>
    <row r="25" spans="1:221" ht="12.75">
      <c r="A25" s="770"/>
      <c r="B25" s="852" t="s">
        <v>6929</v>
      </c>
      <c r="C25" s="879"/>
      <c r="D25" s="885" t="e">
        <f t="shared" ref="D25:D26" si="8">E25/$E$27</f>
        <v>#DIV/0!</v>
      </c>
      <c r="E25" s="879">
        <f t="shared" si="6"/>
        <v>0</v>
      </c>
      <c r="F25" s="876" t="e">
        <f t="shared" ref="F25:F26" si="9">G25/$G$27</f>
        <v>#DIV/0!</v>
      </c>
      <c r="G25" s="879">
        <f t="shared" si="7"/>
        <v>0</v>
      </c>
      <c r="H25" s="876" t="str">
        <f>'TAB 3 Project Cost'!F19</f>
        <v/>
      </c>
      <c r="I25" s="879">
        <f>'TAB 3 Project Cost'!G19</f>
        <v>0</v>
      </c>
      <c r="J25" s="876" t="str">
        <f>'TAB 3 Project Cost'!F50</f>
        <v/>
      </c>
      <c r="K25" s="879">
        <f>'TAB 3 Project Cost'!G50</f>
        <v>0</v>
      </c>
      <c r="L25" s="876" t="str">
        <f>'TAB 3 Project Cost'!F95</f>
        <v/>
      </c>
      <c r="M25" s="879">
        <f>'TAB 3 Project Cost'!G95</f>
        <v>0</v>
      </c>
      <c r="N25" s="868"/>
      <c r="O25" s="851"/>
      <c r="P25" s="923">
        <f>'TAB 3 Project Cost'!AC49</f>
        <v>0</v>
      </c>
      <c r="Q25" s="924">
        <f>'TAB 3 Project Cost'!AD49</f>
        <v>0</v>
      </c>
      <c r="R25" s="925">
        <f>'TAB 3 Project Cost'!AE49</f>
        <v>0</v>
      </c>
      <c r="S25" s="995">
        <f>'TAB 3 Project Cost'!AA94</f>
        <v>0</v>
      </c>
      <c r="T25" s="996">
        <f>'TAB 3 Project Cost'!AB94</f>
        <v>0</v>
      </c>
      <c r="U25" s="996">
        <f>'TAB 3 Project Cost'!AC94</f>
        <v>0</v>
      </c>
      <c r="V25" s="997">
        <f>'TAB 3 Project Cost'!AD94</f>
        <v>0</v>
      </c>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49"/>
      <c r="AW25" s="749"/>
      <c r="AX25" s="749"/>
      <c r="AY25" s="749"/>
      <c r="AZ25" s="749"/>
      <c r="BA25" s="749"/>
      <c r="BB25" s="749"/>
      <c r="BC25" s="749"/>
      <c r="BD25" s="749"/>
      <c r="BE25" s="749"/>
      <c r="BF25" s="749"/>
      <c r="BG25" s="749"/>
      <c r="BH25" s="749"/>
      <c r="BI25" s="749"/>
      <c r="BJ25" s="749"/>
      <c r="BK25" s="749"/>
      <c r="BL25" s="749"/>
      <c r="BM25" s="749"/>
      <c r="BN25" s="749"/>
      <c r="BO25" s="749"/>
      <c r="BP25" s="749"/>
      <c r="BQ25" s="749"/>
      <c r="BR25" s="749"/>
      <c r="BS25" s="749"/>
      <c r="BT25" s="749"/>
      <c r="BU25" s="749"/>
      <c r="BV25" s="749"/>
      <c r="BW25" s="749"/>
      <c r="BX25" s="749"/>
      <c r="BY25" s="749"/>
      <c r="BZ25" s="749"/>
      <c r="CA25" s="749"/>
      <c r="CB25" s="749"/>
      <c r="CC25" s="749"/>
      <c r="CD25" s="749"/>
      <c r="CE25" s="749"/>
      <c r="CF25" s="749"/>
      <c r="CG25" s="749"/>
      <c r="CH25" s="749"/>
      <c r="CI25" s="749"/>
      <c r="CJ25" s="749"/>
      <c r="CK25" s="749"/>
      <c r="CL25" s="749"/>
      <c r="CM25" s="749"/>
      <c r="CN25" s="749"/>
      <c r="CO25" s="749"/>
      <c r="CP25" s="749"/>
      <c r="CQ25" s="749"/>
      <c r="CR25" s="749"/>
      <c r="CS25" s="749"/>
      <c r="CT25" s="749"/>
      <c r="CU25" s="749"/>
      <c r="CV25" s="749"/>
      <c r="CW25" s="749"/>
      <c r="CX25" s="749"/>
      <c r="CY25" s="749"/>
      <c r="CZ25" s="749"/>
      <c r="DA25" s="749"/>
      <c r="DB25" s="749"/>
      <c r="DC25" s="749"/>
      <c r="DD25" s="749"/>
      <c r="DE25" s="749"/>
      <c r="DF25" s="749"/>
      <c r="DG25" s="749"/>
      <c r="DH25" s="749"/>
      <c r="DI25" s="749"/>
      <c r="DJ25" s="749"/>
      <c r="DK25" s="749"/>
      <c r="DL25" s="749"/>
      <c r="DM25" s="749"/>
      <c r="DN25" s="749"/>
      <c r="DO25" s="749"/>
      <c r="DP25" s="749"/>
      <c r="DQ25" s="749"/>
      <c r="DR25" s="749"/>
      <c r="DS25" s="749"/>
      <c r="DT25" s="749"/>
      <c r="DU25" s="749"/>
      <c r="DV25" s="749"/>
      <c r="DW25" s="749"/>
      <c r="DX25" s="749"/>
      <c r="DY25" s="749"/>
      <c r="DZ25" s="749"/>
      <c r="EA25" s="749"/>
      <c r="EB25" s="749"/>
      <c r="EC25" s="749"/>
      <c r="ED25" s="749"/>
      <c r="EE25" s="749"/>
      <c r="EF25" s="749"/>
      <c r="EG25" s="749"/>
      <c r="EH25" s="749"/>
      <c r="EI25" s="749"/>
      <c r="EJ25" s="749"/>
      <c r="EK25" s="749"/>
      <c r="EL25" s="749"/>
      <c r="EM25" s="749"/>
      <c r="EN25" s="749"/>
      <c r="EO25" s="749"/>
      <c r="EP25" s="749"/>
      <c r="EQ25" s="749"/>
      <c r="ER25" s="749"/>
      <c r="ES25" s="749"/>
      <c r="ET25" s="749"/>
      <c r="EU25" s="749"/>
      <c r="EV25" s="749"/>
      <c r="EW25" s="749"/>
      <c r="EX25" s="749"/>
      <c r="EY25" s="749"/>
      <c r="EZ25" s="749"/>
      <c r="FA25" s="749"/>
      <c r="FB25" s="749"/>
      <c r="FC25" s="749"/>
      <c r="FD25" s="749"/>
      <c r="FE25" s="749"/>
      <c r="FF25" s="749"/>
      <c r="FG25" s="749"/>
      <c r="FH25" s="749"/>
      <c r="FI25" s="749"/>
      <c r="FJ25" s="749"/>
      <c r="FK25" s="749"/>
      <c r="FL25" s="749"/>
      <c r="FM25" s="749"/>
      <c r="FN25" s="749"/>
      <c r="FO25" s="749"/>
      <c r="FP25" s="749"/>
      <c r="FQ25" s="749"/>
      <c r="FR25" s="749"/>
      <c r="FS25" s="749"/>
      <c r="FT25" s="749"/>
      <c r="FU25" s="749"/>
      <c r="FV25" s="749"/>
      <c r="FW25" s="749"/>
      <c r="FX25" s="749"/>
      <c r="FY25" s="749"/>
      <c r="FZ25" s="749"/>
      <c r="GA25" s="749"/>
      <c r="GB25" s="749"/>
      <c r="GC25" s="749"/>
      <c r="GD25" s="749"/>
      <c r="GE25" s="749"/>
      <c r="GF25" s="749"/>
      <c r="GG25" s="749"/>
      <c r="GH25" s="749"/>
      <c r="GI25" s="749"/>
      <c r="GJ25" s="749"/>
      <c r="GK25" s="749"/>
      <c r="GL25" s="749"/>
      <c r="GM25" s="749"/>
      <c r="GN25" s="749"/>
      <c r="GO25" s="749"/>
      <c r="GP25" s="749"/>
      <c r="GQ25" s="749"/>
      <c r="GR25" s="749"/>
      <c r="GS25" s="749"/>
      <c r="GT25" s="749"/>
      <c r="GU25" s="749"/>
      <c r="GV25" s="749"/>
      <c r="GW25" s="749"/>
      <c r="GX25" s="749"/>
      <c r="GY25" s="749"/>
      <c r="GZ25" s="749"/>
      <c r="HA25" s="749"/>
      <c r="HB25" s="749"/>
      <c r="HC25" s="749"/>
      <c r="HD25" s="749"/>
      <c r="HE25" s="749"/>
      <c r="HF25" s="749"/>
      <c r="HG25" s="749"/>
      <c r="HH25" s="749"/>
      <c r="HI25" s="749"/>
      <c r="HJ25" s="749"/>
      <c r="HK25" s="749"/>
      <c r="HL25" s="749"/>
      <c r="HM25" s="749"/>
    </row>
    <row r="26" spans="1:221" ht="12.75">
      <c r="A26" s="770"/>
      <c r="B26" s="852" t="s">
        <v>6930</v>
      </c>
      <c r="C26" s="879"/>
      <c r="D26" s="885" t="e">
        <f t="shared" si="8"/>
        <v>#DIV/0!</v>
      </c>
      <c r="E26" s="879">
        <f t="shared" si="6"/>
        <v>0</v>
      </c>
      <c r="F26" s="876" t="e">
        <f t="shared" si="9"/>
        <v>#DIV/0!</v>
      </c>
      <c r="G26" s="879">
        <f t="shared" si="7"/>
        <v>0</v>
      </c>
      <c r="H26" s="876" t="str">
        <f>'TAB 3 Project Cost'!F18</f>
        <v/>
      </c>
      <c r="I26" s="879">
        <f>'TAB 3 Project Cost'!G18</f>
        <v>0</v>
      </c>
      <c r="J26" s="876" t="str">
        <f>'TAB 3 Project Cost'!F49</f>
        <v/>
      </c>
      <c r="K26" s="879">
        <f>'TAB 3 Project Cost'!G49</f>
        <v>0</v>
      </c>
      <c r="L26" s="876" t="str">
        <f>'TAB 3 Project Cost'!F94</f>
        <v/>
      </c>
      <c r="M26" s="879">
        <f>'TAB 3 Project Cost'!G94</f>
        <v>0</v>
      </c>
      <c r="N26" s="868"/>
      <c r="O26" s="851"/>
      <c r="P26" s="923">
        <f>'TAB 3 Project Cost'!AC50</f>
        <v>0</v>
      </c>
      <c r="Q26" s="924">
        <f>'TAB 3 Project Cost'!AD50</f>
        <v>0</v>
      </c>
      <c r="R26" s="925">
        <f>'TAB 3 Project Cost'!AE50</f>
        <v>0</v>
      </c>
      <c r="S26" s="995">
        <f>'TAB 3 Project Cost'!AA95</f>
        <v>0</v>
      </c>
      <c r="T26" s="996">
        <f>'TAB 3 Project Cost'!AB95</f>
        <v>0</v>
      </c>
      <c r="U26" s="996">
        <f>'TAB 3 Project Cost'!AC95</f>
        <v>0</v>
      </c>
      <c r="V26" s="997">
        <f>'TAB 3 Project Cost'!AD95</f>
        <v>0</v>
      </c>
      <c r="W26" s="749"/>
      <c r="X26" s="749"/>
      <c r="Y26" s="749"/>
      <c r="Z26" s="749"/>
      <c r="AA26" s="749"/>
      <c r="AB26" s="749"/>
      <c r="AC26" s="749"/>
      <c r="AD26" s="749"/>
      <c r="AE26" s="749"/>
      <c r="AF26" s="749"/>
      <c r="AG26" s="749"/>
      <c r="AH26" s="749"/>
      <c r="AI26" s="749"/>
      <c r="AJ26" s="749"/>
      <c r="AK26" s="749"/>
      <c r="AL26" s="749"/>
      <c r="AM26" s="749"/>
      <c r="AN26" s="749"/>
      <c r="AO26" s="749"/>
      <c r="AP26" s="749"/>
      <c r="AQ26" s="749"/>
      <c r="AR26" s="749"/>
      <c r="AS26" s="749"/>
      <c r="AT26" s="749"/>
      <c r="AU26" s="749"/>
      <c r="AV26" s="749"/>
      <c r="AW26" s="749"/>
      <c r="AX26" s="749"/>
      <c r="AY26" s="749"/>
      <c r="AZ26" s="749"/>
      <c r="BA26" s="749"/>
      <c r="BB26" s="749"/>
      <c r="BC26" s="749"/>
      <c r="BD26" s="749"/>
      <c r="BE26" s="749"/>
      <c r="BF26" s="749"/>
      <c r="BG26" s="749"/>
      <c r="BH26" s="749"/>
      <c r="BI26" s="749"/>
      <c r="BJ26" s="749"/>
      <c r="BK26" s="749"/>
      <c r="BL26" s="749"/>
      <c r="BM26" s="749"/>
      <c r="BN26" s="749"/>
      <c r="BO26" s="749"/>
      <c r="BP26" s="749"/>
      <c r="BQ26" s="749"/>
      <c r="BR26" s="749"/>
      <c r="BS26" s="749"/>
      <c r="BT26" s="749"/>
      <c r="BU26" s="749"/>
      <c r="BV26" s="749"/>
      <c r="BW26" s="749"/>
      <c r="BX26" s="749"/>
      <c r="BY26" s="749"/>
      <c r="BZ26" s="749"/>
      <c r="CA26" s="749"/>
      <c r="CB26" s="749"/>
      <c r="CC26" s="749"/>
      <c r="CD26" s="749"/>
      <c r="CE26" s="749"/>
      <c r="CF26" s="749"/>
      <c r="CG26" s="749"/>
      <c r="CH26" s="749"/>
      <c r="CI26" s="749"/>
      <c r="CJ26" s="749"/>
      <c r="CK26" s="749"/>
      <c r="CL26" s="749"/>
      <c r="CM26" s="749"/>
      <c r="CN26" s="749"/>
      <c r="CO26" s="749"/>
      <c r="CP26" s="749"/>
      <c r="CQ26" s="749"/>
      <c r="CR26" s="749"/>
      <c r="CS26" s="749"/>
      <c r="CT26" s="749"/>
      <c r="CU26" s="749"/>
      <c r="CV26" s="749"/>
      <c r="CW26" s="749"/>
      <c r="CX26" s="749"/>
      <c r="CY26" s="749"/>
      <c r="CZ26" s="749"/>
      <c r="DA26" s="749"/>
      <c r="DB26" s="749"/>
      <c r="DC26" s="749"/>
      <c r="DD26" s="749"/>
      <c r="DE26" s="749"/>
      <c r="DF26" s="749"/>
      <c r="DG26" s="749"/>
      <c r="DH26" s="749"/>
      <c r="DI26" s="749"/>
      <c r="DJ26" s="749"/>
      <c r="DK26" s="749"/>
      <c r="DL26" s="749"/>
      <c r="DM26" s="749"/>
      <c r="DN26" s="749"/>
      <c r="DO26" s="749"/>
      <c r="DP26" s="749"/>
      <c r="DQ26" s="749"/>
      <c r="DR26" s="749"/>
      <c r="DS26" s="749"/>
      <c r="DT26" s="749"/>
      <c r="DU26" s="749"/>
      <c r="DV26" s="749"/>
      <c r="DW26" s="749"/>
      <c r="DX26" s="749"/>
      <c r="DY26" s="749"/>
      <c r="DZ26" s="749"/>
      <c r="EA26" s="749"/>
      <c r="EB26" s="749"/>
      <c r="EC26" s="749"/>
      <c r="ED26" s="749"/>
      <c r="EE26" s="749"/>
      <c r="EF26" s="749"/>
      <c r="EG26" s="749"/>
      <c r="EH26" s="749"/>
      <c r="EI26" s="749"/>
      <c r="EJ26" s="749"/>
      <c r="EK26" s="749"/>
      <c r="EL26" s="749"/>
      <c r="EM26" s="749"/>
      <c r="EN26" s="749"/>
      <c r="EO26" s="749"/>
      <c r="EP26" s="749"/>
      <c r="EQ26" s="749"/>
      <c r="ER26" s="749"/>
      <c r="ES26" s="749"/>
      <c r="ET26" s="749"/>
      <c r="EU26" s="749"/>
      <c r="EV26" s="749"/>
      <c r="EW26" s="749"/>
      <c r="EX26" s="749"/>
      <c r="EY26" s="749"/>
      <c r="EZ26" s="749"/>
      <c r="FA26" s="749"/>
      <c r="FB26" s="749"/>
      <c r="FC26" s="749"/>
      <c r="FD26" s="749"/>
      <c r="FE26" s="749"/>
      <c r="FF26" s="749"/>
      <c r="FG26" s="749"/>
      <c r="FH26" s="749"/>
      <c r="FI26" s="749"/>
      <c r="FJ26" s="749"/>
      <c r="FK26" s="749"/>
      <c r="FL26" s="749"/>
      <c r="FM26" s="749"/>
      <c r="FN26" s="749"/>
      <c r="FO26" s="749"/>
      <c r="FP26" s="749"/>
      <c r="FQ26" s="749"/>
      <c r="FR26" s="749"/>
      <c r="FS26" s="749"/>
      <c r="FT26" s="749"/>
      <c r="FU26" s="749"/>
      <c r="FV26" s="749"/>
      <c r="FW26" s="749"/>
      <c r="FX26" s="749"/>
      <c r="FY26" s="749"/>
      <c r="FZ26" s="749"/>
      <c r="GA26" s="749"/>
      <c r="GB26" s="749"/>
      <c r="GC26" s="749"/>
      <c r="GD26" s="749"/>
      <c r="GE26" s="749"/>
      <c r="GF26" s="749"/>
      <c r="GG26" s="749"/>
      <c r="GH26" s="749"/>
      <c r="GI26" s="749"/>
      <c r="GJ26" s="749"/>
      <c r="GK26" s="749"/>
      <c r="GL26" s="749"/>
      <c r="GM26" s="749"/>
      <c r="GN26" s="749"/>
      <c r="GO26" s="749"/>
      <c r="GP26" s="749"/>
      <c r="GQ26" s="749"/>
      <c r="GR26" s="749"/>
      <c r="GS26" s="749"/>
      <c r="GT26" s="749"/>
      <c r="GU26" s="749"/>
      <c r="GV26" s="749"/>
      <c r="GW26" s="749"/>
      <c r="GX26" s="749"/>
      <c r="GY26" s="749"/>
      <c r="GZ26" s="749"/>
      <c r="HA26" s="749"/>
      <c r="HB26" s="749"/>
      <c r="HC26" s="749"/>
      <c r="HD26" s="749"/>
      <c r="HE26" s="749"/>
      <c r="HF26" s="749"/>
      <c r="HG26" s="749"/>
      <c r="HH26" s="749"/>
      <c r="HI26" s="749"/>
      <c r="HJ26" s="749"/>
      <c r="HK26" s="749"/>
      <c r="HL26" s="749"/>
      <c r="HM26" s="749"/>
    </row>
    <row r="27" spans="1:221" ht="12.75">
      <c r="A27" s="3"/>
      <c r="B27" s="853" t="s">
        <v>6719</v>
      </c>
      <c r="C27" s="881"/>
      <c r="D27" s="894"/>
      <c r="E27" s="879">
        <f>G27+M27+N27+O27</f>
        <v>0</v>
      </c>
      <c r="F27" s="880"/>
      <c r="G27" s="892">
        <f>I27+K27</f>
        <v>0</v>
      </c>
      <c r="H27" s="880"/>
      <c r="I27" s="881">
        <f>'TAB 3 Project Cost'!G20</f>
        <v>0</v>
      </c>
      <c r="J27" s="880"/>
      <c r="K27" s="881">
        <f>'TAB 3 Project Cost'!G51</f>
        <v>0</v>
      </c>
      <c r="L27" s="880"/>
      <c r="M27" s="881">
        <f>'TAB 3 Project Cost'!G96</f>
        <v>0</v>
      </c>
      <c r="N27" s="868"/>
      <c r="O27" s="851"/>
      <c r="P27" s="926">
        <f>'TAB 3 Project Cost'!AC51</f>
        <v>0</v>
      </c>
      <c r="Q27" s="927">
        <f>'TAB 3 Project Cost'!AD51</f>
        <v>0</v>
      </c>
      <c r="R27" s="928">
        <f>'TAB 3 Project Cost'!AE51</f>
        <v>0</v>
      </c>
      <c r="S27" s="1001">
        <f>'TAB 3 Project Cost'!AA96</f>
        <v>0</v>
      </c>
      <c r="T27" s="1002">
        <f>'TAB 3 Project Cost'!AB96</f>
        <v>0</v>
      </c>
      <c r="U27" s="1002">
        <f>'TAB 3 Project Cost'!AC96</f>
        <v>0</v>
      </c>
      <c r="V27" s="1003">
        <f>'TAB 3 Project Cost'!AD96</f>
        <v>0</v>
      </c>
      <c r="W27" s="749"/>
      <c r="X27" s="749"/>
      <c r="Y27" s="749"/>
      <c r="Z27" s="749"/>
      <c r="AA27" s="749"/>
      <c r="AB27" s="749"/>
      <c r="AC27" s="749"/>
      <c r="AD27" s="749"/>
      <c r="AE27" s="749"/>
      <c r="AF27" s="749"/>
      <c r="AG27" s="749"/>
      <c r="AH27" s="749"/>
      <c r="AI27" s="749"/>
      <c r="AJ27" s="749"/>
      <c r="AK27" s="749"/>
      <c r="AL27" s="749"/>
      <c r="AM27" s="749"/>
      <c r="AN27" s="749"/>
      <c r="AO27" s="749"/>
      <c r="AP27" s="749"/>
      <c r="AQ27" s="749"/>
      <c r="AR27" s="749"/>
      <c r="AS27" s="749"/>
      <c r="AT27" s="749"/>
      <c r="AU27" s="749"/>
      <c r="AV27" s="749"/>
      <c r="AW27" s="749"/>
      <c r="AX27" s="749"/>
      <c r="AY27" s="749"/>
      <c r="AZ27" s="749"/>
      <c r="BA27" s="749"/>
      <c r="BB27" s="749"/>
      <c r="BC27" s="749"/>
      <c r="BD27" s="749"/>
      <c r="BE27" s="749"/>
      <c r="BF27" s="749"/>
      <c r="BG27" s="749"/>
      <c r="BH27" s="749"/>
      <c r="BI27" s="749"/>
      <c r="BJ27" s="749"/>
      <c r="BK27" s="749"/>
      <c r="BL27" s="749"/>
      <c r="BM27" s="749"/>
      <c r="BN27" s="749"/>
      <c r="BO27" s="749"/>
      <c r="BP27" s="749"/>
      <c r="BQ27" s="749"/>
      <c r="BR27" s="749"/>
      <c r="BS27" s="749"/>
      <c r="BT27" s="749"/>
      <c r="BU27" s="749"/>
      <c r="BV27" s="749"/>
      <c r="BW27" s="749"/>
      <c r="BX27" s="749"/>
      <c r="BY27" s="749"/>
      <c r="BZ27" s="749"/>
      <c r="CA27" s="749"/>
      <c r="CB27" s="749"/>
      <c r="CC27" s="749"/>
      <c r="CD27" s="749"/>
      <c r="CE27" s="749"/>
      <c r="CF27" s="749"/>
      <c r="CG27" s="749"/>
      <c r="CH27" s="749"/>
      <c r="CI27" s="749"/>
      <c r="CJ27" s="749"/>
      <c r="CK27" s="749"/>
      <c r="CL27" s="749"/>
      <c r="CM27" s="749"/>
      <c r="CN27" s="749"/>
      <c r="CO27" s="749"/>
      <c r="CP27" s="749"/>
      <c r="CQ27" s="749"/>
      <c r="CR27" s="749"/>
      <c r="CS27" s="749"/>
      <c r="CT27" s="749"/>
      <c r="CU27" s="749"/>
      <c r="CV27" s="749"/>
      <c r="CW27" s="749"/>
      <c r="CX27" s="749"/>
      <c r="CY27" s="749"/>
      <c r="CZ27" s="749"/>
      <c r="DA27" s="749"/>
      <c r="DB27" s="749"/>
      <c r="DC27" s="749"/>
      <c r="DD27" s="749"/>
      <c r="DE27" s="749"/>
      <c r="DF27" s="749"/>
      <c r="DG27" s="749"/>
      <c r="DH27" s="749"/>
      <c r="DI27" s="749"/>
      <c r="DJ27" s="749"/>
      <c r="DK27" s="749"/>
      <c r="DL27" s="749"/>
      <c r="DM27" s="749"/>
      <c r="DN27" s="749"/>
      <c r="DO27" s="749"/>
      <c r="DP27" s="749"/>
      <c r="DQ27" s="749"/>
      <c r="DR27" s="749"/>
      <c r="DS27" s="749"/>
      <c r="DT27" s="749"/>
      <c r="DU27" s="749"/>
      <c r="DV27" s="749"/>
      <c r="DW27" s="749"/>
      <c r="DX27" s="749"/>
      <c r="DY27" s="749"/>
      <c r="DZ27" s="749"/>
      <c r="EA27" s="749"/>
      <c r="EB27" s="749"/>
      <c r="EC27" s="749"/>
      <c r="ED27" s="749"/>
      <c r="EE27" s="749"/>
      <c r="EF27" s="749"/>
      <c r="EG27" s="749"/>
      <c r="EH27" s="749"/>
      <c r="EI27" s="749"/>
      <c r="EJ27" s="749"/>
      <c r="EK27" s="749"/>
      <c r="EL27" s="749"/>
      <c r="EM27" s="749"/>
      <c r="EN27" s="749"/>
      <c r="EO27" s="749"/>
      <c r="EP27" s="749"/>
      <c r="EQ27" s="749"/>
      <c r="ER27" s="749"/>
      <c r="ES27" s="749"/>
      <c r="ET27" s="749"/>
      <c r="EU27" s="749"/>
      <c r="EV27" s="749"/>
      <c r="EW27" s="749"/>
      <c r="EX27" s="749"/>
      <c r="EY27" s="749"/>
      <c r="EZ27" s="749"/>
      <c r="FA27" s="749"/>
      <c r="FB27" s="749"/>
      <c r="FC27" s="749"/>
      <c r="FD27" s="749"/>
      <c r="FE27" s="749"/>
      <c r="FF27" s="749"/>
      <c r="FG27" s="749"/>
      <c r="FH27" s="749"/>
      <c r="FI27" s="749"/>
      <c r="FJ27" s="749"/>
      <c r="FK27" s="749"/>
      <c r="FL27" s="749"/>
      <c r="FM27" s="749"/>
      <c r="FN27" s="749"/>
      <c r="FO27" s="749"/>
      <c r="FP27" s="749"/>
      <c r="FQ27" s="749"/>
      <c r="FR27" s="749"/>
      <c r="FS27" s="749"/>
      <c r="FT27" s="749"/>
      <c r="FU27" s="749"/>
      <c r="FV27" s="749"/>
      <c r="FW27" s="749"/>
      <c r="FX27" s="749"/>
      <c r="FY27" s="749"/>
      <c r="FZ27" s="749"/>
      <c r="GA27" s="749"/>
      <c r="GB27" s="749"/>
      <c r="GC27" s="749"/>
      <c r="GD27" s="749"/>
      <c r="GE27" s="749"/>
      <c r="GF27" s="749"/>
      <c r="GG27" s="749"/>
      <c r="GH27" s="749"/>
      <c r="GI27" s="749"/>
      <c r="GJ27" s="749"/>
      <c r="GK27" s="749"/>
      <c r="GL27" s="749"/>
      <c r="GM27" s="749"/>
      <c r="GN27" s="749"/>
      <c r="GO27" s="749"/>
      <c r="GP27" s="749"/>
      <c r="GQ27" s="749"/>
      <c r="GR27" s="749"/>
      <c r="GS27" s="749"/>
      <c r="GT27" s="749"/>
      <c r="GU27" s="749"/>
      <c r="GV27" s="749"/>
      <c r="GW27" s="749"/>
      <c r="GX27" s="749"/>
      <c r="GY27" s="749"/>
      <c r="GZ27" s="749"/>
      <c r="HA27" s="749"/>
      <c r="HB27" s="749"/>
      <c r="HC27" s="749"/>
      <c r="HD27" s="749"/>
      <c r="HE27" s="749"/>
      <c r="HF27" s="749"/>
      <c r="HG27" s="749"/>
      <c r="HH27" s="749"/>
      <c r="HI27" s="749"/>
      <c r="HJ27" s="749"/>
      <c r="HK27" s="749"/>
      <c r="HL27" s="749"/>
      <c r="HM27" s="749"/>
    </row>
    <row r="28" spans="1:221" ht="12.75">
      <c r="A28" s="3"/>
      <c r="B28" s="849"/>
      <c r="C28" s="838"/>
      <c r="D28" s="836"/>
      <c r="E28" s="838"/>
      <c r="F28" s="872"/>
      <c r="G28" s="838"/>
      <c r="H28" s="872"/>
      <c r="I28" s="838"/>
      <c r="J28" s="872"/>
      <c r="K28" s="838"/>
      <c r="L28" s="872"/>
      <c r="M28" s="838"/>
      <c r="N28" s="836"/>
      <c r="O28" s="844"/>
      <c r="P28" s="920"/>
      <c r="Q28" s="921"/>
      <c r="R28" s="922"/>
      <c r="S28" s="998"/>
      <c r="T28" s="999"/>
      <c r="U28" s="999"/>
      <c r="V28" s="1000"/>
      <c r="W28" s="749"/>
      <c r="X28" s="749"/>
      <c r="Y28" s="749"/>
      <c r="Z28" s="749"/>
      <c r="AA28" s="749"/>
      <c r="AB28" s="749"/>
      <c r="AC28" s="749"/>
      <c r="AD28" s="749"/>
      <c r="AE28" s="749"/>
      <c r="AF28" s="749"/>
      <c r="AG28" s="749"/>
      <c r="AH28" s="749"/>
      <c r="AI28" s="749"/>
      <c r="AJ28" s="749"/>
      <c r="AK28" s="749"/>
      <c r="AL28" s="749"/>
      <c r="AM28" s="749"/>
      <c r="AN28" s="749"/>
      <c r="AO28" s="749"/>
      <c r="AP28" s="749"/>
      <c r="AQ28" s="749"/>
      <c r="AR28" s="749"/>
      <c r="AS28" s="749"/>
      <c r="AT28" s="749"/>
      <c r="AU28" s="749"/>
      <c r="AV28" s="749"/>
      <c r="AW28" s="749"/>
      <c r="AX28" s="749"/>
      <c r="AY28" s="749"/>
      <c r="AZ28" s="749"/>
      <c r="BA28" s="749"/>
      <c r="BB28" s="749"/>
      <c r="BC28" s="749"/>
      <c r="BD28" s="749"/>
      <c r="BE28" s="749"/>
      <c r="BF28" s="749"/>
      <c r="BG28" s="749"/>
      <c r="BH28" s="749"/>
      <c r="BI28" s="749"/>
      <c r="BJ28" s="749"/>
      <c r="BK28" s="749"/>
      <c r="BL28" s="749"/>
      <c r="BM28" s="749"/>
      <c r="BN28" s="749"/>
      <c r="BO28" s="749"/>
      <c r="BP28" s="749"/>
      <c r="BQ28" s="749"/>
      <c r="BR28" s="749"/>
      <c r="BS28" s="749"/>
      <c r="BT28" s="749"/>
      <c r="BU28" s="749"/>
      <c r="BV28" s="749"/>
      <c r="BW28" s="749"/>
      <c r="BX28" s="749"/>
      <c r="BY28" s="749"/>
      <c r="BZ28" s="749"/>
      <c r="CA28" s="749"/>
      <c r="CB28" s="749"/>
      <c r="CC28" s="749"/>
      <c r="CD28" s="749"/>
      <c r="CE28" s="749"/>
      <c r="CF28" s="749"/>
      <c r="CG28" s="749"/>
      <c r="CH28" s="749"/>
      <c r="CI28" s="749"/>
      <c r="CJ28" s="749"/>
      <c r="CK28" s="749"/>
      <c r="CL28" s="749"/>
      <c r="CM28" s="749"/>
      <c r="CN28" s="749"/>
      <c r="CO28" s="749"/>
      <c r="CP28" s="749"/>
      <c r="CQ28" s="749"/>
      <c r="CR28" s="749"/>
      <c r="CS28" s="749"/>
      <c r="CT28" s="749"/>
      <c r="CU28" s="749"/>
      <c r="CV28" s="749"/>
      <c r="CW28" s="749"/>
      <c r="CX28" s="749"/>
      <c r="CY28" s="749"/>
      <c r="CZ28" s="749"/>
      <c r="DA28" s="749"/>
      <c r="DB28" s="749"/>
      <c r="DC28" s="749"/>
      <c r="DD28" s="749"/>
      <c r="DE28" s="749"/>
      <c r="DF28" s="749"/>
      <c r="DG28" s="749"/>
      <c r="DH28" s="749"/>
      <c r="DI28" s="749"/>
      <c r="DJ28" s="749"/>
      <c r="DK28" s="749"/>
      <c r="DL28" s="749"/>
      <c r="DM28" s="749"/>
      <c r="DN28" s="749"/>
      <c r="DO28" s="749"/>
      <c r="DP28" s="749"/>
      <c r="DQ28" s="749"/>
      <c r="DR28" s="749"/>
      <c r="DS28" s="749"/>
      <c r="DT28" s="749"/>
      <c r="DU28" s="749"/>
      <c r="DV28" s="749"/>
      <c r="DW28" s="749"/>
      <c r="DX28" s="749"/>
      <c r="DY28" s="749"/>
      <c r="DZ28" s="749"/>
      <c r="EA28" s="749"/>
      <c r="EB28" s="749"/>
      <c r="EC28" s="749"/>
      <c r="ED28" s="749"/>
      <c r="EE28" s="749"/>
      <c r="EF28" s="749"/>
      <c r="EG28" s="749"/>
      <c r="EH28" s="749"/>
      <c r="EI28" s="749"/>
      <c r="EJ28" s="749"/>
      <c r="EK28" s="749"/>
      <c r="EL28" s="749"/>
      <c r="EM28" s="749"/>
      <c r="EN28" s="749"/>
      <c r="EO28" s="749"/>
      <c r="EP28" s="749"/>
      <c r="EQ28" s="749"/>
      <c r="ER28" s="749"/>
      <c r="ES28" s="749"/>
      <c r="ET28" s="749"/>
      <c r="EU28" s="749"/>
      <c r="EV28" s="749"/>
      <c r="EW28" s="749"/>
      <c r="EX28" s="749"/>
      <c r="EY28" s="749"/>
      <c r="EZ28" s="749"/>
      <c r="FA28" s="749"/>
      <c r="FB28" s="749"/>
      <c r="FC28" s="749"/>
      <c r="FD28" s="749"/>
      <c r="FE28" s="749"/>
      <c r="FF28" s="749"/>
      <c r="FG28" s="749"/>
      <c r="FH28" s="749"/>
      <c r="FI28" s="749"/>
      <c r="FJ28" s="749"/>
      <c r="FK28" s="749"/>
      <c r="FL28" s="749"/>
      <c r="FM28" s="749"/>
      <c r="FN28" s="749"/>
      <c r="FO28" s="749"/>
      <c r="FP28" s="749"/>
      <c r="FQ28" s="749"/>
      <c r="FR28" s="749"/>
      <c r="FS28" s="749"/>
      <c r="FT28" s="749"/>
      <c r="FU28" s="749"/>
      <c r="FV28" s="749"/>
      <c r="FW28" s="749"/>
      <c r="FX28" s="749"/>
      <c r="FY28" s="749"/>
      <c r="FZ28" s="749"/>
      <c r="GA28" s="749"/>
      <c r="GB28" s="749"/>
      <c r="GC28" s="749"/>
      <c r="GD28" s="749"/>
      <c r="GE28" s="749"/>
      <c r="GF28" s="749"/>
      <c r="GG28" s="749"/>
      <c r="GH28" s="749"/>
      <c r="GI28" s="749"/>
      <c r="GJ28" s="749"/>
      <c r="GK28" s="749"/>
      <c r="GL28" s="749"/>
      <c r="GM28" s="749"/>
      <c r="GN28" s="749"/>
      <c r="GO28" s="749"/>
      <c r="GP28" s="749"/>
      <c r="GQ28" s="749"/>
      <c r="GR28" s="749"/>
      <c r="GS28" s="749"/>
      <c r="GT28" s="749"/>
      <c r="GU28" s="749"/>
      <c r="GV28" s="749"/>
      <c r="GW28" s="749"/>
      <c r="GX28" s="749"/>
      <c r="GY28" s="749"/>
      <c r="GZ28" s="749"/>
      <c r="HA28" s="749"/>
      <c r="HB28" s="749"/>
      <c r="HC28" s="749"/>
      <c r="HD28" s="749"/>
      <c r="HE28" s="749"/>
      <c r="HF28" s="749"/>
      <c r="HG28" s="749"/>
      <c r="HH28" s="749"/>
      <c r="HI28" s="749"/>
      <c r="HJ28" s="749"/>
      <c r="HK28" s="749"/>
      <c r="HL28" s="749"/>
      <c r="HM28" s="749"/>
    </row>
    <row r="29" spans="1:221" ht="12.75">
      <c r="A29" s="3"/>
      <c r="B29" s="849"/>
      <c r="C29" s="838"/>
      <c r="D29" s="836"/>
      <c r="E29" s="838"/>
      <c r="F29" s="872"/>
      <c r="G29" s="838"/>
      <c r="H29" s="872"/>
      <c r="I29" s="838"/>
      <c r="J29" s="872"/>
      <c r="K29" s="838"/>
      <c r="L29" s="872"/>
      <c r="M29" s="838"/>
      <c r="N29" s="836"/>
      <c r="O29" s="844"/>
      <c r="P29" s="920"/>
      <c r="Q29" s="921"/>
      <c r="R29" s="922"/>
      <c r="S29" s="998"/>
      <c r="T29" s="999"/>
      <c r="U29" s="999"/>
      <c r="V29" s="1000"/>
      <c r="W29" s="749"/>
      <c r="X29" s="749"/>
      <c r="Y29" s="749"/>
      <c r="Z29" s="749"/>
      <c r="AA29" s="749"/>
      <c r="AB29" s="749"/>
      <c r="AC29" s="749"/>
      <c r="AD29" s="749"/>
      <c r="AE29" s="749"/>
      <c r="AF29" s="749"/>
      <c r="AG29" s="749"/>
      <c r="AH29" s="749"/>
      <c r="AI29" s="749"/>
      <c r="AJ29" s="749"/>
      <c r="AK29" s="749"/>
      <c r="AL29" s="749"/>
      <c r="AM29" s="749"/>
      <c r="AN29" s="749"/>
      <c r="AO29" s="749"/>
      <c r="AP29" s="749"/>
      <c r="AQ29" s="749"/>
      <c r="AR29" s="749"/>
      <c r="AS29" s="749"/>
      <c r="AT29" s="749"/>
      <c r="AU29" s="749"/>
      <c r="AV29" s="749"/>
      <c r="AW29" s="749"/>
      <c r="AX29" s="749"/>
      <c r="AY29" s="749"/>
      <c r="AZ29" s="749"/>
      <c r="BA29" s="749"/>
      <c r="BB29" s="749"/>
      <c r="BC29" s="749"/>
      <c r="BD29" s="749"/>
      <c r="BE29" s="749"/>
      <c r="BF29" s="749"/>
      <c r="BG29" s="749"/>
      <c r="BH29" s="749"/>
      <c r="BI29" s="749"/>
      <c r="BJ29" s="749"/>
      <c r="BK29" s="749"/>
      <c r="BL29" s="749"/>
      <c r="BM29" s="749"/>
      <c r="BN29" s="749"/>
      <c r="BO29" s="749"/>
      <c r="BP29" s="749"/>
      <c r="BQ29" s="749"/>
      <c r="BR29" s="749"/>
      <c r="BS29" s="749"/>
      <c r="BT29" s="749"/>
      <c r="BU29" s="749"/>
      <c r="BV29" s="749"/>
      <c r="BW29" s="749"/>
      <c r="BX29" s="749"/>
      <c r="BY29" s="749"/>
      <c r="BZ29" s="749"/>
      <c r="CA29" s="749"/>
      <c r="CB29" s="749"/>
      <c r="CC29" s="749"/>
      <c r="CD29" s="749"/>
      <c r="CE29" s="749"/>
      <c r="CF29" s="749"/>
      <c r="CG29" s="749"/>
      <c r="CH29" s="749"/>
      <c r="CI29" s="749"/>
      <c r="CJ29" s="749"/>
      <c r="CK29" s="749"/>
      <c r="CL29" s="749"/>
      <c r="CM29" s="749"/>
      <c r="CN29" s="749"/>
      <c r="CO29" s="749"/>
      <c r="CP29" s="749"/>
      <c r="CQ29" s="749"/>
      <c r="CR29" s="749"/>
      <c r="CS29" s="749"/>
      <c r="CT29" s="749"/>
      <c r="CU29" s="749"/>
      <c r="CV29" s="749"/>
      <c r="CW29" s="749"/>
      <c r="CX29" s="749"/>
      <c r="CY29" s="749"/>
      <c r="CZ29" s="749"/>
      <c r="DA29" s="749"/>
      <c r="DB29" s="749"/>
      <c r="DC29" s="749"/>
      <c r="DD29" s="749"/>
      <c r="DE29" s="749"/>
      <c r="DF29" s="749"/>
      <c r="DG29" s="749"/>
      <c r="DH29" s="749"/>
      <c r="DI29" s="749"/>
      <c r="DJ29" s="749"/>
      <c r="DK29" s="749"/>
      <c r="DL29" s="749"/>
      <c r="DM29" s="749"/>
      <c r="DN29" s="749"/>
      <c r="DO29" s="749"/>
      <c r="DP29" s="749"/>
      <c r="DQ29" s="749"/>
      <c r="DR29" s="749"/>
      <c r="DS29" s="749"/>
      <c r="DT29" s="749"/>
      <c r="DU29" s="749"/>
      <c r="DV29" s="749"/>
      <c r="DW29" s="749"/>
      <c r="DX29" s="749"/>
      <c r="DY29" s="749"/>
      <c r="DZ29" s="749"/>
      <c r="EA29" s="749"/>
      <c r="EB29" s="749"/>
      <c r="EC29" s="749"/>
      <c r="ED29" s="749"/>
      <c r="EE29" s="749"/>
      <c r="EF29" s="749"/>
      <c r="EG29" s="749"/>
      <c r="EH29" s="749"/>
      <c r="EI29" s="749"/>
      <c r="EJ29" s="749"/>
      <c r="EK29" s="749"/>
      <c r="EL29" s="749"/>
      <c r="EM29" s="749"/>
      <c r="EN29" s="749"/>
      <c r="EO29" s="749"/>
      <c r="EP29" s="749"/>
      <c r="EQ29" s="749"/>
      <c r="ER29" s="749"/>
      <c r="ES29" s="749"/>
      <c r="ET29" s="749"/>
      <c r="EU29" s="749"/>
      <c r="EV29" s="749"/>
      <c r="EW29" s="749"/>
      <c r="EX29" s="749"/>
      <c r="EY29" s="749"/>
      <c r="EZ29" s="749"/>
      <c r="FA29" s="749"/>
      <c r="FB29" s="749"/>
      <c r="FC29" s="749"/>
      <c r="FD29" s="749"/>
      <c r="FE29" s="749"/>
      <c r="FF29" s="749"/>
      <c r="FG29" s="749"/>
      <c r="FH29" s="749"/>
      <c r="FI29" s="749"/>
      <c r="FJ29" s="749"/>
      <c r="FK29" s="749"/>
      <c r="FL29" s="749"/>
      <c r="FM29" s="749"/>
      <c r="FN29" s="749"/>
      <c r="FO29" s="749"/>
      <c r="FP29" s="749"/>
      <c r="FQ29" s="749"/>
      <c r="FR29" s="749"/>
      <c r="FS29" s="749"/>
      <c r="FT29" s="749"/>
      <c r="FU29" s="749"/>
      <c r="FV29" s="749"/>
      <c r="FW29" s="749"/>
      <c r="FX29" s="749"/>
      <c r="FY29" s="749"/>
      <c r="FZ29" s="749"/>
      <c r="GA29" s="749"/>
      <c r="GB29" s="749"/>
      <c r="GC29" s="749"/>
      <c r="GD29" s="749"/>
      <c r="GE29" s="749"/>
      <c r="GF29" s="749"/>
      <c r="GG29" s="749"/>
      <c r="GH29" s="749"/>
      <c r="GI29" s="749"/>
      <c r="GJ29" s="749"/>
      <c r="GK29" s="749"/>
      <c r="GL29" s="749"/>
      <c r="GM29" s="749"/>
      <c r="GN29" s="749"/>
      <c r="GO29" s="749"/>
      <c r="GP29" s="749"/>
      <c r="GQ29" s="749"/>
      <c r="GR29" s="749"/>
      <c r="GS29" s="749"/>
      <c r="GT29" s="749"/>
      <c r="GU29" s="749"/>
      <c r="GV29" s="749"/>
      <c r="GW29" s="749"/>
      <c r="GX29" s="749"/>
      <c r="GY29" s="749"/>
      <c r="GZ29" s="749"/>
      <c r="HA29" s="749"/>
      <c r="HB29" s="749"/>
      <c r="HC29" s="749"/>
      <c r="HD29" s="749"/>
      <c r="HE29" s="749"/>
      <c r="HF29" s="749"/>
      <c r="HG29" s="749"/>
      <c r="HH29" s="749"/>
      <c r="HI29" s="749"/>
      <c r="HJ29" s="749"/>
      <c r="HK29" s="749"/>
      <c r="HL29" s="749"/>
      <c r="HM29" s="749"/>
    </row>
    <row r="30" spans="1:221" ht="12.75">
      <c r="A30" s="3"/>
      <c r="B30" s="849"/>
      <c r="C30" s="838"/>
      <c r="D30" s="836"/>
      <c r="E30" s="838"/>
      <c r="F30" s="872"/>
      <c r="G30" s="838"/>
      <c r="H30" s="872"/>
      <c r="I30" s="838"/>
      <c r="J30" s="872"/>
      <c r="K30" s="838"/>
      <c r="L30" s="872"/>
      <c r="M30" s="838"/>
      <c r="N30" s="836"/>
      <c r="O30" s="844"/>
      <c r="P30" s="920"/>
      <c r="Q30" s="921"/>
      <c r="R30" s="922"/>
      <c r="S30" s="998"/>
      <c r="T30" s="999"/>
      <c r="U30" s="999"/>
      <c r="V30" s="1000"/>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49"/>
      <c r="AY30" s="749"/>
      <c r="AZ30" s="749"/>
      <c r="BA30" s="749"/>
      <c r="BB30" s="749"/>
      <c r="BC30" s="749"/>
      <c r="BD30" s="749"/>
      <c r="BE30" s="749"/>
      <c r="BF30" s="749"/>
      <c r="BG30" s="749"/>
      <c r="BH30" s="749"/>
      <c r="BI30" s="749"/>
      <c r="BJ30" s="749"/>
      <c r="BK30" s="749"/>
      <c r="BL30" s="749"/>
      <c r="BM30" s="749"/>
      <c r="BN30" s="749"/>
      <c r="BO30" s="749"/>
      <c r="BP30" s="749"/>
      <c r="BQ30" s="749"/>
      <c r="BR30" s="749"/>
      <c r="BS30" s="749"/>
      <c r="BT30" s="749"/>
      <c r="BU30" s="749"/>
      <c r="BV30" s="749"/>
      <c r="BW30" s="749"/>
      <c r="BX30" s="749"/>
      <c r="BY30" s="749"/>
      <c r="BZ30" s="749"/>
      <c r="CA30" s="749"/>
      <c r="CB30" s="749"/>
      <c r="CC30" s="749"/>
      <c r="CD30" s="749"/>
      <c r="CE30" s="749"/>
      <c r="CF30" s="749"/>
      <c r="CG30" s="749"/>
      <c r="CH30" s="749"/>
      <c r="CI30" s="749"/>
      <c r="CJ30" s="749"/>
      <c r="CK30" s="749"/>
      <c r="CL30" s="749"/>
      <c r="CM30" s="749"/>
      <c r="CN30" s="749"/>
      <c r="CO30" s="749"/>
      <c r="CP30" s="749"/>
      <c r="CQ30" s="749"/>
      <c r="CR30" s="749"/>
      <c r="CS30" s="749"/>
      <c r="CT30" s="749"/>
      <c r="CU30" s="749"/>
      <c r="CV30" s="749"/>
      <c r="CW30" s="749"/>
      <c r="CX30" s="749"/>
      <c r="CY30" s="749"/>
      <c r="CZ30" s="749"/>
      <c r="DA30" s="749"/>
      <c r="DB30" s="749"/>
      <c r="DC30" s="749"/>
      <c r="DD30" s="749"/>
      <c r="DE30" s="749"/>
      <c r="DF30" s="749"/>
      <c r="DG30" s="749"/>
      <c r="DH30" s="749"/>
      <c r="DI30" s="749"/>
      <c r="DJ30" s="749"/>
      <c r="DK30" s="749"/>
      <c r="DL30" s="749"/>
      <c r="DM30" s="749"/>
      <c r="DN30" s="749"/>
      <c r="DO30" s="749"/>
      <c r="DP30" s="749"/>
      <c r="DQ30" s="749"/>
      <c r="DR30" s="749"/>
      <c r="DS30" s="749"/>
      <c r="DT30" s="749"/>
      <c r="DU30" s="749"/>
      <c r="DV30" s="749"/>
      <c r="DW30" s="749"/>
      <c r="DX30" s="749"/>
      <c r="DY30" s="749"/>
      <c r="DZ30" s="749"/>
      <c r="EA30" s="749"/>
      <c r="EB30" s="749"/>
      <c r="EC30" s="749"/>
      <c r="ED30" s="749"/>
      <c r="EE30" s="749"/>
      <c r="EF30" s="749"/>
      <c r="EG30" s="749"/>
      <c r="EH30" s="749"/>
      <c r="EI30" s="749"/>
      <c r="EJ30" s="749"/>
      <c r="EK30" s="749"/>
      <c r="EL30" s="749"/>
      <c r="EM30" s="749"/>
      <c r="EN30" s="749"/>
      <c r="EO30" s="749"/>
      <c r="EP30" s="749"/>
      <c r="EQ30" s="749"/>
      <c r="ER30" s="749"/>
      <c r="ES30" s="749"/>
      <c r="ET30" s="749"/>
      <c r="EU30" s="749"/>
      <c r="EV30" s="749"/>
      <c r="EW30" s="749"/>
      <c r="EX30" s="749"/>
      <c r="EY30" s="749"/>
      <c r="EZ30" s="749"/>
      <c r="FA30" s="749"/>
      <c r="FB30" s="749"/>
      <c r="FC30" s="749"/>
      <c r="FD30" s="749"/>
      <c r="FE30" s="749"/>
      <c r="FF30" s="749"/>
      <c r="FG30" s="749"/>
      <c r="FH30" s="749"/>
      <c r="FI30" s="749"/>
      <c r="FJ30" s="749"/>
      <c r="FK30" s="749"/>
      <c r="FL30" s="749"/>
      <c r="FM30" s="749"/>
      <c r="FN30" s="749"/>
      <c r="FO30" s="749"/>
      <c r="FP30" s="749"/>
      <c r="FQ30" s="749"/>
      <c r="FR30" s="749"/>
      <c r="FS30" s="749"/>
      <c r="FT30" s="749"/>
      <c r="FU30" s="749"/>
      <c r="FV30" s="749"/>
      <c r="FW30" s="749"/>
      <c r="FX30" s="749"/>
      <c r="FY30" s="749"/>
      <c r="FZ30" s="749"/>
      <c r="GA30" s="749"/>
      <c r="GB30" s="749"/>
      <c r="GC30" s="749"/>
      <c r="GD30" s="749"/>
      <c r="GE30" s="749"/>
      <c r="GF30" s="749"/>
      <c r="GG30" s="749"/>
      <c r="GH30" s="749"/>
      <c r="GI30" s="749"/>
      <c r="GJ30" s="749"/>
      <c r="GK30" s="749"/>
      <c r="GL30" s="749"/>
      <c r="GM30" s="749"/>
      <c r="GN30" s="749"/>
      <c r="GO30" s="749"/>
      <c r="GP30" s="749"/>
      <c r="GQ30" s="749"/>
      <c r="GR30" s="749"/>
      <c r="GS30" s="749"/>
      <c r="GT30" s="749"/>
      <c r="GU30" s="749"/>
      <c r="GV30" s="749"/>
      <c r="GW30" s="749"/>
      <c r="GX30" s="749"/>
      <c r="GY30" s="749"/>
      <c r="GZ30" s="749"/>
      <c r="HA30" s="749"/>
      <c r="HB30" s="749"/>
      <c r="HC30" s="749"/>
      <c r="HD30" s="749"/>
      <c r="HE30" s="749"/>
      <c r="HF30" s="749"/>
      <c r="HG30" s="749"/>
      <c r="HH30" s="749"/>
      <c r="HI30" s="749"/>
      <c r="HJ30" s="749"/>
      <c r="HK30" s="749"/>
      <c r="HL30" s="749"/>
      <c r="HM30" s="749"/>
    </row>
    <row r="31" spans="1:221" ht="12.75">
      <c r="A31" s="3"/>
      <c r="B31" s="849"/>
      <c r="C31" s="838"/>
      <c r="D31" s="836"/>
      <c r="E31" s="838"/>
      <c r="F31" s="872"/>
      <c r="G31" s="838"/>
      <c r="H31" s="872"/>
      <c r="I31" s="838"/>
      <c r="J31" s="872"/>
      <c r="K31" s="838"/>
      <c r="L31" s="872"/>
      <c r="M31" s="838"/>
      <c r="N31" s="836"/>
      <c r="O31" s="844"/>
      <c r="P31" s="920"/>
      <c r="Q31" s="921"/>
      <c r="R31" s="922"/>
      <c r="S31" s="998"/>
      <c r="T31" s="999"/>
      <c r="U31" s="999"/>
      <c r="V31" s="1000"/>
      <c r="W31" s="749"/>
      <c r="X31" s="749"/>
      <c r="Y31" s="749"/>
      <c r="Z31" s="749"/>
      <c r="AA31" s="749"/>
      <c r="AB31" s="749"/>
      <c r="AC31" s="749"/>
      <c r="AD31" s="749"/>
      <c r="AE31" s="749"/>
      <c r="AF31" s="749"/>
      <c r="AG31" s="749"/>
      <c r="AH31" s="749"/>
      <c r="AI31" s="749"/>
      <c r="AJ31" s="749"/>
      <c r="AK31" s="749"/>
      <c r="AL31" s="749"/>
      <c r="AM31" s="749"/>
      <c r="AN31" s="749"/>
      <c r="AO31" s="749"/>
      <c r="AP31" s="749"/>
      <c r="AQ31" s="749"/>
      <c r="AR31" s="749"/>
      <c r="AS31" s="749"/>
      <c r="AT31" s="749"/>
      <c r="AU31" s="749"/>
      <c r="AV31" s="749"/>
      <c r="AW31" s="749"/>
      <c r="AX31" s="749"/>
      <c r="AY31" s="749"/>
      <c r="AZ31" s="749"/>
      <c r="BA31" s="749"/>
      <c r="BB31" s="749"/>
      <c r="BC31" s="749"/>
      <c r="BD31" s="749"/>
      <c r="BE31" s="749"/>
      <c r="BF31" s="749"/>
      <c r="BG31" s="749"/>
      <c r="BH31" s="749"/>
      <c r="BI31" s="749"/>
      <c r="BJ31" s="749"/>
      <c r="BK31" s="749"/>
      <c r="BL31" s="749"/>
      <c r="BM31" s="749"/>
      <c r="BN31" s="749"/>
      <c r="BO31" s="749"/>
      <c r="BP31" s="749"/>
      <c r="BQ31" s="749"/>
      <c r="BR31" s="749"/>
      <c r="BS31" s="749"/>
      <c r="BT31" s="749"/>
      <c r="BU31" s="749"/>
      <c r="BV31" s="749"/>
      <c r="BW31" s="749"/>
      <c r="BX31" s="749"/>
      <c r="BY31" s="749"/>
      <c r="BZ31" s="749"/>
      <c r="CA31" s="749"/>
      <c r="CB31" s="749"/>
      <c r="CC31" s="749"/>
      <c r="CD31" s="749"/>
      <c r="CE31" s="749"/>
      <c r="CF31" s="749"/>
      <c r="CG31" s="749"/>
      <c r="CH31" s="749"/>
      <c r="CI31" s="749"/>
      <c r="CJ31" s="749"/>
      <c r="CK31" s="749"/>
      <c r="CL31" s="749"/>
      <c r="CM31" s="749"/>
      <c r="CN31" s="749"/>
      <c r="CO31" s="749"/>
      <c r="CP31" s="749"/>
      <c r="CQ31" s="749"/>
      <c r="CR31" s="749"/>
      <c r="CS31" s="749"/>
      <c r="CT31" s="749"/>
      <c r="CU31" s="749"/>
      <c r="CV31" s="749"/>
      <c r="CW31" s="749"/>
      <c r="CX31" s="749"/>
      <c r="CY31" s="749"/>
      <c r="CZ31" s="749"/>
      <c r="DA31" s="749"/>
      <c r="DB31" s="749"/>
      <c r="DC31" s="749"/>
      <c r="DD31" s="749"/>
      <c r="DE31" s="749"/>
      <c r="DF31" s="749"/>
      <c r="DG31" s="749"/>
      <c r="DH31" s="749"/>
      <c r="DI31" s="749"/>
      <c r="DJ31" s="749"/>
      <c r="DK31" s="749"/>
      <c r="DL31" s="749"/>
      <c r="DM31" s="749"/>
      <c r="DN31" s="749"/>
      <c r="DO31" s="749"/>
      <c r="DP31" s="749"/>
      <c r="DQ31" s="749"/>
      <c r="DR31" s="749"/>
      <c r="DS31" s="749"/>
      <c r="DT31" s="749"/>
      <c r="DU31" s="749"/>
      <c r="DV31" s="749"/>
      <c r="DW31" s="749"/>
      <c r="DX31" s="749"/>
      <c r="DY31" s="749"/>
      <c r="DZ31" s="749"/>
      <c r="EA31" s="749"/>
      <c r="EB31" s="749"/>
      <c r="EC31" s="749"/>
      <c r="ED31" s="749"/>
      <c r="EE31" s="749"/>
      <c r="EF31" s="749"/>
      <c r="EG31" s="749"/>
      <c r="EH31" s="749"/>
      <c r="EI31" s="749"/>
      <c r="EJ31" s="749"/>
      <c r="EK31" s="749"/>
      <c r="EL31" s="749"/>
      <c r="EM31" s="749"/>
      <c r="EN31" s="749"/>
      <c r="EO31" s="749"/>
      <c r="EP31" s="749"/>
      <c r="EQ31" s="749"/>
      <c r="ER31" s="749"/>
      <c r="ES31" s="749"/>
      <c r="ET31" s="749"/>
      <c r="EU31" s="749"/>
      <c r="EV31" s="749"/>
      <c r="EW31" s="749"/>
      <c r="EX31" s="749"/>
      <c r="EY31" s="749"/>
      <c r="EZ31" s="749"/>
      <c r="FA31" s="749"/>
      <c r="FB31" s="749"/>
      <c r="FC31" s="749"/>
      <c r="FD31" s="749"/>
      <c r="FE31" s="749"/>
      <c r="FF31" s="749"/>
      <c r="FG31" s="749"/>
      <c r="FH31" s="749"/>
      <c r="FI31" s="749"/>
      <c r="FJ31" s="749"/>
      <c r="FK31" s="749"/>
      <c r="FL31" s="749"/>
      <c r="FM31" s="749"/>
      <c r="FN31" s="749"/>
      <c r="FO31" s="749"/>
      <c r="FP31" s="749"/>
      <c r="FQ31" s="749"/>
      <c r="FR31" s="749"/>
      <c r="FS31" s="749"/>
      <c r="FT31" s="749"/>
      <c r="FU31" s="749"/>
      <c r="FV31" s="749"/>
      <c r="FW31" s="749"/>
      <c r="FX31" s="749"/>
      <c r="FY31" s="749"/>
      <c r="FZ31" s="749"/>
      <c r="GA31" s="749"/>
      <c r="GB31" s="749"/>
      <c r="GC31" s="749"/>
      <c r="GD31" s="749"/>
      <c r="GE31" s="749"/>
      <c r="GF31" s="749"/>
      <c r="GG31" s="749"/>
      <c r="GH31" s="749"/>
      <c r="GI31" s="749"/>
      <c r="GJ31" s="749"/>
      <c r="GK31" s="749"/>
      <c r="GL31" s="749"/>
      <c r="GM31" s="749"/>
      <c r="GN31" s="749"/>
      <c r="GO31" s="749"/>
      <c r="GP31" s="749"/>
      <c r="GQ31" s="749"/>
      <c r="GR31" s="749"/>
      <c r="GS31" s="749"/>
      <c r="GT31" s="749"/>
      <c r="GU31" s="749"/>
      <c r="GV31" s="749"/>
      <c r="GW31" s="749"/>
      <c r="GX31" s="749"/>
      <c r="GY31" s="749"/>
      <c r="GZ31" s="749"/>
      <c r="HA31" s="749"/>
      <c r="HB31" s="749"/>
      <c r="HC31" s="749"/>
      <c r="HD31" s="749"/>
      <c r="HE31" s="749"/>
      <c r="HF31" s="749"/>
      <c r="HG31" s="749"/>
      <c r="HH31" s="749"/>
      <c r="HI31" s="749"/>
      <c r="HJ31" s="749"/>
      <c r="HK31" s="749"/>
      <c r="HL31" s="749"/>
      <c r="HM31" s="749"/>
    </row>
    <row r="32" spans="1:221" ht="12.75">
      <c r="A32" s="3"/>
      <c r="B32" s="849"/>
      <c r="C32" s="838"/>
      <c r="D32" s="836"/>
      <c r="E32" s="838"/>
      <c r="F32" s="872"/>
      <c r="G32" s="838"/>
      <c r="H32" s="872"/>
      <c r="I32" s="838"/>
      <c r="J32" s="872"/>
      <c r="K32" s="838"/>
      <c r="L32" s="872"/>
      <c r="M32" s="838"/>
      <c r="N32" s="836"/>
      <c r="O32" s="844"/>
      <c r="P32" s="920"/>
      <c r="Q32" s="921"/>
      <c r="R32" s="922"/>
      <c r="S32" s="998"/>
      <c r="T32" s="999"/>
      <c r="U32" s="999"/>
      <c r="V32" s="1000"/>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749"/>
      <c r="BH32" s="749"/>
      <c r="BI32" s="749"/>
      <c r="BJ32" s="749"/>
      <c r="BK32" s="749"/>
      <c r="BL32" s="749"/>
      <c r="BM32" s="749"/>
      <c r="BN32" s="749"/>
      <c r="BO32" s="749"/>
      <c r="BP32" s="749"/>
      <c r="BQ32" s="749"/>
      <c r="BR32" s="749"/>
      <c r="BS32" s="749"/>
      <c r="BT32" s="749"/>
      <c r="BU32" s="749"/>
      <c r="BV32" s="749"/>
      <c r="BW32" s="749"/>
      <c r="BX32" s="749"/>
      <c r="BY32" s="749"/>
      <c r="BZ32" s="749"/>
      <c r="CA32" s="749"/>
      <c r="CB32" s="749"/>
      <c r="CC32" s="749"/>
      <c r="CD32" s="749"/>
      <c r="CE32" s="749"/>
      <c r="CF32" s="749"/>
      <c r="CG32" s="749"/>
      <c r="CH32" s="749"/>
      <c r="CI32" s="749"/>
      <c r="CJ32" s="749"/>
      <c r="CK32" s="749"/>
      <c r="CL32" s="749"/>
      <c r="CM32" s="749"/>
      <c r="CN32" s="749"/>
      <c r="CO32" s="749"/>
      <c r="CP32" s="749"/>
      <c r="CQ32" s="749"/>
      <c r="CR32" s="749"/>
      <c r="CS32" s="749"/>
      <c r="CT32" s="749"/>
      <c r="CU32" s="749"/>
      <c r="CV32" s="749"/>
      <c r="CW32" s="749"/>
      <c r="CX32" s="749"/>
      <c r="CY32" s="749"/>
      <c r="CZ32" s="749"/>
      <c r="DA32" s="749"/>
      <c r="DB32" s="749"/>
      <c r="DC32" s="749"/>
      <c r="DD32" s="749"/>
      <c r="DE32" s="749"/>
      <c r="DF32" s="749"/>
      <c r="DG32" s="749"/>
      <c r="DH32" s="749"/>
      <c r="DI32" s="749"/>
      <c r="DJ32" s="749"/>
      <c r="DK32" s="749"/>
      <c r="DL32" s="749"/>
      <c r="DM32" s="749"/>
      <c r="DN32" s="749"/>
      <c r="DO32" s="749"/>
      <c r="DP32" s="749"/>
      <c r="DQ32" s="749"/>
      <c r="DR32" s="749"/>
      <c r="DS32" s="749"/>
      <c r="DT32" s="749"/>
      <c r="DU32" s="749"/>
      <c r="DV32" s="749"/>
      <c r="DW32" s="749"/>
      <c r="DX32" s="749"/>
      <c r="DY32" s="749"/>
      <c r="DZ32" s="749"/>
      <c r="EA32" s="749"/>
      <c r="EB32" s="749"/>
      <c r="EC32" s="749"/>
      <c r="ED32" s="749"/>
      <c r="EE32" s="749"/>
      <c r="EF32" s="749"/>
      <c r="EG32" s="749"/>
      <c r="EH32" s="749"/>
      <c r="EI32" s="749"/>
      <c r="EJ32" s="749"/>
      <c r="EK32" s="749"/>
      <c r="EL32" s="749"/>
      <c r="EM32" s="749"/>
      <c r="EN32" s="749"/>
      <c r="EO32" s="749"/>
      <c r="EP32" s="749"/>
      <c r="EQ32" s="749"/>
      <c r="ER32" s="749"/>
      <c r="ES32" s="749"/>
      <c r="ET32" s="749"/>
      <c r="EU32" s="749"/>
      <c r="EV32" s="749"/>
      <c r="EW32" s="749"/>
      <c r="EX32" s="749"/>
      <c r="EY32" s="749"/>
      <c r="EZ32" s="749"/>
      <c r="FA32" s="749"/>
      <c r="FB32" s="749"/>
      <c r="FC32" s="749"/>
      <c r="FD32" s="749"/>
      <c r="FE32" s="749"/>
      <c r="FF32" s="749"/>
      <c r="FG32" s="749"/>
      <c r="FH32" s="749"/>
      <c r="FI32" s="749"/>
      <c r="FJ32" s="749"/>
      <c r="FK32" s="749"/>
      <c r="FL32" s="749"/>
      <c r="FM32" s="749"/>
      <c r="FN32" s="749"/>
      <c r="FO32" s="749"/>
      <c r="FP32" s="749"/>
      <c r="FQ32" s="749"/>
      <c r="FR32" s="749"/>
      <c r="FS32" s="749"/>
      <c r="FT32" s="749"/>
      <c r="FU32" s="749"/>
      <c r="FV32" s="749"/>
      <c r="FW32" s="749"/>
      <c r="FX32" s="749"/>
      <c r="FY32" s="749"/>
      <c r="FZ32" s="749"/>
      <c r="GA32" s="749"/>
      <c r="GB32" s="749"/>
      <c r="GC32" s="749"/>
      <c r="GD32" s="749"/>
      <c r="GE32" s="749"/>
      <c r="GF32" s="749"/>
      <c r="GG32" s="749"/>
      <c r="GH32" s="749"/>
      <c r="GI32" s="749"/>
      <c r="GJ32" s="749"/>
      <c r="GK32" s="749"/>
      <c r="GL32" s="749"/>
      <c r="GM32" s="749"/>
      <c r="GN32" s="749"/>
      <c r="GO32" s="749"/>
      <c r="GP32" s="749"/>
      <c r="GQ32" s="749"/>
      <c r="GR32" s="749"/>
      <c r="GS32" s="749"/>
      <c r="GT32" s="749"/>
      <c r="GU32" s="749"/>
      <c r="GV32" s="749"/>
      <c r="GW32" s="749"/>
      <c r="GX32" s="749"/>
      <c r="GY32" s="749"/>
      <c r="GZ32" s="749"/>
      <c r="HA32" s="749"/>
      <c r="HB32" s="749"/>
      <c r="HC32" s="749"/>
      <c r="HD32" s="749"/>
      <c r="HE32" s="749"/>
      <c r="HF32" s="749"/>
      <c r="HG32" s="749"/>
      <c r="HH32" s="749"/>
      <c r="HI32" s="749"/>
      <c r="HJ32" s="749"/>
      <c r="HK32" s="749"/>
      <c r="HL32" s="749"/>
      <c r="HM32" s="749"/>
    </row>
    <row r="33" spans="1:221" ht="12.75">
      <c r="A33" s="3"/>
      <c r="B33" s="854"/>
      <c r="C33" s="839"/>
      <c r="D33" s="837"/>
      <c r="E33" s="839"/>
      <c r="F33" s="882"/>
      <c r="G33" s="839"/>
      <c r="H33" s="882"/>
      <c r="I33" s="839"/>
      <c r="J33" s="882"/>
      <c r="K33" s="839"/>
      <c r="L33" s="882"/>
      <c r="M33" s="839"/>
      <c r="N33" s="837"/>
      <c r="O33" s="844"/>
      <c r="P33" s="920"/>
      <c r="Q33" s="921"/>
      <c r="R33" s="922"/>
      <c r="S33" s="998"/>
      <c r="T33" s="999"/>
      <c r="U33" s="999"/>
      <c r="V33" s="1000"/>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49"/>
      <c r="AW33" s="749"/>
      <c r="AX33" s="749"/>
      <c r="AY33" s="749"/>
      <c r="AZ33" s="749"/>
      <c r="BA33" s="749"/>
      <c r="BB33" s="749"/>
      <c r="BC33" s="749"/>
      <c r="BD33" s="749"/>
      <c r="BE33" s="749"/>
      <c r="BF33" s="749"/>
      <c r="BG33" s="749"/>
      <c r="BH33" s="749"/>
      <c r="BI33" s="749"/>
      <c r="BJ33" s="749"/>
      <c r="BK33" s="749"/>
      <c r="BL33" s="749"/>
      <c r="BM33" s="749"/>
      <c r="BN33" s="749"/>
      <c r="BO33" s="749"/>
      <c r="BP33" s="749"/>
      <c r="BQ33" s="749"/>
      <c r="BR33" s="749"/>
      <c r="BS33" s="749"/>
      <c r="BT33" s="749"/>
      <c r="BU33" s="749"/>
      <c r="BV33" s="749"/>
      <c r="BW33" s="749"/>
      <c r="BX33" s="749"/>
      <c r="BY33" s="749"/>
      <c r="BZ33" s="749"/>
      <c r="CA33" s="749"/>
      <c r="CB33" s="749"/>
      <c r="CC33" s="749"/>
      <c r="CD33" s="749"/>
      <c r="CE33" s="749"/>
      <c r="CF33" s="749"/>
      <c r="CG33" s="749"/>
      <c r="CH33" s="749"/>
      <c r="CI33" s="749"/>
      <c r="CJ33" s="749"/>
      <c r="CK33" s="749"/>
      <c r="CL33" s="749"/>
      <c r="CM33" s="749"/>
      <c r="CN33" s="749"/>
      <c r="CO33" s="749"/>
      <c r="CP33" s="749"/>
      <c r="CQ33" s="749"/>
      <c r="CR33" s="749"/>
      <c r="CS33" s="749"/>
      <c r="CT33" s="749"/>
      <c r="CU33" s="749"/>
      <c r="CV33" s="749"/>
      <c r="CW33" s="749"/>
      <c r="CX33" s="749"/>
      <c r="CY33" s="749"/>
      <c r="CZ33" s="749"/>
      <c r="DA33" s="749"/>
      <c r="DB33" s="749"/>
      <c r="DC33" s="749"/>
      <c r="DD33" s="749"/>
      <c r="DE33" s="749"/>
      <c r="DF33" s="749"/>
      <c r="DG33" s="749"/>
      <c r="DH33" s="749"/>
      <c r="DI33" s="749"/>
      <c r="DJ33" s="749"/>
      <c r="DK33" s="749"/>
      <c r="DL33" s="749"/>
      <c r="DM33" s="749"/>
      <c r="DN33" s="749"/>
      <c r="DO33" s="749"/>
      <c r="DP33" s="749"/>
      <c r="DQ33" s="749"/>
      <c r="DR33" s="749"/>
      <c r="DS33" s="749"/>
      <c r="DT33" s="749"/>
      <c r="DU33" s="749"/>
      <c r="DV33" s="749"/>
      <c r="DW33" s="749"/>
      <c r="DX33" s="749"/>
      <c r="DY33" s="749"/>
      <c r="DZ33" s="749"/>
      <c r="EA33" s="749"/>
      <c r="EB33" s="749"/>
      <c r="EC33" s="749"/>
      <c r="ED33" s="749"/>
      <c r="EE33" s="749"/>
      <c r="EF33" s="749"/>
      <c r="EG33" s="749"/>
      <c r="EH33" s="749"/>
      <c r="EI33" s="749"/>
      <c r="EJ33" s="749"/>
      <c r="EK33" s="749"/>
      <c r="EL33" s="749"/>
      <c r="EM33" s="749"/>
      <c r="EN33" s="749"/>
      <c r="EO33" s="749"/>
      <c r="EP33" s="749"/>
      <c r="EQ33" s="749"/>
      <c r="ER33" s="749"/>
      <c r="ES33" s="749"/>
      <c r="ET33" s="749"/>
      <c r="EU33" s="749"/>
      <c r="EV33" s="749"/>
      <c r="EW33" s="749"/>
      <c r="EX33" s="749"/>
      <c r="EY33" s="749"/>
      <c r="EZ33" s="749"/>
      <c r="FA33" s="749"/>
      <c r="FB33" s="749"/>
      <c r="FC33" s="749"/>
      <c r="FD33" s="749"/>
      <c r="FE33" s="749"/>
      <c r="FF33" s="749"/>
      <c r="FG33" s="749"/>
      <c r="FH33" s="749"/>
      <c r="FI33" s="749"/>
      <c r="FJ33" s="749"/>
      <c r="FK33" s="749"/>
      <c r="FL33" s="749"/>
      <c r="FM33" s="749"/>
      <c r="FN33" s="749"/>
      <c r="FO33" s="749"/>
      <c r="FP33" s="749"/>
      <c r="FQ33" s="749"/>
      <c r="FR33" s="749"/>
      <c r="FS33" s="749"/>
      <c r="FT33" s="749"/>
      <c r="FU33" s="749"/>
      <c r="FV33" s="749"/>
      <c r="FW33" s="749"/>
      <c r="FX33" s="749"/>
      <c r="FY33" s="749"/>
      <c r="FZ33" s="749"/>
      <c r="GA33" s="749"/>
      <c r="GB33" s="749"/>
      <c r="GC33" s="749"/>
      <c r="GD33" s="749"/>
      <c r="GE33" s="749"/>
      <c r="GF33" s="749"/>
      <c r="GG33" s="749"/>
      <c r="GH33" s="749"/>
      <c r="GI33" s="749"/>
      <c r="GJ33" s="749"/>
      <c r="GK33" s="749"/>
      <c r="GL33" s="749"/>
      <c r="GM33" s="749"/>
      <c r="GN33" s="749"/>
      <c r="GO33" s="749"/>
      <c r="GP33" s="749"/>
      <c r="GQ33" s="749"/>
      <c r="GR33" s="749"/>
      <c r="GS33" s="749"/>
      <c r="GT33" s="749"/>
      <c r="GU33" s="749"/>
      <c r="GV33" s="749"/>
      <c r="GW33" s="749"/>
      <c r="GX33" s="749"/>
      <c r="GY33" s="749"/>
      <c r="GZ33" s="749"/>
      <c r="HA33" s="749"/>
      <c r="HB33" s="749"/>
      <c r="HC33" s="749"/>
      <c r="HD33" s="749"/>
      <c r="HE33" s="749"/>
      <c r="HF33" s="749"/>
      <c r="HG33" s="749"/>
      <c r="HH33" s="749"/>
      <c r="HI33" s="749"/>
      <c r="HJ33" s="749"/>
      <c r="HK33" s="749"/>
      <c r="HL33" s="749"/>
      <c r="HM33" s="749"/>
    </row>
    <row r="34" spans="1:221" ht="12.75">
      <c r="A34" s="3"/>
      <c r="B34" s="850" t="s">
        <v>379</v>
      </c>
      <c r="C34" s="879"/>
      <c r="D34" s="885" t="e">
        <f>E34/$E$27</f>
        <v>#DIV/0!</v>
      </c>
      <c r="E34" s="879">
        <f>G34+M34+N34+O34</f>
        <v>0</v>
      </c>
      <c r="F34" s="876" t="e">
        <f t="shared" ref="F34" si="10">G34/$G$27</f>
        <v>#DIV/0!</v>
      </c>
      <c r="G34" s="879">
        <f t="shared" ref="G34" si="11">I34+K34</f>
        <v>0</v>
      </c>
      <c r="H34" s="876">
        <f>'TAB 3 Project Cost'!F22</f>
        <v>1.4999999999999999E-2</v>
      </c>
      <c r="I34" s="879">
        <f>'TAB 3 Project Cost'!G22</f>
        <v>0</v>
      </c>
      <c r="J34" s="876">
        <f>'TAB 3 Project Cost'!F53</f>
        <v>0.01</v>
      </c>
      <c r="K34" s="879">
        <f>'TAB 3 Project Cost'!G53</f>
        <v>0</v>
      </c>
      <c r="L34" s="876">
        <f>'TAB 3 Project Cost'!F98</f>
        <v>0.01</v>
      </c>
      <c r="M34" s="879">
        <f>'TAB 3 Project Cost'!G98</f>
        <v>0</v>
      </c>
      <c r="N34" s="868"/>
      <c r="O34" s="851"/>
      <c r="P34" s="923">
        <f>'TAB 3 Project Cost'!AC53</f>
        <v>0</v>
      </c>
      <c r="Q34" s="924">
        <f>'TAB 3 Project Cost'!AD53</f>
        <v>0</v>
      </c>
      <c r="R34" s="925">
        <f>'TAB 3 Project Cost'!AE53</f>
        <v>0</v>
      </c>
      <c r="S34" s="995">
        <f>'TAB 3 Project Cost'!AA98</f>
        <v>0</v>
      </c>
      <c r="T34" s="996">
        <f>'TAB 3 Project Cost'!AB98</f>
        <v>0</v>
      </c>
      <c r="U34" s="996">
        <f>'TAB 3 Project Cost'!AC98</f>
        <v>0</v>
      </c>
      <c r="V34" s="997">
        <f>'TAB 3 Project Cost'!AD98</f>
        <v>0</v>
      </c>
      <c r="W34" s="749"/>
      <c r="X34" s="749"/>
      <c r="Y34" s="749"/>
      <c r="Z34" s="749"/>
      <c r="AA34" s="749"/>
      <c r="AB34" s="749"/>
      <c r="AC34" s="749"/>
      <c r="AD34" s="749"/>
      <c r="AE34" s="749"/>
      <c r="AF34" s="749"/>
      <c r="AG34" s="749"/>
      <c r="AH34" s="749"/>
      <c r="AI34" s="749"/>
      <c r="AJ34" s="749"/>
      <c r="AK34" s="749"/>
      <c r="AL34" s="749"/>
      <c r="AM34" s="749"/>
      <c r="AN34" s="749"/>
      <c r="AO34" s="749"/>
      <c r="AP34" s="749"/>
      <c r="AQ34" s="749"/>
      <c r="AR34" s="749"/>
      <c r="AS34" s="749"/>
      <c r="AT34" s="749"/>
      <c r="AU34" s="749"/>
      <c r="AV34" s="749"/>
      <c r="AW34" s="749"/>
      <c r="AX34" s="749"/>
      <c r="AY34" s="749"/>
      <c r="AZ34" s="749"/>
      <c r="BA34" s="749"/>
      <c r="BB34" s="749"/>
      <c r="BC34" s="749"/>
      <c r="BD34" s="749"/>
      <c r="BE34" s="749"/>
      <c r="BF34" s="749"/>
      <c r="BG34" s="749"/>
      <c r="BH34" s="749"/>
      <c r="BI34" s="749"/>
      <c r="BJ34" s="749"/>
      <c r="BK34" s="749"/>
      <c r="BL34" s="749"/>
      <c r="BM34" s="749"/>
      <c r="BN34" s="749"/>
      <c r="BO34" s="749"/>
      <c r="BP34" s="749"/>
      <c r="BQ34" s="749"/>
      <c r="BR34" s="749"/>
      <c r="BS34" s="749"/>
      <c r="BT34" s="749"/>
      <c r="BU34" s="749"/>
      <c r="BV34" s="749"/>
      <c r="BW34" s="749"/>
      <c r="BX34" s="749"/>
      <c r="BY34" s="749"/>
      <c r="BZ34" s="749"/>
      <c r="CA34" s="749"/>
      <c r="CB34" s="749"/>
      <c r="CC34" s="749"/>
      <c r="CD34" s="749"/>
      <c r="CE34" s="749"/>
      <c r="CF34" s="749"/>
      <c r="CG34" s="749"/>
      <c r="CH34" s="749"/>
      <c r="CI34" s="749"/>
      <c r="CJ34" s="749"/>
      <c r="CK34" s="749"/>
      <c r="CL34" s="749"/>
      <c r="CM34" s="749"/>
      <c r="CN34" s="749"/>
      <c r="CO34" s="749"/>
      <c r="CP34" s="749"/>
      <c r="CQ34" s="749"/>
      <c r="CR34" s="749"/>
      <c r="CS34" s="749"/>
      <c r="CT34" s="749"/>
      <c r="CU34" s="749"/>
      <c r="CV34" s="749"/>
      <c r="CW34" s="749"/>
      <c r="CX34" s="749"/>
      <c r="CY34" s="749"/>
      <c r="CZ34" s="749"/>
      <c r="DA34" s="749"/>
      <c r="DB34" s="749"/>
      <c r="DC34" s="749"/>
      <c r="DD34" s="749"/>
      <c r="DE34" s="749"/>
      <c r="DF34" s="749"/>
      <c r="DG34" s="749"/>
      <c r="DH34" s="749"/>
      <c r="DI34" s="749"/>
      <c r="DJ34" s="749"/>
      <c r="DK34" s="749"/>
      <c r="DL34" s="749"/>
      <c r="DM34" s="749"/>
      <c r="DN34" s="749"/>
      <c r="DO34" s="749"/>
      <c r="DP34" s="749"/>
      <c r="DQ34" s="749"/>
      <c r="DR34" s="749"/>
      <c r="DS34" s="749"/>
      <c r="DT34" s="749"/>
      <c r="DU34" s="749"/>
      <c r="DV34" s="749"/>
      <c r="DW34" s="749"/>
      <c r="DX34" s="749"/>
      <c r="DY34" s="749"/>
      <c r="DZ34" s="749"/>
      <c r="EA34" s="749"/>
      <c r="EB34" s="749"/>
      <c r="EC34" s="749"/>
      <c r="ED34" s="749"/>
      <c r="EE34" s="749"/>
      <c r="EF34" s="749"/>
      <c r="EG34" s="749"/>
      <c r="EH34" s="749"/>
      <c r="EI34" s="749"/>
      <c r="EJ34" s="749"/>
      <c r="EK34" s="749"/>
      <c r="EL34" s="749"/>
      <c r="EM34" s="749"/>
      <c r="EN34" s="749"/>
      <c r="EO34" s="749"/>
      <c r="EP34" s="749"/>
      <c r="EQ34" s="749"/>
      <c r="ER34" s="749"/>
      <c r="ES34" s="749"/>
      <c r="ET34" s="749"/>
      <c r="EU34" s="749"/>
      <c r="EV34" s="749"/>
      <c r="EW34" s="749"/>
      <c r="EX34" s="749"/>
      <c r="EY34" s="749"/>
      <c r="EZ34" s="749"/>
      <c r="FA34" s="749"/>
      <c r="FB34" s="749"/>
      <c r="FC34" s="749"/>
      <c r="FD34" s="749"/>
      <c r="FE34" s="749"/>
      <c r="FF34" s="749"/>
      <c r="FG34" s="749"/>
      <c r="FH34" s="749"/>
      <c r="FI34" s="749"/>
      <c r="FJ34" s="749"/>
      <c r="FK34" s="749"/>
      <c r="FL34" s="749"/>
      <c r="FM34" s="749"/>
      <c r="FN34" s="749"/>
      <c r="FO34" s="749"/>
      <c r="FP34" s="749"/>
      <c r="FQ34" s="749"/>
      <c r="FR34" s="749"/>
      <c r="FS34" s="749"/>
      <c r="FT34" s="749"/>
      <c r="FU34" s="749"/>
      <c r="FV34" s="749"/>
      <c r="FW34" s="749"/>
      <c r="FX34" s="749"/>
      <c r="FY34" s="749"/>
      <c r="FZ34" s="749"/>
      <c r="GA34" s="749"/>
      <c r="GB34" s="749"/>
      <c r="GC34" s="749"/>
      <c r="GD34" s="749"/>
      <c r="GE34" s="749"/>
      <c r="GF34" s="749"/>
      <c r="GG34" s="749"/>
      <c r="GH34" s="749"/>
      <c r="GI34" s="749"/>
      <c r="GJ34" s="749"/>
      <c r="GK34" s="749"/>
      <c r="GL34" s="749"/>
      <c r="GM34" s="749"/>
      <c r="GN34" s="749"/>
      <c r="GO34" s="749"/>
      <c r="GP34" s="749"/>
      <c r="GQ34" s="749"/>
      <c r="GR34" s="749"/>
      <c r="GS34" s="749"/>
      <c r="GT34" s="749"/>
      <c r="GU34" s="749"/>
      <c r="GV34" s="749"/>
      <c r="GW34" s="749"/>
      <c r="GX34" s="749"/>
      <c r="GY34" s="749"/>
      <c r="GZ34" s="749"/>
      <c r="HA34" s="749"/>
      <c r="HB34" s="749"/>
      <c r="HC34" s="749"/>
      <c r="HD34" s="749"/>
      <c r="HE34" s="749"/>
      <c r="HF34" s="749"/>
      <c r="HG34" s="749"/>
      <c r="HH34" s="749"/>
      <c r="HI34" s="749"/>
      <c r="HJ34" s="749"/>
      <c r="HK34" s="749"/>
      <c r="HL34" s="749"/>
      <c r="HM34" s="749"/>
    </row>
    <row r="35" spans="1:221" ht="12.75">
      <c r="A35" s="3"/>
      <c r="B35" s="849"/>
      <c r="C35" s="838"/>
      <c r="D35" s="836"/>
      <c r="E35" s="838"/>
      <c r="F35" s="872"/>
      <c r="G35" s="838"/>
      <c r="H35" s="872"/>
      <c r="I35" s="838"/>
      <c r="J35" s="872"/>
      <c r="K35" s="838"/>
      <c r="L35" s="872"/>
      <c r="M35" s="838"/>
      <c r="N35" s="836"/>
      <c r="O35" s="844"/>
      <c r="P35" s="920"/>
      <c r="Q35" s="921"/>
      <c r="R35" s="922"/>
      <c r="S35" s="998"/>
      <c r="T35" s="999"/>
      <c r="U35" s="999"/>
      <c r="V35" s="1000"/>
      <c r="W35" s="749"/>
      <c r="X35" s="749"/>
      <c r="Y35" s="749"/>
      <c r="Z35" s="749"/>
      <c r="AA35" s="749"/>
      <c r="AB35" s="749"/>
      <c r="AC35" s="749"/>
      <c r="AD35" s="749"/>
      <c r="AE35" s="749"/>
      <c r="AF35" s="749"/>
      <c r="AG35" s="749"/>
      <c r="AH35" s="749"/>
      <c r="AI35" s="749"/>
      <c r="AJ35" s="749"/>
      <c r="AK35" s="749"/>
      <c r="AL35" s="749"/>
      <c r="AM35" s="749"/>
      <c r="AN35" s="749"/>
      <c r="AO35" s="749"/>
      <c r="AP35" s="749"/>
      <c r="AQ35" s="749"/>
      <c r="AR35" s="749"/>
      <c r="AS35" s="749"/>
      <c r="AT35" s="749"/>
      <c r="AU35" s="749"/>
      <c r="AV35" s="749"/>
      <c r="AW35" s="749"/>
      <c r="AX35" s="749"/>
      <c r="AY35" s="749"/>
      <c r="AZ35" s="749"/>
      <c r="BA35" s="749"/>
      <c r="BB35" s="749"/>
      <c r="BC35" s="749"/>
      <c r="BD35" s="749"/>
      <c r="BE35" s="749"/>
      <c r="BF35" s="749"/>
      <c r="BG35" s="749"/>
      <c r="BH35" s="749"/>
      <c r="BI35" s="749"/>
      <c r="BJ35" s="749"/>
      <c r="BK35" s="749"/>
      <c r="BL35" s="749"/>
      <c r="BM35" s="749"/>
      <c r="BN35" s="749"/>
      <c r="BO35" s="749"/>
      <c r="BP35" s="749"/>
      <c r="BQ35" s="749"/>
      <c r="BR35" s="749"/>
      <c r="BS35" s="749"/>
      <c r="BT35" s="749"/>
      <c r="BU35" s="749"/>
      <c r="BV35" s="749"/>
      <c r="BW35" s="749"/>
      <c r="BX35" s="749"/>
      <c r="BY35" s="749"/>
      <c r="BZ35" s="749"/>
      <c r="CA35" s="749"/>
      <c r="CB35" s="749"/>
      <c r="CC35" s="749"/>
      <c r="CD35" s="749"/>
      <c r="CE35" s="749"/>
      <c r="CF35" s="749"/>
      <c r="CG35" s="749"/>
      <c r="CH35" s="749"/>
      <c r="CI35" s="749"/>
      <c r="CJ35" s="749"/>
      <c r="CK35" s="749"/>
      <c r="CL35" s="749"/>
      <c r="CM35" s="749"/>
      <c r="CN35" s="749"/>
      <c r="CO35" s="749"/>
      <c r="CP35" s="749"/>
      <c r="CQ35" s="749"/>
      <c r="CR35" s="749"/>
      <c r="CS35" s="749"/>
      <c r="CT35" s="749"/>
      <c r="CU35" s="749"/>
      <c r="CV35" s="749"/>
      <c r="CW35" s="749"/>
      <c r="CX35" s="749"/>
      <c r="CY35" s="749"/>
      <c r="CZ35" s="749"/>
      <c r="DA35" s="749"/>
      <c r="DB35" s="749"/>
      <c r="DC35" s="749"/>
      <c r="DD35" s="749"/>
      <c r="DE35" s="749"/>
      <c r="DF35" s="749"/>
      <c r="DG35" s="749"/>
      <c r="DH35" s="749"/>
      <c r="DI35" s="749"/>
      <c r="DJ35" s="749"/>
      <c r="DK35" s="749"/>
      <c r="DL35" s="749"/>
      <c r="DM35" s="749"/>
      <c r="DN35" s="749"/>
      <c r="DO35" s="749"/>
      <c r="DP35" s="749"/>
      <c r="DQ35" s="749"/>
      <c r="DR35" s="749"/>
      <c r="DS35" s="749"/>
      <c r="DT35" s="749"/>
      <c r="DU35" s="749"/>
      <c r="DV35" s="749"/>
      <c r="DW35" s="749"/>
      <c r="DX35" s="749"/>
      <c r="DY35" s="749"/>
      <c r="DZ35" s="749"/>
      <c r="EA35" s="749"/>
      <c r="EB35" s="749"/>
      <c r="EC35" s="749"/>
      <c r="ED35" s="749"/>
      <c r="EE35" s="749"/>
      <c r="EF35" s="749"/>
      <c r="EG35" s="749"/>
      <c r="EH35" s="749"/>
      <c r="EI35" s="749"/>
      <c r="EJ35" s="749"/>
      <c r="EK35" s="749"/>
      <c r="EL35" s="749"/>
      <c r="EM35" s="749"/>
      <c r="EN35" s="749"/>
      <c r="EO35" s="749"/>
      <c r="EP35" s="749"/>
      <c r="EQ35" s="749"/>
      <c r="ER35" s="749"/>
      <c r="ES35" s="749"/>
      <c r="ET35" s="749"/>
      <c r="EU35" s="749"/>
      <c r="EV35" s="749"/>
      <c r="EW35" s="749"/>
      <c r="EX35" s="749"/>
      <c r="EY35" s="749"/>
      <c r="EZ35" s="749"/>
      <c r="FA35" s="749"/>
      <c r="FB35" s="749"/>
      <c r="FC35" s="749"/>
      <c r="FD35" s="749"/>
      <c r="FE35" s="749"/>
      <c r="FF35" s="749"/>
      <c r="FG35" s="749"/>
      <c r="FH35" s="749"/>
      <c r="FI35" s="749"/>
      <c r="FJ35" s="749"/>
      <c r="FK35" s="749"/>
      <c r="FL35" s="749"/>
      <c r="FM35" s="749"/>
      <c r="FN35" s="749"/>
      <c r="FO35" s="749"/>
      <c r="FP35" s="749"/>
      <c r="FQ35" s="749"/>
      <c r="FR35" s="749"/>
      <c r="FS35" s="749"/>
      <c r="FT35" s="749"/>
      <c r="FU35" s="749"/>
      <c r="FV35" s="749"/>
      <c r="FW35" s="749"/>
      <c r="FX35" s="749"/>
      <c r="FY35" s="749"/>
      <c r="FZ35" s="749"/>
      <c r="GA35" s="749"/>
      <c r="GB35" s="749"/>
      <c r="GC35" s="749"/>
      <c r="GD35" s="749"/>
      <c r="GE35" s="749"/>
      <c r="GF35" s="749"/>
      <c r="GG35" s="749"/>
      <c r="GH35" s="749"/>
      <c r="GI35" s="749"/>
      <c r="GJ35" s="749"/>
      <c r="GK35" s="749"/>
      <c r="GL35" s="749"/>
      <c r="GM35" s="749"/>
      <c r="GN35" s="749"/>
      <c r="GO35" s="749"/>
      <c r="GP35" s="749"/>
      <c r="GQ35" s="749"/>
      <c r="GR35" s="749"/>
      <c r="GS35" s="749"/>
      <c r="GT35" s="749"/>
      <c r="GU35" s="749"/>
      <c r="GV35" s="749"/>
      <c r="GW35" s="749"/>
      <c r="GX35" s="749"/>
      <c r="GY35" s="749"/>
      <c r="GZ35" s="749"/>
      <c r="HA35" s="749"/>
      <c r="HB35" s="749"/>
      <c r="HC35" s="749"/>
      <c r="HD35" s="749"/>
      <c r="HE35" s="749"/>
      <c r="HF35" s="749"/>
      <c r="HG35" s="749"/>
      <c r="HH35" s="749"/>
      <c r="HI35" s="749"/>
      <c r="HJ35" s="749"/>
      <c r="HK35" s="749"/>
      <c r="HL35" s="749"/>
      <c r="HM35" s="749"/>
    </row>
    <row r="36" spans="1:221" ht="12.75">
      <c r="A36" s="3"/>
      <c r="B36" s="849"/>
      <c r="C36" s="838"/>
      <c r="D36" s="836"/>
      <c r="E36" s="838"/>
      <c r="F36" s="872"/>
      <c r="G36" s="838"/>
      <c r="H36" s="872"/>
      <c r="I36" s="838"/>
      <c r="J36" s="872"/>
      <c r="K36" s="838"/>
      <c r="L36" s="872"/>
      <c r="M36" s="838"/>
      <c r="N36" s="836"/>
      <c r="O36" s="844"/>
      <c r="P36" s="920"/>
      <c r="Q36" s="921"/>
      <c r="R36" s="922"/>
      <c r="S36" s="998"/>
      <c r="T36" s="999"/>
      <c r="U36" s="999"/>
      <c r="V36" s="1000"/>
      <c r="W36" s="749"/>
      <c r="X36" s="749"/>
      <c r="Y36" s="749"/>
      <c r="Z36" s="749"/>
      <c r="AA36" s="749"/>
      <c r="AB36" s="749"/>
      <c r="AC36" s="749"/>
      <c r="AD36" s="749"/>
      <c r="AE36" s="749"/>
      <c r="AF36" s="749"/>
      <c r="AG36" s="749"/>
      <c r="AH36" s="749"/>
      <c r="AI36" s="749"/>
      <c r="AJ36" s="749"/>
      <c r="AK36" s="749"/>
      <c r="AL36" s="749"/>
      <c r="AM36" s="749"/>
      <c r="AN36" s="749"/>
      <c r="AO36" s="749"/>
      <c r="AP36" s="749"/>
      <c r="AQ36" s="749"/>
      <c r="AR36" s="749"/>
      <c r="AS36" s="749"/>
      <c r="AT36" s="749"/>
      <c r="AU36" s="749"/>
      <c r="AV36" s="749"/>
      <c r="AW36" s="749"/>
      <c r="AX36" s="749"/>
      <c r="AY36" s="749"/>
      <c r="AZ36" s="749"/>
      <c r="BA36" s="749"/>
      <c r="BB36" s="749"/>
      <c r="BC36" s="749"/>
      <c r="BD36" s="749"/>
      <c r="BE36" s="749"/>
      <c r="BF36" s="749"/>
      <c r="BG36" s="749"/>
      <c r="BH36" s="749"/>
      <c r="BI36" s="749"/>
      <c r="BJ36" s="749"/>
      <c r="BK36" s="749"/>
      <c r="BL36" s="749"/>
      <c r="BM36" s="749"/>
      <c r="BN36" s="749"/>
      <c r="BO36" s="749"/>
      <c r="BP36" s="749"/>
      <c r="BQ36" s="749"/>
      <c r="BR36" s="749"/>
      <c r="BS36" s="749"/>
      <c r="BT36" s="749"/>
      <c r="BU36" s="749"/>
      <c r="BV36" s="749"/>
      <c r="BW36" s="749"/>
      <c r="BX36" s="749"/>
      <c r="BY36" s="749"/>
      <c r="BZ36" s="749"/>
      <c r="CA36" s="749"/>
      <c r="CB36" s="749"/>
      <c r="CC36" s="749"/>
      <c r="CD36" s="749"/>
      <c r="CE36" s="749"/>
      <c r="CF36" s="749"/>
      <c r="CG36" s="749"/>
      <c r="CH36" s="749"/>
      <c r="CI36" s="749"/>
      <c r="CJ36" s="749"/>
      <c r="CK36" s="749"/>
      <c r="CL36" s="749"/>
      <c r="CM36" s="749"/>
      <c r="CN36" s="749"/>
      <c r="CO36" s="749"/>
      <c r="CP36" s="749"/>
      <c r="CQ36" s="749"/>
      <c r="CR36" s="749"/>
      <c r="CS36" s="749"/>
      <c r="CT36" s="749"/>
      <c r="CU36" s="749"/>
      <c r="CV36" s="749"/>
      <c r="CW36" s="749"/>
      <c r="CX36" s="749"/>
      <c r="CY36" s="749"/>
      <c r="CZ36" s="749"/>
      <c r="DA36" s="749"/>
      <c r="DB36" s="749"/>
      <c r="DC36" s="749"/>
      <c r="DD36" s="749"/>
      <c r="DE36" s="749"/>
      <c r="DF36" s="749"/>
      <c r="DG36" s="749"/>
      <c r="DH36" s="749"/>
      <c r="DI36" s="749"/>
      <c r="DJ36" s="749"/>
      <c r="DK36" s="749"/>
      <c r="DL36" s="749"/>
      <c r="DM36" s="749"/>
      <c r="DN36" s="749"/>
      <c r="DO36" s="749"/>
      <c r="DP36" s="749"/>
      <c r="DQ36" s="749"/>
      <c r="DR36" s="749"/>
      <c r="DS36" s="749"/>
      <c r="DT36" s="749"/>
      <c r="DU36" s="749"/>
      <c r="DV36" s="749"/>
      <c r="DW36" s="749"/>
      <c r="DX36" s="749"/>
      <c r="DY36" s="749"/>
      <c r="DZ36" s="749"/>
      <c r="EA36" s="749"/>
      <c r="EB36" s="749"/>
      <c r="EC36" s="749"/>
      <c r="ED36" s="749"/>
      <c r="EE36" s="749"/>
      <c r="EF36" s="749"/>
      <c r="EG36" s="749"/>
      <c r="EH36" s="749"/>
      <c r="EI36" s="749"/>
      <c r="EJ36" s="749"/>
      <c r="EK36" s="749"/>
      <c r="EL36" s="749"/>
      <c r="EM36" s="749"/>
      <c r="EN36" s="749"/>
      <c r="EO36" s="749"/>
      <c r="EP36" s="749"/>
      <c r="EQ36" s="749"/>
      <c r="ER36" s="749"/>
      <c r="ES36" s="749"/>
      <c r="ET36" s="749"/>
      <c r="EU36" s="749"/>
      <c r="EV36" s="749"/>
      <c r="EW36" s="749"/>
      <c r="EX36" s="749"/>
      <c r="EY36" s="749"/>
      <c r="EZ36" s="749"/>
      <c r="FA36" s="749"/>
      <c r="FB36" s="749"/>
      <c r="FC36" s="749"/>
      <c r="FD36" s="749"/>
      <c r="FE36" s="749"/>
      <c r="FF36" s="749"/>
      <c r="FG36" s="749"/>
      <c r="FH36" s="749"/>
      <c r="FI36" s="749"/>
      <c r="FJ36" s="749"/>
      <c r="FK36" s="749"/>
      <c r="FL36" s="749"/>
      <c r="FM36" s="749"/>
      <c r="FN36" s="749"/>
      <c r="FO36" s="749"/>
      <c r="FP36" s="749"/>
      <c r="FQ36" s="749"/>
      <c r="FR36" s="749"/>
      <c r="FS36" s="749"/>
      <c r="FT36" s="749"/>
      <c r="FU36" s="749"/>
      <c r="FV36" s="749"/>
      <c r="FW36" s="749"/>
      <c r="FX36" s="749"/>
      <c r="FY36" s="749"/>
      <c r="FZ36" s="749"/>
      <c r="GA36" s="749"/>
      <c r="GB36" s="749"/>
      <c r="GC36" s="749"/>
      <c r="GD36" s="749"/>
      <c r="GE36" s="749"/>
      <c r="GF36" s="749"/>
      <c r="GG36" s="749"/>
      <c r="GH36" s="749"/>
      <c r="GI36" s="749"/>
      <c r="GJ36" s="749"/>
      <c r="GK36" s="749"/>
      <c r="GL36" s="749"/>
      <c r="GM36" s="749"/>
      <c r="GN36" s="749"/>
      <c r="GO36" s="749"/>
      <c r="GP36" s="749"/>
      <c r="GQ36" s="749"/>
      <c r="GR36" s="749"/>
      <c r="GS36" s="749"/>
      <c r="GT36" s="749"/>
      <c r="GU36" s="749"/>
      <c r="GV36" s="749"/>
      <c r="GW36" s="749"/>
      <c r="GX36" s="749"/>
      <c r="GY36" s="749"/>
      <c r="GZ36" s="749"/>
      <c r="HA36" s="749"/>
      <c r="HB36" s="749"/>
      <c r="HC36" s="749"/>
      <c r="HD36" s="749"/>
      <c r="HE36" s="749"/>
      <c r="HF36" s="749"/>
      <c r="HG36" s="749"/>
      <c r="HH36" s="749"/>
      <c r="HI36" s="749"/>
      <c r="HJ36" s="749"/>
      <c r="HK36" s="749"/>
      <c r="HL36" s="749"/>
      <c r="HM36" s="749"/>
    </row>
    <row r="37" spans="1:221" ht="12.75">
      <c r="A37" s="780"/>
      <c r="B37" s="855"/>
      <c r="C37" s="838"/>
      <c r="D37" s="836"/>
      <c r="E37" s="838"/>
      <c r="F37" s="872"/>
      <c r="G37" s="838"/>
      <c r="H37" s="872"/>
      <c r="I37" s="838"/>
      <c r="J37" s="872"/>
      <c r="K37" s="838"/>
      <c r="L37" s="872"/>
      <c r="M37" s="838"/>
      <c r="N37" s="836"/>
      <c r="O37" s="844"/>
      <c r="P37" s="920"/>
      <c r="Q37" s="921"/>
      <c r="R37" s="922"/>
      <c r="S37" s="998"/>
      <c r="T37" s="999"/>
      <c r="U37" s="999"/>
      <c r="V37" s="1000"/>
      <c r="W37" s="749"/>
      <c r="X37" s="749"/>
      <c r="Y37" s="749"/>
      <c r="Z37" s="749"/>
      <c r="AA37" s="749"/>
      <c r="AB37" s="749"/>
      <c r="AC37" s="749"/>
      <c r="AD37" s="749"/>
      <c r="AE37" s="749"/>
      <c r="AF37" s="749"/>
      <c r="AG37" s="749"/>
      <c r="AH37" s="749"/>
      <c r="AI37" s="749"/>
      <c r="AJ37" s="749"/>
      <c r="AK37" s="749"/>
      <c r="AL37" s="749"/>
      <c r="AM37" s="749"/>
      <c r="AN37" s="749"/>
      <c r="AO37" s="749"/>
      <c r="AP37" s="749"/>
      <c r="AQ37" s="749"/>
      <c r="AR37" s="749"/>
      <c r="AS37" s="749"/>
      <c r="AT37" s="749"/>
      <c r="AU37" s="749"/>
      <c r="AV37" s="749"/>
      <c r="AW37" s="749"/>
      <c r="AX37" s="749"/>
      <c r="AY37" s="749"/>
      <c r="AZ37" s="749"/>
      <c r="BA37" s="749"/>
      <c r="BB37" s="749"/>
      <c r="BC37" s="749"/>
      <c r="BD37" s="749"/>
      <c r="BE37" s="749"/>
      <c r="BF37" s="749"/>
      <c r="BG37" s="749"/>
      <c r="BH37" s="749"/>
      <c r="BI37" s="749"/>
      <c r="BJ37" s="749"/>
      <c r="BK37" s="749"/>
      <c r="BL37" s="749"/>
      <c r="BM37" s="749"/>
      <c r="BN37" s="749"/>
      <c r="BO37" s="749"/>
      <c r="BP37" s="749"/>
      <c r="BQ37" s="749"/>
      <c r="BR37" s="749"/>
      <c r="BS37" s="749"/>
      <c r="BT37" s="749"/>
      <c r="BU37" s="749"/>
      <c r="BV37" s="749"/>
      <c r="BW37" s="749"/>
      <c r="BX37" s="749"/>
      <c r="BY37" s="749"/>
      <c r="BZ37" s="749"/>
      <c r="CA37" s="749"/>
      <c r="CB37" s="749"/>
      <c r="CC37" s="749"/>
      <c r="CD37" s="749"/>
      <c r="CE37" s="749"/>
      <c r="CF37" s="749"/>
      <c r="CG37" s="749"/>
      <c r="CH37" s="749"/>
      <c r="CI37" s="749"/>
      <c r="CJ37" s="749"/>
      <c r="CK37" s="749"/>
      <c r="CL37" s="749"/>
      <c r="CM37" s="749"/>
      <c r="CN37" s="749"/>
      <c r="CO37" s="749"/>
      <c r="CP37" s="749"/>
      <c r="CQ37" s="749"/>
      <c r="CR37" s="749"/>
      <c r="CS37" s="749"/>
      <c r="CT37" s="749"/>
      <c r="CU37" s="749"/>
      <c r="CV37" s="749"/>
      <c r="CW37" s="749"/>
      <c r="CX37" s="749"/>
      <c r="CY37" s="749"/>
      <c r="CZ37" s="749"/>
      <c r="DA37" s="749"/>
      <c r="DB37" s="749"/>
      <c r="DC37" s="749"/>
      <c r="DD37" s="749"/>
      <c r="DE37" s="749"/>
      <c r="DF37" s="749"/>
      <c r="DG37" s="749"/>
      <c r="DH37" s="749"/>
      <c r="DI37" s="749"/>
      <c r="DJ37" s="749"/>
      <c r="DK37" s="749"/>
      <c r="DL37" s="749"/>
      <c r="DM37" s="749"/>
      <c r="DN37" s="749"/>
      <c r="DO37" s="749"/>
      <c r="DP37" s="749"/>
      <c r="DQ37" s="749"/>
      <c r="DR37" s="749"/>
      <c r="DS37" s="749"/>
      <c r="DT37" s="749"/>
      <c r="DU37" s="749"/>
      <c r="DV37" s="749"/>
      <c r="DW37" s="749"/>
      <c r="DX37" s="749"/>
      <c r="DY37" s="749"/>
      <c r="DZ37" s="749"/>
      <c r="EA37" s="749"/>
      <c r="EB37" s="749"/>
      <c r="EC37" s="749"/>
      <c r="ED37" s="749"/>
      <c r="EE37" s="749"/>
      <c r="EF37" s="749"/>
      <c r="EG37" s="749"/>
      <c r="EH37" s="749"/>
      <c r="EI37" s="749"/>
      <c r="EJ37" s="749"/>
      <c r="EK37" s="749"/>
      <c r="EL37" s="749"/>
      <c r="EM37" s="749"/>
      <c r="EN37" s="749"/>
      <c r="EO37" s="749"/>
      <c r="EP37" s="749"/>
      <c r="EQ37" s="749"/>
      <c r="ER37" s="749"/>
      <c r="ES37" s="749"/>
      <c r="ET37" s="749"/>
      <c r="EU37" s="749"/>
      <c r="EV37" s="749"/>
      <c r="EW37" s="749"/>
      <c r="EX37" s="749"/>
      <c r="EY37" s="749"/>
      <c r="EZ37" s="749"/>
      <c r="FA37" s="749"/>
      <c r="FB37" s="749"/>
      <c r="FC37" s="749"/>
      <c r="FD37" s="749"/>
      <c r="FE37" s="749"/>
      <c r="FF37" s="749"/>
      <c r="FG37" s="749"/>
      <c r="FH37" s="749"/>
      <c r="FI37" s="749"/>
      <c r="FJ37" s="749"/>
      <c r="FK37" s="749"/>
      <c r="FL37" s="749"/>
      <c r="FM37" s="749"/>
      <c r="FN37" s="749"/>
      <c r="FO37" s="749"/>
      <c r="FP37" s="749"/>
      <c r="FQ37" s="749"/>
      <c r="FR37" s="749"/>
      <c r="FS37" s="749"/>
      <c r="FT37" s="749"/>
      <c r="FU37" s="749"/>
      <c r="FV37" s="749"/>
      <c r="FW37" s="749"/>
      <c r="FX37" s="749"/>
      <c r="FY37" s="749"/>
      <c r="FZ37" s="749"/>
      <c r="GA37" s="749"/>
      <c r="GB37" s="749"/>
      <c r="GC37" s="749"/>
      <c r="GD37" s="749"/>
      <c r="GE37" s="749"/>
      <c r="GF37" s="749"/>
      <c r="GG37" s="749"/>
      <c r="GH37" s="749"/>
      <c r="GI37" s="749"/>
      <c r="GJ37" s="749"/>
      <c r="GK37" s="749"/>
      <c r="GL37" s="749"/>
      <c r="GM37" s="749"/>
      <c r="GN37" s="749"/>
      <c r="GO37" s="749"/>
      <c r="GP37" s="749"/>
      <c r="GQ37" s="749"/>
      <c r="GR37" s="749"/>
      <c r="GS37" s="749"/>
      <c r="GT37" s="749"/>
      <c r="GU37" s="749"/>
      <c r="GV37" s="749"/>
      <c r="GW37" s="749"/>
      <c r="GX37" s="749"/>
      <c r="GY37" s="749"/>
      <c r="GZ37" s="749"/>
      <c r="HA37" s="749"/>
      <c r="HB37" s="749"/>
      <c r="HC37" s="749"/>
      <c r="HD37" s="749"/>
      <c r="HE37" s="749"/>
      <c r="HF37" s="749"/>
      <c r="HG37" s="749"/>
      <c r="HH37" s="749"/>
      <c r="HI37" s="749"/>
      <c r="HJ37" s="749"/>
      <c r="HK37" s="749"/>
      <c r="HL37" s="749"/>
      <c r="HM37" s="749"/>
    </row>
    <row r="38" spans="1:221" ht="12.75">
      <c r="A38" s="3"/>
      <c r="B38" s="856" t="s">
        <v>6936</v>
      </c>
      <c r="C38" s="879"/>
      <c r="D38" s="885" t="e">
        <f t="shared" ref="D38:D39" si="12">E38/$E$27</f>
        <v>#DIV/0!</v>
      </c>
      <c r="E38" s="879">
        <f>G38+M38+N38+O38</f>
        <v>0</v>
      </c>
      <c r="F38" s="876" t="e">
        <f t="shared" ref="F38:F39" si="13">G38/$G$27</f>
        <v>#DIV/0!</v>
      </c>
      <c r="G38" s="879">
        <f t="shared" ref="G38:G39" si="14">I38+K38</f>
        <v>0</v>
      </c>
      <c r="H38" s="876">
        <f>'TAB 3 Project Cost'!F23</f>
        <v>4.0000000000000001E-3</v>
      </c>
      <c r="I38" s="879">
        <f>'TAB 3 Project Cost'!G23</f>
        <v>0</v>
      </c>
      <c r="J38" s="876">
        <f>'TAB 3 Project Cost'!F54</f>
        <v>4.0000000000000001E-3</v>
      </c>
      <c r="K38" s="879">
        <f>'TAB 3 Project Cost'!G54</f>
        <v>0</v>
      </c>
      <c r="L38" s="876"/>
      <c r="M38" s="879"/>
      <c r="N38" s="868"/>
      <c r="O38" s="851"/>
      <c r="P38" s="923">
        <f>'TAB 3 Project Cost'!AC54</f>
        <v>0</v>
      </c>
      <c r="Q38" s="924">
        <f>'TAB 3 Project Cost'!AD54</f>
        <v>0</v>
      </c>
      <c r="R38" s="925">
        <f>'TAB 3 Project Cost'!AE54</f>
        <v>0</v>
      </c>
      <c r="S38" s="995"/>
      <c r="T38" s="996"/>
      <c r="U38" s="996"/>
      <c r="V38" s="997"/>
      <c r="W38" s="749"/>
      <c r="X38" s="749"/>
      <c r="Y38" s="749"/>
      <c r="Z38" s="749"/>
      <c r="AA38" s="749"/>
      <c r="AB38" s="749"/>
      <c r="AC38" s="749"/>
      <c r="AD38" s="749"/>
      <c r="AE38" s="749"/>
      <c r="AF38" s="749"/>
      <c r="AG38" s="749"/>
      <c r="AH38" s="749"/>
      <c r="AI38" s="749"/>
      <c r="AJ38" s="749"/>
      <c r="AK38" s="749"/>
      <c r="AL38" s="749"/>
      <c r="AM38" s="749"/>
      <c r="AN38" s="749"/>
      <c r="AO38" s="749"/>
      <c r="AP38" s="749"/>
      <c r="AQ38" s="749"/>
      <c r="AR38" s="749"/>
      <c r="AS38" s="749"/>
      <c r="AT38" s="749"/>
      <c r="AU38" s="749"/>
      <c r="AV38" s="749"/>
      <c r="AW38" s="749"/>
      <c r="AX38" s="749"/>
      <c r="AY38" s="749"/>
      <c r="AZ38" s="749"/>
      <c r="BA38" s="749"/>
      <c r="BB38" s="749"/>
      <c r="BC38" s="749"/>
      <c r="BD38" s="749"/>
      <c r="BE38" s="749"/>
      <c r="BF38" s="749"/>
      <c r="BG38" s="749"/>
      <c r="BH38" s="749"/>
      <c r="BI38" s="749"/>
      <c r="BJ38" s="749"/>
      <c r="BK38" s="749"/>
      <c r="BL38" s="749"/>
      <c r="BM38" s="749"/>
      <c r="BN38" s="749"/>
      <c r="BO38" s="749"/>
      <c r="BP38" s="749"/>
      <c r="BQ38" s="749"/>
      <c r="BR38" s="749"/>
      <c r="BS38" s="749"/>
      <c r="BT38" s="749"/>
      <c r="BU38" s="749"/>
      <c r="BV38" s="749"/>
      <c r="BW38" s="749"/>
      <c r="BX38" s="749"/>
      <c r="BY38" s="749"/>
      <c r="BZ38" s="749"/>
      <c r="CA38" s="749"/>
      <c r="CB38" s="749"/>
      <c r="CC38" s="749"/>
      <c r="CD38" s="749"/>
      <c r="CE38" s="749"/>
      <c r="CF38" s="749"/>
      <c r="CG38" s="749"/>
      <c r="CH38" s="749"/>
      <c r="CI38" s="749"/>
      <c r="CJ38" s="749"/>
      <c r="CK38" s="749"/>
      <c r="CL38" s="749"/>
      <c r="CM38" s="749"/>
      <c r="CN38" s="749"/>
      <c r="CO38" s="749"/>
      <c r="CP38" s="749"/>
      <c r="CQ38" s="749"/>
      <c r="CR38" s="749"/>
      <c r="CS38" s="749"/>
      <c r="CT38" s="749"/>
      <c r="CU38" s="749"/>
      <c r="CV38" s="749"/>
      <c r="CW38" s="749"/>
      <c r="CX38" s="749"/>
      <c r="CY38" s="749"/>
      <c r="CZ38" s="749"/>
      <c r="DA38" s="749"/>
      <c r="DB38" s="749"/>
      <c r="DC38" s="749"/>
      <c r="DD38" s="749"/>
      <c r="DE38" s="749"/>
      <c r="DF38" s="749"/>
      <c r="DG38" s="749"/>
      <c r="DH38" s="749"/>
      <c r="DI38" s="749"/>
      <c r="DJ38" s="749"/>
      <c r="DK38" s="749"/>
      <c r="DL38" s="749"/>
      <c r="DM38" s="749"/>
      <c r="DN38" s="749"/>
      <c r="DO38" s="749"/>
      <c r="DP38" s="749"/>
      <c r="DQ38" s="749"/>
      <c r="DR38" s="749"/>
      <c r="DS38" s="749"/>
      <c r="DT38" s="749"/>
      <c r="DU38" s="749"/>
      <c r="DV38" s="749"/>
      <c r="DW38" s="749"/>
      <c r="DX38" s="749"/>
      <c r="DY38" s="749"/>
      <c r="DZ38" s="749"/>
      <c r="EA38" s="749"/>
      <c r="EB38" s="749"/>
      <c r="EC38" s="749"/>
      <c r="ED38" s="749"/>
      <c r="EE38" s="749"/>
      <c r="EF38" s="749"/>
      <c r="EG38" s="749"/>
      <c r="EH38" s="749"/>
      <c r="EI38" s="749"/>
      <c r="EJ38" s="749"/>
      <c r="EK38" s="749"/>
      <c r="EL38" s="749"/>
      <c r="EM38" s="749"/>
      <c r="EN38" s="749"/>
      <c r="EO38" s="749"/>
      <c r="EP38" s="749"/>
      <c r="EQ38" s="749"/>
      <c r="ER38" s="749"/>
      <c r="ES38" s="749"/>
      <c r="ET38" s="749"/>
      <c r="EU38" s="749"/>
      <c r="EV38" s="749"/>
      <c r="EW38" s="749"/>
      <c r="EX38" s="749"/>
      <c r="EY38" s="749"/>
      <c r="EZ38" s="749"/>
      <c r="FA38" s="749"/>
      <c r="FB38" s="749"/>
      <c r="FC38" s="749"/>
      <c r="FD38" s="749"/>
      <c r="FE38" s="749"/>
      <c r="FF38" s="749"/>
      <c r="FG38" s="749"/>
      <c r="FH38" s="749"/>
      <c r="FI38" s="749"/>
      <c r="FJ38" s="749"/>
      <c r="FK38" s="749"/>
      <c r="FL38" s="749"/>
      <c r="FM38" s="749"/>
      <c r="FN38" s="749"/>
      <c r="FO38" s="749"/>
      <c r="FP38" s="749"/>
      <c r="FQ38" s="749"/>
      <c r="FR38" s="749"/>
      <c r="FS38" s="749"/>
      <c r="FT38" s="749"/>
      <c r="FU38" s="749"/>
      <c r="FV38" s="749"/>
      <c r="FW38" s="749"/>
      <c r="FX38" s="749"/>
      <c r="FY38" s="749"/>
      <c r="FZ38" s="749"/>
      <c r="GA38" s="749"/>
      <c r="GB38" s="749"/>
      <c r="GC38" s="749"/>
      <c r="GD38" s="749"/>
      <c r="GE38" s="749"/>
      <c r="GF38" s="749"/>
      <c r="GG38" s="749"/>
      <c r="GH38" s="749"/>
      <c r="GI38" s="749"/>
      <c r="GJ38" s="749"/>
      <c r="GK38" s="749"/>
      <c r="GL38" s="749"/>
      <c r="GM38" s="749"/>
      <c r="GN38" s="749"/>
      <c r="GO38" s="749"/>
      <c r="GP38" s="749"/>
      <c r="GQ38" s="749"/>
      <c r="GR38" s="749"/>
      <c r="GS38" s="749"/>
      <c r="GT38" s="749"/>
      <c r="GU38" s="749"/>
      <c r="GV38" s="749"/>
      <c r="GW38" s="749"/>
      <c r="GX38" s="749"/>
      <c r="GY38" s="749"/>
      <c r="GZ38" s="749"/>
      <c r="HA38" s="749"/>
      <c r="HB38" s="749"/>
      <c r="HC38" s="749"/>
      <c r="HD38" s="749"/>
      <c r="HE38" s="749"/>
      <c r="HF38" s="749"/>
      <c r="HG38" s="749"/>
      <c r="HH38" s="749"/>
      <c r="HI38" s="749"/>
      <c r="HJ38" s="749"/>
      <c r="HK38" s="749"/>
      <c r="HL38" s="749"/>
      <c r="HM38" s="749"/>
    </row>
    <row r="39" spans="1:221" ht="12.75">
      <c r="A39" s="3"/>
      <c r="B39" s="856" t="s">
        <v>7529</v>
      </c>
      <c r="C39" s="879"/>
      <c r="D39" s="885" t="e">
        <f t="shared" si="12"/>
        <v>#DIV/0!</v>
      </c>
      <c r="E39" s="879">
        <f>G39+M39+N39+O39</f>
        <v>0</v>
      </c>
      <c r="F39" s="876" t="e">
        <f t="shared" si="13"/>
        <v>#DIV/0!</v>
      </c>
      <c r="G39" s="879">
        <f t="shared" si="14"/>
        <v>0</v>
      </c>
      <c r="H39" s="876">
        <f>'TAB 3 Project Cost'!F24</f>
        <v>0.05</v>
      </c>
      <c r="I39" s="879">
        <f>'TAB 3 Project Cost'!G24</f>
        <v>0</v>
      </c>
      <c r="J39" s="876">
        <f>'TAB 3 Project Cost'!F55</f>
        <v>0.06</v>
      </c>
      <c r="K39" s="879">
        <f>'TAB 3 Project Cost'!G55</f>
        <v>0</v>
      </c>
      <c r="L39" s="876"/>
      <c r="M39" s="879"/>
      <c r="N39" s="868"/>
      <c r="O39" s="851"/>
      <c r="P39" s="923">
        <f>'TAB 3 Project Cost'!AC55</f>
        <v>0</v>
      </c>
      <c r="Q39" s="924">
        <f>'TAB 3 Project Cost'!AD55</f>
        <v>0</v>
      </c>
      <c r="R39" s="925">
        <f>'TAB 3 Project Cost'!AE55</f>
        <v>0</v>
      </c>
      <c r="S39" s="995"/>
      <c r="T39" s="996"/>
      <c r="U39" s="996"/>
      <c r="V39" s="997"/>
      <c r="W39" s="749"/>
      <c r="X39" s="749"/>
      <c r="Y39" s="749"/>
      <c r="Z39" s="749"/>
      <c r="AA39" s="749"/>
      <c r="AB39" s="749"/>
      <c r="AC39" s="749"/>
      <c r="AD39" s="749"/>
      <c r="AE39" s="749"/>
      <c r="AF39" s="749"/>
      <c r="AG39" s="749"/>
      <c r="AH39" s="749"/>
      <c r="AI39" s="749"/>
      <c r="AJ39" s="749"/>
      <c r="AK39" s="749"/>
      <c r="AL39" s="749"/>
      <c r="AM39" s="749"/>
      <c r="AN39" s="749"/>
      <c r="AO39" s="749"/>
      <c r="AP39" s="749"/>
      <c r="AQ39" s="749"/>
      <c r="AR39" s="749"/>
      <c r="AS39" s="749"/>
      <c r="AT39" s="749"/>
      <c r="AU39" s="749"/>
      <c r="AV39" s="749"/>
      <c r="AW39" s="749"/>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49"/>
      <c r="CQ39" s="749"/>
      <c r="CR39" s="749"/>
      <c r="CS39" s="749"/>
      <c r="CT39" s="749"/>
      <c r="CU39" s="749"/>
      <c r="CV39" s="749"/>
      <c r="CW39" s="749"/>
      <c r="CX39" s="749"/>
      <c r="CY39" s="749"/>
      <c r="CZ39" s="749"/>
      <c r="DA39" s="749"/>
      <c r="DB39" s="749"/>
      <c r="DC39" s="749"/>
      <c r="DD39" s="749"/>
      <c r="DE39" s="749"/>
      <c r="DF39" s="749"/>
      <c r="DG39" s="749"/>
      <c r="DH39" s="749"/>
      <c r="DI39" s="749"/>
      <c r="DJ39" s="749"/>
      <c r="DK39" s="749"/>
      <c r="DL39" s="749"/>
      <c r="DM39" s="749"/>
      <c r="DN39" s="749"/>
      <c r="DO39" s="749"/>
      <c r="DP39" s="749"/>
      <c r="DQ39" s="749"/>
      <c r="DR39" s="749"/>
      <c r="DS39" s="749"/>
      <c r="DT39" s="749"/>
      <c r="DU39" s="749"/>
      <c r="DV39" s="749"/>
      <c r="DW39" s="749"/>
      <c r="DX39" s="749"/>
      <c r="DY39" s="749"/>
      <c r="DZ39" s="749"/>
      <c r="EA39" s="749"/>
      <c r="EB39" s="749"/>
      <c r="EC39" s="749"/>
      <c r="ED39" s="749"/>
      <c r="EE39" s="749"/>
      <c r="EF39" s="749"/>
      <c r="EG39" s="749"/>
      <c r="EH39" s="749"/>
      <c r="EI39" s="749"/>
      <c r="EJ39" s="749"/>
      <c r="EK39" s="749"/>
      <c r="EL39" s="749"/>
      <c r="EM39" s="749"/>
      <c r="EN39" s="749"/>
      <c r="EO39" s="749"/>
      <c r="EP39" s="749"/>
      <c r="EQ39" s="749"/>
      <c r="ER39" s="749"/>
      <c r="ES39" s="749"/>
      <c r="ET39" s="749"/>
      <c r="EU39" s="749"/>
      <c r="EV39" s="749"/>
      <c r="EW39" s="749"/>
      <c r="EX39" s="749"/>
      <c r="EY39" s="749"/>
      <c r="EZ39" s="749"/>
      <c r="FA39" s="749"/>
      <c r="FB39" s="749"/>
      <c r="FC39" s="749"/>
      <c r="FD39" s="749"/>
      <c r="FE39" s="749"/>
      <c r="FF39" s="749"/>
      <c r="FG39" s="749"/>
      <c r="FH39" s="749"/>
      <c r="FI39" s="749"/>
      <c r="FJ39" s="749"/>
      <c r="FK39" s="749"/>
      <c r="FL39" s="749"/>
      <c r="FM39" s="749"/>
      <c r="FN39" s="749"/>
      <c r="FO39" s="749"/>
      <c r="FP39" s="749"/>
      <c r="FQ39" s="749"/>
      <c r="FR39" s="749"/>
      <c r="FS39" s="749"/>
      <c r="FT39" s="749"/>
      <c r="FU39" s="749"/>
      <c r="FV39" s="749"/>
      <c r="FW39" s="749"/>
      <c r="FX39" s="749"/>
      <c r="FY39" s="749"/>
      <c r="FZ39" s="749"/>
      <c r="GA39" s="749"/>
      <c r="GB39" s="749"/>
      <c r="GC39" s="749"/>
      <c r="GD39" s="749"/>
      <c r="GE39" s="749"/>
      <c r="GF39" s="749"/>
      <c r="GG39" s="749"/>
      <c r="GH39" s="749"/>
      <c r="GI39" s="749"/>
      <c r="GJ39" s="749"/>
      <c r="GK39" s="749"/>
      <c r="GL39" s="749"/>
      <c r="GM39" s="749"/>
      <c r="GN39" s="749"/>
      <c r="GO39" s="749"/>
      <c r="GP39" s="749"/>
      <c r="GQ39" s="749"/>
      <c r="GR39" s="749"/>
      <c r="GS39" s="749"/>
      <c r="GT39" s="749"/>
      <c r="GU39" s="749"/>
      <c r="GV39" s="749"/>
      <c r="GW39" s="749"/>
      <c r="GX39" s="749"/>
      <c r="GY39" s="749"/>
      <c r="GZ39" s="749"/>
      <c r="HA39" s="749"/>
      <c r="HB39" s="749"/>
      <c r="HC39" s="749"/>
      <c r="HD39" s="749"/>
      <c r="HE39" s="749"/>
      <c r="HF39" s="749"/>
      <c r="HG39" s="749"/>
      <c r="HH39" s="749"/>
      <c r="HI39" s="749"/>
      <c r="HJ39" s="749"/>
      <c r="HK39" s="749"/>
      <c r="HL39" s="749"/>
      <c r="HM39" s="749"/>
    </row>
    <row r="40" spans="1:221" ht="12.75">
      <c r="A40" s="779"/>
      <c r="B40" s="901"/>
      <c r="C40" s="877"/>
      <c r="D40" s="836"/>
      <c r="E40" s="838"/>
      <c r="F40" s="872"/>
      <c r="G40" s="838"/>
      <c r="H40" s="872"/>
      <c r="I40" s="838"/>
      <c r="J40" s="872"/>
      <c r="K40" s="838"/>
      <c r="L40" s="872"/>
      <c r="M40" s="838"/>
      <c r="N40" s="836"/>
      <c r="O40" s="844"/>
      <c r="P40" s="920"/>
      <c r="Q40" s="921"/>
      <c r="R40" s="922"/>
      <c r="S40" s="998"/>
      <c r="T40" s="999"/>
      <c r="U40" s="999"/>
      <c r="V40" s="1000"/>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49"/>
      <c r="AY40" s="749"/>
      <c r="AZ40" s="749"/>
      <c r="BA40" s="749"/>
      <c r="BB40" s="749"/>
      <c r="BC40" s="749"/>
      <c r="BD40" s="749"/>
      <c r="BE40" s="749"/>
      <c r="BF40" s="749"/>
      <c r="BG40" s="749"/>
      <c r="BH40" s="749"/>
      <c r="BI40" s="749"/>
      <c r="BJ40" s="749"/>
      <c r="BK40" s="749"/>
      <c r="BL40" s="749"/>
      <c r="BM40" s="749"/>
      <c r="BN40" s="749"/>
      <c r="BO40" s="749"/>
      <c r="BP40" s="749"/>
      <c r="BQ40" s="749"/>
      <c r="BR40" s="749"/>
      <c r="BS40" s="749"/>
      <c r="BT40" s="749"/>
      <c r="BU40" s="749"/>
      <c r="BV40" s="749"/>
      <c r="BW40" s="749"/>
      <c r="BX40" s="749"/>
      <c r="BY40" s="749"/>
      <c r="BZ40" s="749"/>
      <c r="CA40" s="749"/>
      <c r="CB40" s="749"/>
      <c r="CC40" s="749"/>
      <c r="CD40" s="749"/>
      <c r="CE40" s="749"/>
      <c r="CF40" s="749"/>
      <c r="CG40" s="749"/>
      <c r="CH40" s="749"/>
      <c r="CI40" s="749"/>
      <c r="CJ40" s="749"/>
      <c r="CK40" s="749"/>
      <c r="CL40" s="749"/>
      <c r="CM40" s="749"/>
      <c r="CN40" s="749"/>
      <c r="CO40" s="749"/>
      <c r="CP40" s="749"/>
      <c r="CQ40" s="749"/>
      <c r="CR40" s="749"/>
      <c r="CS40" s="749"/>
      <c r="CT40" s="749"/>
      <c r="CU40" s="749"/>
      <c r="CV40" s="749"/>
      <c r="CW40" s="749"/>
      <c r="CX40" s="749"/>
      <c r="CY40" s="749"/>
      <c r="CZ40" s="749"/>
      <c r="DA40" s="749"/>
      <c r="DB40" s="749"/>
      <c r="DC40" s="749"/>
      <c r="DD40" s="749"/>
      <c r="DE40" s="749"/>
      <c r="DF40" s="749"/>
      <c r="DG40" s="749"/>
      <c r="DH40" s="749"/>
      <c r="DI40" s="749"/>
      <c r="DJ40" s="749"/>
      <c r="DK40" s="749"/>
      <c r="DL40" s="749"/>
      <c r="DM40" s="749"/>
      <c r="DN40" s="749"/>
      <c r="DO40" s="749"/>
      <c r="DP40" s="749"/>
      <c r="DQ40" s="749"/>
      <c r="DR40" s="749"/>
      <c r="DS40" s="749"/>
      <c r="DT40" s="749"/>
      <c r="DU40" s="749"/>
      <c r="DV40" s="749"/>
      <c r="DW40" s="749"/>
      <c r="DX40" s="749"/>
      <c r="DY40" s="749"/>
      <c r="DZ40" s="749"/>
      <c r="EA40" s="749"/>
      <c r="EB40" s="749"/>
      <c r="EC40" s="749"/>
      <c r="ED40" s="749"/>
      <c r="EE40" s="749"/>
      <c r="EF40" s="749"/>
      <c r="EG40" s="749"/>
      <c r="EH40" s="749"/>
      <c r="EI40" s="749"/>
      <c r="EJ40" s="749"/>
      <c r="EK40" s="749"/>
      <c r="EL40" s="749"/>
      <c r="EM40" s="749"/>
      <c r="EN40" s="749"/>
      <c r="EO40" s="749"/>
      <c r="EP40" s="749"/>
      <c r="EQ40" s="749"/>
      <c r="ER40" s="749"/>
      <c r="ES40" s="749"/>
      <c r="ET40" s="749"/>
      <c r="EU40" s="749"/>
      <c r="EV40" s="749"/>
      <c r="EW40" s="749"/>
      <c r="EX40" s="749"/>
      <c r="EY40" s="749"/>
      <c r="EZ40" s="749"/>
      <c r="FA40" s="749"/>
      <c r="FB40" s="749"/>
      <c r="FC40" s="749"/>
      <c r="FD40" s="749"/>
      <c r="FE40" s="749"/>
      <c r="FF40" s="749"/>
      <c r="FG40" s="749"/>
      <c r="FH40" s="749"/>
      <c r="FI40" s="749"/>
      <c r="FJ40" s="749"/>
      <c r="FK40" s="749"/>
      <c r="FL40" s="749"/>
      <c r="FM40" s="749"/>
      <c r="FN40" s="749"/>
      <c r="FO40" s="749"/>
      <c r="FP40" s="749"/>
      <c r="FQ40" s="749"/>
      <c r="FR40" s="749"/>
      <c r="FS40" s="749"/>
      <c r="FT40" s="749"/>
      <c r="FU40" s="749"/>
      <c r="FV40" s="749"/>
      <c r="FW40" s="749"/>
      <c r="FX40" s="749"/>
      <c r="FY40" s="749"/>
      <c r="FZ40" s="749"/>
      <c r="GA40" s="749"/>
      <c r="GB40" s="749"/>
      <c r="GC40" s="749"/>
      <c r="GD40" s="749"/>
      <c r="GE40" s="749"/>
      <c r="GF40" s="749"/>
      <c r="GG40" s="749"/>
      <c r="GH40" s="749"/>
      <c r="GI40" s="749"/>
      <c r="GJ40" s="749"/>
      <c r="GK40" s="749"/>
      <c r="GL40" s="749"/>
      <c r="GM40" s="749"/>
      <c r="GN40" s="749"/>
      <c r="GO40" s="749"/>
      <c r="GP40" s="749"/>
      <c r="GQ40" s="749"/>
      <c r="GR40" s="749"/>
      <c r="GS40" s="749"/>
      <c r="GT40" s="749"/>
      <c r="GU40" s="749"/>
      <c r="GV40" s="749"/>
      <c r="GW40" s="749"/>
      <c r="GX40" s="749"/>
      <c r="GY40" s="749"/>
      <c r="GZ40" s="749"/>
      <c r="HA40" s="749"/>
      <c r="HB40" s="749"/>
      <c r="HC40" s="749"/>
      <c r="HD40" s="749"/>
      <c r="HE40" s="749"/>
      <c r="HF40" s="749"/>
      <c r="HG40" s="749"/>
      <c r="HH40" s="749"/>
      <c r="HI40" s="749"/>
      <c r="HJ40" s="749"/>
      <c r="HK40" s="749"/>
      <c r="HL40" s="749"/>
      <c r="HM40" s="749"/>
    </row>
    <row r="41" spans="1:221" ht="12.75">
      <c r="A41" s="747"/>
      <c r="B41" s="856" t="s">
        <v>7547</v>
      </c>
      <c r="C41" s="879"/>
      <c r="D41" s="885" t="e">
        <f>E41/$E$27</f>
        <v>#DIV/0!</v>
      </c>
      <c r="E41" s="879">
        <f>G41+M41+N41+O41</f>
        <v>0</v>
      </c>
      <c r="F41" s="876" t="e">
        <f t="shared" ref="F41" si="15">G41/$G$27</f>
        <v>#DIV/0!</v>
      </c>
      <c r="G41" s="879">
        <f t="shared" ref="G41" si="16">I41+K41</f>
        <v>0</v>
      </c>
      <c r="H41" s="876">
        <f>'TAB 3 Project Cost'!F25</f>
        <v>0.02</v>
      </c>
      <c r="I41" s="879">
        <f>'TAB 3 Project Cost'!G25</f>
        <v>0</v>
      </c>
      <c r="J41" s="876">
        <f>'TAB 3 Project Cost'!F56</f>
        <v>0.02</v>
      </c>
      <c r="K41" s="879">
        <f>'TAB 3 Project Cost'!G56</f>
        <v>0</v>
      </c>
      <c r="L41" s="876"/>
      <c r="M41" s="879"/>
      <c r="N41" s="868"/>
      <c r="O41" s="851"/>
      <c r="P41" s="923">
        <f>'TAB 3 Project Cost'!AC56</f>
        <v>0</v>
      </c>
      <c r="Q41" s="924">
        <f>'TAB 3 Project Cost'!AD56</f>
        <v>0</v>
      </c>
      <c r="R41" s="925">
        <f>'TAB 3 Project Cost'!AE56</f>
        <v>0</v>
      </c>
      <c r="S41" s="995"/>
      <c r="T41" s="996"/>
      <c r="U41" s="996"/>
      <c r="V41" s="997"/>
      <c r="W41" s="749"/>
      <c r="X41" s="749"/>
      <c r="Y41" s="749"/>
      <c r="Z41" s="749"/>
      <c r="AA41" s="749"/>
      <c r="AB41" s="749"/>
      <c r="AC41" s="749"/>
      <c r="AD41" s="749"/>
      <c r="AE41" s="749"/>
      <c r="AF41" s="749"/>
      <c r="AG41" s="749"/>
      <c r="AH41" s="749"/>
      <c r="AI41" s="749"/>
      <c r="AJ41" s="749"/>
      <c r="AK41" s="749"/>
      <c r="AL41" s="749"/>
      <c r="AM41" s="749"/>
      <c r="AN41" s="749"/>
      <c r="AO41" s="749"/>
      <c r="AP41" s="749"/>
      <c r="AQ41" s="749"/>
      <c r="AR41" s="749"/>
      <c r="AS41" s="749"/>
      <c r="AT41" s="749"/>
      <c r="AU41" s="749"/>
      <c r="AV41" s="749"/>
      <c r="AW41" s="749"/>
      <c r="AX41" s="749"/>
      <c r="AY41" s="749"/>
      <c r="AZ41" s="749"/>
      <c r="BA41" s="749"/>
      <c r="BB41" s="749"/>
      <c r="BC41" s="749"/>
      <c r="BD41" s="749"/>
      <c r="BE41" s="749"/>
      <c r="BF41" s="749"/>
      <c r="BG41" s="749"/>
      <c r="BH41" s="749"/>
      <c r="BI41" s="749"/>
      <c r="BJ41" s="749"/>
      <c r="BK41" s="749"/>
      <c r="BL41" s="749"/>
      <c r="BM41" s="749"/>
      <c r="BN41" s="749"/>
      <c r="BO41" s="749"/>
      <c r="BP41" s="749"/>
      <c r="BQ41" s="749"/>
      <c r="BR41" s="749"/>
      <c r="BS41" s="749"/>
      <c r="BT41" s="749"/>
      <c r="BU41" s="749"/>
      <c r="BV41" s="749"/>
      <c r="BW41" s="749"/>
      <c r="BX41" s="749"/>
      <c r="BY41" s="749"/>
      <c r="BZ41" s="749"/>
      <c r="CA41" s="749"/>
      <c r="CB41" s="749"/>
      <c r="CC41" s="749"/>
      <c r="CD41" s="749"/>
      <c r="CE41" s="749"/>
      <c r="CF41" s="749"/>
      <c r="CG41" s="749"/>
      <c r="CH41" s="749"/>
      <c r="CI41" s="749"/>
      <c r="CJ41" s="749"/>
      <c r="CK41" s="749"/>
      <c r="CL41" s="749"/>
      <c r="CM41" s="749"/>
      <c r="CN41" s="749"/>
      <c r="CO41" s="749"/>
      <c r="CP41" s="749"/>
      <c r="CQ41" s="749"/>
      <c r="CR41" s="749"/>
      <c r="CS41" s="749"/>
      <c r="CT41" s="749"/>
      <c r="CU41" s="749"/>
      <c r="CV41" s="749"/>
      <c r="CW41" s="749"/>
      <c r="CX41" s="749"/>
      <c r="CY41" s="749"/>
      <c r="CZ41" s="749"/>
      <c r="DA41" s="749"/>
      <c r="DB41" s="749"/>
      <c r="DC41" s="749"/>
      <c r="DD41" s="749"/>
      <c r="DE41" s="749"/>
      <c r="DF41" s="749"/>
      <c r="DG41" s="749"/>
      <c r="DH41" s="749"/>
      <c r="DI41" s="749"/>
      <c r="DJ41" s="749"/>
      <c r="DK41" s="749"/>
      <c r="DL41" s="749"/>
      <c r="DM41" s="749"/>
      <c r="DN41" s="749"/>
      <c r="DO41" s="749"/>
      <c r="DP41" s="749"/>
      <c r="DQ41" s="749"/>
      <c r="DR41" s="749"/>
      <c r="DS41" s="749"/>
      <c r="DT41" s="749"/>
      <c r="DU41" s="749"/>
      <c r="DV41" s="749"/>
      <c r="DW41" s="749"/>
      <c r="DX41" s="749"/>
      <c r="DY41" s="749"/>
      <c r="DZ41" s="749"/>
      <c r="EA41" s="749"/>
      <c r="EB41" s="749"/>
      <c r="EC41" s="749"/>
      <c r="ED41" s="749"/>
      <c r="EE41" s="749"/>
      <c r="EF41" s="749"/>
      <c r="EG41" s="749"/>
      <c r="EH41" s="749"/>
      <c r="EI41" s="749"/>
      <c r="EJ41" s="749"/>
      <c r="EK41" s="749"/>
      <c r="EL41" s="749"/>
      <c r="EM41" s="749"/>
      <c r="EN41" s="749"/>
      <c r="EO41" s="749"/>
      <c r="EP41" s="749"/>
      <c r="EQ41" s="749"/>
      <c r="ER41" s="749"/>
      <c r="ES41" s="749"/>
      <c r="ET41" s="749"/>
      <c r="EU41" s="749"/>
      <c r="EV41" s="749"/>
      <c r="EW41" s="749"/>
      <c r="EX41" s="749"/>
      <c r="EY41" s="749"/>
      <c r="EZ41" s="749"/>
      <c r="FA41" s="749"/>
      <c r="FB41" s="749"/>
      <c r="FC41" s="749"/>
      <c r="FD41" s="749"/>
      <c r="FE41" s="749"/>
      <c r="FF41" s="749"/>
      <c r="FG41" s="749"/>
      <c r="FH41" s="749"/>
      <c r="FI41" s="749"/>
      <c r="FJ41" s="749"/>
      <c r="FK41" s="749"/>
      <c r="FL41" s="749"/>
      <c r="FM41" s="749"/>
      <c r="FN41" s="749"/>
      <c r="FO41" s="749"/>
      <c r="FP41" s="749"/>
      <c r="FQ41" s="749"/>
      <c r="FR41" s="749"/>
      <c r="FS41" s="749"/>
      <c r="FT41" s="749"/>
      <c r="FU41" s="749"/>
      <c r="FV41" s="749"/>
      <c r="FW41" s="749"/>
      <c r="FX41" s="749"/>
      <c r="FY41" s="749"/>
      <c r="FZ41" s="749"/>
      <c r="GA41" s="749"/>
      <c r="GB41" s="749"/>
      <c r="GC41" s="749"/>
      <c r="GD41" s="749"/>
      <c r="GE41" s="749"/>
      <c r="GF41" s="749"/>
      <c r="GG41" s="749"/>
      <c r="GH41" s="749"/>
      <c r="GI41" s="749"/>
      <c r="GJ41" s="749"/>
      <c r="GK41" s="749"/>
      <c r="GL41" s="749"/>
      <c r="GM41" s="749"/>
      <c r="GN41" s="749"/>
      <c r="GO41" s="749"/>
      <c r="GP41" s="749"/>
      <c r="GQ41" s="749"/>
      <c r="GR41" s="749"/>
      <c r="GS41" s="749"/>
      <c r="GT41" s="749"/>
      <c r="GU41" s="749"/>
      <c r="GV41" s="749"/>
      <c r="GW41" s="749"/>
      <c r="GX41" s="749"/>
      <c r="GY41" s="749"/>
      <c r="GZ41" s="749"/>
      <c r="HA41" s="749"/>
      <c r="HB41" s="749"/>
      <c r="HC41" s="749"/>
      <c r="HD41" s="749"/>
      <c r="HE41" s="749"/>
      <c r="HF41" s="749"/>
      <c r="HG41" s="749"/>
      <c r="HH41" s="749"/>
      <c r="HI41" s="749"/>
      <c r="HJ41" s="749"/>
      <c r="HK41" s="749"/>
      <c r="HL41" s="749"/>
      <c r="HM41" s="749"/>
    </row>
    <row r="42" spans="1:221" ht="12.75">
      <c r="A42" s="780"/>
      <c r="B42" s="855"/>
      <c r="C42" s="838"/>
      <c r="D42" s="836"/>
      <c r="E42" s="838"/>
      <c r="F42" s="872"/>
      <c r="G42" s="838"/>
      <c r="H42" s="872"/>
      <c r="I42" s="838"/>
      <c r="J42" s="872"/>
      <c r="K42" s="838"/>
      <c r="L42" s="872"/>
      <c r="M42" s="838"/>
      <c r="N42" s="836"/>
      <c r="O42" s="844"/>
      <c r="P42" s="920"/>
      <c r="Q42" s="921"/>
      <c r="R42" s="922"/>
      <c r="S42" s="998"/>
      <c r="T42" s="999"/>
      <c r="U42" s="999"/>
      <c r="V42" s="1000"/>
      <c r="W42" s="749"/>
      <c r="X42" s="749"/>
      <c r="Y42" s="749"/>
      <c r="Z42" s="749"/>
      <c r="AA42" s="749"/>
      <c r="AB42" s="749"/>
      <c r="AC42" s="749"/>
      <c r="AD42" s="749"/>
      <c r="AE42" s="749"/>
      <c r="AF42" s="749"/>
      <c r="AG42" s="749"/>
      <c r="AH42" s="749"/>
      <c r="AI42" s="749"/>
      <c r="AJ42" s="749"/>
      <c r="AK42" s="749"/>
      <c r="AL42" s="749"/>
      <c r="AM42" s="749"/>
      <c r="AN42" s="749"/>
      <c r="AO42" s="749"/>
      <c r="AP42" s="749"/>
      <c r="AQ42" s="749"/>
      <c r="AR42" s="749"/>
      <c r="AS42" s="749"/>
      <c r="AT42" s="749"/>
      <c r="AU42" s="749"/>
      <c r="AV42" s="749"/>
      <c r="AW42" s="749"/>
      <c r="AX42" s="749"/>
      <c r="AY42" s="749"/>
      <c r="AZ42" s="749"/>
      <c r="BA42" s="749"/>
      <c r="BB42" s="749"/>
      <c r="BC42" s="749"/>
      <c r="BD42" s="749"/>
      <c r="BE42" s="749"/>
      <c r="BF42" s="749"/>
      <c r="BG42" s="749"/>
      <c r="BH42" s="749"/>
      <c r="BI42" s="749"/>
      <c r="BJ42" s="749"/>
      <c r="BK42" s="749"/>
      <c r="BL42" s="749"/>
      <c r="BM42" s="749"/>
      <c r="BN42" s="749"/>
      <c r="BO42" s="749"/>
      <c r="BP42" s="749"/>
      <c r="BQ42" s="749"/>
      <c r="BR42" s="749"/>
      <c r="BS42" s="749"/>
      <c r="BT42" s="749"/>
      <c r="BU42" s="749"/>
      <c r="BV42" s="749"/>
      <c r="BW42" s="749"/>
      <c r="BX42" s="749"/>
      <c r="BY42" s="749"/>
      <c r="BZ42" s="749"/>
      <c r="CA42" s="749"/>
      <c r="CB42" s="749"/>
      <c r="CC42" s="749"/>
      <c r="CD42" s="749"/>
      <c r="CE42" s="749"/>
      <c r="CF42" s="749"/>
      <c r="CG42" s="749"/>
      <c r="CH42" s="749"/>
      <c r="CI42" s="749"/>
      <c r="CJ42" s="749"/>
      <c r="CK42" s="749"/>
      <c r="CL42" s="749"/>
      <c r="CM42" s="749"/>
      <c r="CN42" s="749"/>
      <c r="CO42" s="749"/>
      <c r="CP42" s="749"/>
      <c r="CQ42" s="749"/>
      <c r="CR42" s="749"/>
      <c r="CS42" s="749"/>
      <c r="CT42" s="749"/>
      <c r="CU42" s="749"/>
      <c r="CV42" s="749"/>
      <c r="CW42" s="749"/>
      <c r="CX42" s="749"/>
      <c r="CY42" s="749"/>
      <c r="CZ42" s="749"/>
      <c r="DA42" s="749"/>
      <c r="DB42" s="749"/>
      <c r="DC42" s="749"/>
      <c r="DD42" s="749"/>
      <c r="DE42" s="749"/>
      <c r="DF42" s="749"/>
      <c r="DG42" s="749"/>
      <c r="DH42" s="749"/>
      <c r="DI42" s="749"/>
      <c r="DJ42" s="749"/>
      <c r="DK42" s="749"/>
      <c r="DL42" s="749"/>
      <c r="DM42" s="749"/>
      <c r="DN42" s="749"/>
      <c r="DO42" s="749"/>
      <c r="DP42" s="749"/>
      <c r="DQ42" s="749"/>
      <c r="DR42" s="749"/>
      <c r="DS42" s="749"/>
      <c r="DT42" s="749"/>
      <c r="DU42" s="749"/>
      <c r="DV42" s="749"/>
      <c r="DW42" s="749"/>
      <c r="DX42" s="749"/>
      <c r="DY42" s="749"/>
      <c r="DZ42" s="749"/>
      <c r="EA42" s="749"/>
      <c r="EB42" s="749"/>
      <c r="EC42" s="749"/>
      <c r="ED42" s="749"/>
      <c r="EE42" s="749"/>
      <c r="EF42" s="749"/>
      <c r="EG42" s="749"/>
      <c r="EH42" s="749"/>
      <c r="EI42" s="749"/>
      <c r="EJ42" s="749"/>
      <c r="EK42" s="749"/>
      <c r="EL42" s="749"/>
      <c r="EM42" s="749"/>
      <c r="EN42" s="749"/>
      <c r="EO42" s="749"/>
      <c r="EP42" s="749"/>
      <c r="EQ42" s="749"/>
      <c r="ER42" s="749"/>
      <c r="ES42" s="749"/>
      <c r="ET42" s="749"/>
      <c r="EU42" s="749"/>
      <c r="EV42" s="749"/>
      <c r="EW42" s="749"/>
      <c r="EX42" s="749"/>
      <c r="EY42" s="749"/>
      <c r="EZ42" s="749"/>
      <c r="FA42" s="749"/>
      <c r="FB42" s="749"/>
      <c r="FC42" s="749"/>
      <c r="FD42" s="749"/>
      <c r="FE42" s="749"/>
      <c r="FF42" s="749"/>
      <c r="FG42" s="749"/>
      <c r="FH42" s="749"/>
      <c r="FI42" s="749"/>
      <c r="FJ42" s="749"/>
      <c r="FK42" s="749"/>
      <c r="FL42" s="749"/>
      <c r="FM42" s="749"/>
      <c r="FN42" s="749"/>
      <c r="FO42" s="749"/>
      <c r="FP42" s="749"/>
      <c r="FQ42" s="749"/>
      <c r="FR42" s="749"/>
      <c r="FS42" s="749"/>
      <c r="FT42" s="749"/>
      <c r="FU42" s="749"/>
      <c r="FV42" s="749"/>
      <c r="FW42" s="749"/>
      <c r="FX42" s="749"/>
      <c r="FY42" s="749"/>
      <c r="FZ42" s="749"/>
      <c r="GA42" s="749"/>
      <c r="GB42" s="749"/>
      <c r="GC42" s="749"/>
      <c r="GD42" s="749"/>
      <c r="GE42" s="749"/>
      <c r="GF42" s="749"/>
      <c r="GG42" s="749"/>
      <c r="GH42" s="749"/>
      <c r="GI42" s="749"/>
      <c r="GJ42" s="749"/>
      <c r="GK42" s="749"/>
      <c r="GL42" s="749"/>
      <c r="GM42" s="749"/>
      <c r="GN42" s="749"/>
      <c r="GO42" s="749"/>
      <c r="GP42" s="749"/>
      <c r="GQ42" s="749"/>
      <c r="GR42" s="749"/>
      <c r="GS42" s="749"/>
      <c r="GT42" s="749"/>
      <c r="GU42" s="749"/>
      <c r="GV42" s="749"/>
      <c r="GW42" s="749"/>
      <c r="GX42" s="749"/>
      <c r="GY42" s="749"/>
      <c r="GZ42" s="749"/>
      <c r="HA42" s="749"/>
      <c r="HB42" s="749"/>
      <c r="HC42" s="749"/>
      <c r="HD42" s="749"/>
      <c r="HE42" s="749"/>
      <c r="HF42" s="749"/>
      <c r="HG42" s="749"/>
      <c r="HH42" s="749"/>
      <c r="HI42" s="749"/>
      <c r="HJ42" s="749"/>
      <c r="HK42" s="749"/>
      <c r="HL42" s="749"/>
      <c r="HM42" s="749"/>
    </row>
    <row r="43" spans="1:221" ht="12.75">
      <c r="A43" s="3"/>
      <c r="B43" s="856" t="s">
        <v>417</v>
      </c>
      <c r="C43" s="879"/>
      <c r="D43" s="885" t="e">
        <f>E43/$E$27</f>
        <v>#DIV/0!</v>
      </c>
      <c r="E43" s="879">
        <f>G43+M43+N43+O43</f>
        <v>0</v>
      </c>
      <c r="F43" s="876" t="e">
        <f t="shared" ref="F43" si="17">G43/$G$27</f>
        <v>#DIV/0!</v>
      </c>
      <c r="G43" s="879">
        <f t="shared" ref="G43" si="18">I43+K43</f>
        <v>0</v>
      </c>
      <c r="H43" s="876">
        <f>'TAB 3 Project Cost'!F26</f>
        <v>1.4999999999999999E-2</v>
      </c>
      <c r="I43" s="879">
        <f>'TAB 3 Project Cost'!G26</f>
        <v>0</v>
      </c>
      <c r="J43" s="876">
        <f>'TAB 3 Project Cost'!F57</f>
        <v>0.01</v>
      </c>
      <c r="K43" s="879">
        <f>'TAB 3 Project Cost'!G57</f>
        <v>0</v>
      </c>
      <c r="L43" s="876"/>
      <c r="M43" s="879"/>
      <c r="N43" s="868"/>
      <c r="O43" s="851"/>
      <c r="P43" s="923">
        <f>'TAB 3 Project Cost'!AC57</f>
        <v>0</v>
      </c>
      <c r="Q43" s="924">
        <f>'TAB 3 Project Cost'!AD57</f>
        <v>0</v>
      </c>
      <c r="R43" s="925">
        <f>'TAB 3 Project Cost'!AE57</f>
        <v>0</v>
      </c>
      <c r="S43" s="995"/>
      <c r="T43" s="996"/>
      <c r="U43" s="996"/>
      <c r="V43" s="997"/>
      <c r="W43" s="749"/>
      <c r="X43" s="749"/>
      <c r="Y43" s="749"/>
      <c r="Z43" s="749"/>
      <c r="AA43" s="749"/>
      <c r="AB43" s="749"/>
      <c r="AC43" s="749"/>
      <c r="AD43" s="749"/>
      <c r="AE43" s="749"/>
      <c r="AF43" s="749"/>
      <c r="AG43" s="749"/>
      <c r="AH43" s="749"/>
      <c r="AI43" s="749"/>
      <c r="AJ43" s="749"/>
      <c r="AK43" s="749"/>
      <c r="AL43" s="749"/>
      <c r="AM43" s="749"/>
      <c r="AN43" s="749"/>
      <c r="AO43" s="749"/>
      <c r="AP43" s="749"/>
      <c r="AQ43" s="749"/>
      <c r="AR43" s="749"/>
      <c r="AS43" s="749"/>
      <c r="AT43" s="749"/>
      <c r="AU43" s="749"/>
      <c r="AV43" s="749"/>
      <c r="AW43" s="749"/>
      <c r="AX43" s="749"/>
      <c r="AY43" s="749"/>
      <c r="AZ43" s="749"/>
      <c r="BA43" s="749"/>
      <c r="BB43" s="749"/>
      <c r="BC43" s="749"/>
      <c r="BD43" s="749"/>
      <c r="BE43" s="749"/>
      <c r="BF43" s="749"/>
      <c r="BG43" s="749"/>
      <c r="BH43" s="749"/>
      <c r="BI43" s="749"/>
      <c r="BJ43" s="749"/>
      <c r="BK43" s="749"/>
      <c r="BL43" s="749"/>
      <c r="BM43" s="749"/>
      <c r="BN43" s="749"/>
      <c r="BO43" s="749"/>
      <c r="BP43" s="749"/>
      <c r="BQ43" s="749"/>
      <c r="BR43" s="749"/>
      <c r="BS43" s="749"/>
      <c r="BT43" s="749"/>
      <c r="BU43" s="749"/>
      <c r="BV43" s="749"/>
      <c r="BW43" s="749"/>
      <c r="BX43" s="749"/>
      <c r="BY43" s="749"/>
      <c r="BZ43" s="749"/>
      <c r="CA43" s="749"/>
      <c r="CB43" s="749"/>
      <c r="CC43" s="749"/>
      <c r="CD43" s="749"/>
      <c r="CE43" s="749"/>
      <c r="CF43" s="749"/>
      <c r="CG43" s="749"/>
      <c r="CH43" s="749"/>
      <c r="CI43" s="749"/>
      <c r="CJ43" s="749"/>
      <c r="CK43" s="749"/>
      <c r="CL43" s="749"/>
      <c r="CM43" s="749"/>
      <c r="CN43" s="749"/>
      <c r="CO43" s="749"/>
      <c r="CP43" s="749"/>
      <c r="CQ43" s="749"/>
      <c r="CR43" s="749"/>
      <c r="CS43" s="749"/>
      <c r="CT43" s="749"/>
      <c r="CU43" s="749"/>
      <c r="CV43" s="749"/>
      <c r="CW43" s="749"/>
      <c r="CX43" s="749"/>
      <c r="CY43" s="749"/>
      <c r="CZ43" s="749"/>
      <c r="DA43" s="749"/>
      <c r="DB43" s="749"/>
      <c r="DC43" s="749"/>
      <c r="DD43" s="749"/>
      <c r="DE43" s="749"/>
      <c r="DF43" s="749"/>
      <c r="DG43" s="749"/>
      <c r="DH43" s="749"/>
      <c r="DI43" s="749"/>
      <c r="DJ43" s="749"/>
      <c r="DK43" s="749"/>
      <c r="DL43" s="749"/>
      <c r="DM43" s="749"/>
      <c r="DN43" s="749"/>
      <c r="DO43" s="749"/>
      <c r="DP43" s="749"/>
      <c r="DQ43" s="749"/>
      <c r="DR43" s="749"/>
      <c r="DS43" s="749"/>
      <c r="DT43" s="749"/>
      <c r="DU43" s="749"/>
      <c r="DV43" s="749"/>
      <c r="DW43" s="749"/>
      <c r="DX43" s="749"/>
      <c r="DY43" s="749"/>
      <c r="DZ43" s="749"/>
      <c r="EA43" s="749"/>
      <c r="EB43" s="749"/>
      <c r="EC43" s="749"/>
      <c r="ED43" s="749"/>
      <c r="EE43" s="749"/>
      <c r="EF43" s="749"/>
      <c r="EG43" s="749"/>
      <c r="EH43" s="749"/>
      <c r="EI43" s="749"/>
      <c r="EJ43" s="749"/>
      <c r="EK43" s="749"/>
      <c r="EL43" s="749"/>
      <c r="EM43" s="749"/>
      <c r="EN43" s="749"/>
      <c r="EO43" s="749"/>
      <c r="EP43" s="749"/>
      <c r="EQ43" s="749"/>
      <c r="ER43" s="749"/>
      <c r="ES43" s="749"/>
      <c r="ET43" s="749"/>
      <c r="EU43" s="749"/>
      <c r="EV43" s="749"/>
      <c r="EW43" s="749"/>
      <c r="EX43" s="749"/>
      <c r="EY43" s="749"/>
      <c r="EZ43" s="749"/>
      <c r="FA43" s="749"/>
      <c r="FB43" s="749"/>
      <c r="FC43" s="749"/>
      <c r="FD43" s="749"/>
      <c r="FE43" s="749"/>
      <c r="FF43" s="749"/>
      <c r="FG43" s="749"/>
      <c r="FH43" s="749"/>
      <c r="FI43" s="749"/>
      <c r="FJ43" s="749"/>
      <c r="FK43" s="749"/>
      <c r="FL43" s="749"/>
      <c r="FM43" s="749"/>
      <c r="FN43" s="749"/>
      <c r="FO43" s="749"/>
      <c r="FP43" s="749"/>
      <c r="FQ43" s="749"/>
      <c r="FR43" s="749"/>
      <c r="FS43" s="749"/>
      <c r="FT43" s="749"/>
      <c r="FU43" s="749"/>
      <c r="FV43" s="749"/>
      <c r="FW43" s="749"/>
      <c r="FX43" s="749"/>
      <c r="FY43" s="749"/>
      <c r="FZ43" s="749"/>
      <c r="GA43" s="749"/>
      <c r="GB43" s="749"/>
      <c r="GC43" s="749"/>
      <c r="GD43" s="749"/>
      <c r="GE43" s="749"/>
      <c r="GF43" s="749"/>
      <c r="GG43" s="749"/>
      <c r="GH43" s="749"/>
      <c r="GI43" s="749"/>
      <c r="GJ43" s="749"/>
      <c r="GK43" s="749"/>
      <c r="GL43" s="749"/>
      <c r="GM43" s="749"/>
      <c r="GN43" s="749"/>
      <c r="GO43" s="749"/>
      <c r="GP43" s="749"/>
      <c r="GQ43" s="749"/>
      <c r="GR43" s="749"/>
      <c r="GS43" s="749"/>
      <c r="GT43" s="749"/>
      <c r="GU43" s="749"/>
      <c r="GV43" s="749"/>
      <c r="GW43" s="749"/>
      <c r="GX43" s="749"/>
      <c r="GY43" s="749"/>
      <c r="GZ43" s="749"/>
      <c r="HA43" s="749"/>
      <c r="HB43" s="749"/>
      <c r="HC43" s="749"/>
      <c r="HD43" s="749"/>
      <c r="HE43" s="749"/>
      <c r="HF43" s="749"/>
      <c r="HG43" s="749"/>
      <c r="HH43" s="749"/>
      <c r="HI43" s="749"/>
      <c r="HJ43" s="749"/>
      <c r="HK43" s="749"/>
      <c r="HL43" s="749"/>
      <c r="HM43" s="749"/>
    </row>
    <row r="44" spans="1:221" ht="12.75">
      <c r="A44" s="3"/>
      <c r="B44" s="849"/>
      <c r="C44" s="838"/>
      <c r="D44" s="836"/>
      <c r="E44" s="838"/>
      <c r="F44" s="872"/>
      <c r="G44" s="838"/>
      <c r="H44" s="872"/>
      <c r="I44" s="838"/>
      <c r="J44" s="872"/>
      <c r="K44" s="838"/>
      <c r="L44" s="872"/>
      <c r="M44" s="838"/>
      <c r="N44" s="836"/>
      <c r="O44" s="844"/>
      <c r="P44" s="920"/>
      <c r="Q44" s="921"/>
      <c r="R44" s="922"/>
      <c r="S44" s="998"/>
      <c r="T44" s="999"/>
      <c r="U44" s="999"/>
      <c r="V44" s="1000"/>
      <c r="W44" s="749"/>
      <c r="X44" s="749"/>
      <c r="Y44" s="749"/>
      <c r="Z44" s="749"/>
      <c r="AA44" s="749"/>
      <c r="AB44" s="749"/>
      <c r="AC44" s="749"/>
      <c r="AD44" s="749"/>
      <c r="AE44" s="749"/>
      <c r="AF44" s="749"/>
      <c r="AG44" s="749"/>
      <c r="AH44" s="749"/>
      <c r="AI44" s="749"/>
      <c r="AJ44" s="749"/>
      <c r="AK44" s="749"/>
      <c r="AL44" s="749"/>
      <c r="AM44" s="749"/>
      <c r="AN44" s="749"/>
      <c r="AO44" s="749"/>
      <c r="AP44" s="749"/>
      <c r="AQ44" s="749"/>
      <c r="AR44" s="749"/>
      <c r="AS44" s="749"/>
      <c r="AT44" s="749"/>
      <c r="AU44" s="749"/>
      <c r="AV44" s="749"/>
      <c r="AW44" s="749"/>
      <c r="AX44" s="749"/>
      <c r="AY44" s="749"/>
      <c r="AZ44" s="749"/>
      <c r="BA44" s="749"/>
      <c r="BB44" s="749"/>
      <c r="BC44" s="749"/>
      <c r="BD44" s="749"/>
      <c r="BE44" s="749"/>
      <c r="BF44" s="749"/>
      <c r="BG44" s="749"/>
      <c r="BH44" s="749"/>
      <c r="BI44" s="749"/>
      <c r="BJ44" s="749"/>
      <c r="BK44" s="749"/>
      <c r="BL44" s="749"/>
      <c r="BM44" s="749"/>
      <c r="BN44" s="749"/>
      <c r="BO44" s="749"/>
      <c r="BP44" s="749"/>
      <c r="BQ44" s="749"/>
      <c r="BR44" s="749"/>
      <c r="BS44" s="749"/>
      <c r="BT44" s="749"/>
      <c r="BU44" s="749"/>
      <c r="BV44" s="749"/>
      <c r="BW44" s="749"/>
      <c r="BX44" s="749"/>
      <c r="BY44" s="749"/>
      <c r="BZ44" s="749"/>
      <c r="CA44" s="749"/>
      <c r="CB44" s="749"/>
      <c r="CC44" s="749"/>
      <c r="CD44" s="749"/>
      <c r="CE44" s="749"/>
      <c r="CF44" s="749"/>
      <c r="CG44" s="749"/>
      <c r="CH44" s="749"/>
      <c r="CI44" s="749"/>
      <c r="CJ44" s="749"/>
      <c r="CK44" s="749"/>
      <c r="CL44" s="749"/>
      <c r="CM44" s="749"/>
      <c r="CN44" s="749"/>
      <c r="CO44" s="749"/>
      <c r="CP44" s="749"/>
      <c r="CQ44" s="749"/>
      <c r="CR44" s="749"/>
      <c r="CS44" s="749"/>
      <c r="CT44" s="749"/>
      <c r="CU44" s="749"/>
      <c r="CV44" s="749"/>
      <c r="CW44" s="749"/>
      <c r="CX44" s="749"/>
      <c r="CY44" s="749"/>
      <c r="CZ44" s="749"/>
      <c r="DA44" s="749"/>
      <c r="DB44" s="749"/>
      <c r="DC44" s="749"/>
      <c r="DD44" s="749"/>
      <c r="DE44" s="749"/>
      <c r="DF44" s="749"/>
      <c r="DG44" s="749"/>
      <c r="DH44" s="749"/>
      <c r="DI44" s="749"/>
      <c r="DJ44" s="749"/>
      <c r="DK44" s="749"/>
      <c r="DL44" s="749"/>
      <c r="DM44" s="749"/>
      <c r="DN44" s="749"/>
      <c r="DO44" s="749"/>
      <c r="DP44" s="749"/>
      <c r="DQ44" s="749"/>
      <c r="DR44" s="749"/>
      <c r="DS44" s="749"/>
      <c r="DT44" s="749"/>
      <c r="DU44" s="749"/>
      <c r="DV44" s="749"/>
      <c r="DW44" s="749"/>
      <c r="DX44" s="749"/>
      <c r="DY44" s="749"/>
      <c r="DZ44" s="749"/>
      <c r="EA44" s="749"/>
      <c r="EB44" s="749"/>
      <c r="EC44" s="749"/>
      <c r="ED44" s="749"/>
      <c r="EE44" s="749"/>
      <c r="EF44" s="749"/>
      <c r="EG44" s="749"/>
      <c r="EH44" s="749"/>
      <c r="EI44" s="749"/>
      <c r="EJ44" s="749"/>
      <c r="EK44" s="749"/>
      <c r="EL44" s="749"/>
      <c r="EM44" s="749"/>
      <c r="EN44" s="749"/>
      <c r="EO44" s="749"/>
      <c r="EP44" s="749"/>
      <c r="EQ44" s="749"/>
      <c r="ER44" s="749"/>
      <c r="ES44" s="749"/>
      <c r="ET44" s="749"/>
      <c r="EU44" s="749"/>
      <c r="EV44" s="749"/>
      <c r="EW44" s="749"/>
      <c r="EX44" s="749"/>
      <c r="EY44" s="749"/>
      <c r="EZ44" s="749"/>
      <c r="FA44" s="749"/>
      <c r="FB44" s="749"/>
      <c r="FC44" s="749"/>
      <c r="FD44" s="749"/>
      <c r="FE44" s="749"/>
      <c r="FF44" s="749"/>
      <c r="FG44" s="749"/>
      <c r="FH44" s="749"/>
      <c r="FI44" s="749"/>
      <c r="FJ44" s="749"/>
      <c r="FK44" s="749"/>
      <c r="FL44" s="749"/>
      <c r="FM44" s="749"/>
      <c r="FN44" s="749"/>
      <c r="FO44" s="749"/>
      <c r="FP44" s="749"/>
      <c r="FQ44" s="749"/>
      <c r="FR44" s="749"/>
      <c r="FS44" s="749"/>
      <c r="FT44" s="749"/>
      <c r="FU44" s="749"/>
      <c r="FV44" s="749"/>
      <c r="FW44" s="749"/>
      <c r="FX44" s="749"/>
      <c r="FY44" s="749"/>
      <c r="FZ44" s="749"/>
      <c r="GA44" s="749"/>
      <c r="GB44" s="749"/>
      <c r="GC44" s="749"/>
      <c r="GD44" s="749"/>
      <c r="GE44" s="749"/>
      <c r="GF44" s="749"/>
      <c r="GG44" s="749"/>
      <c r="GH44" s="749"/>
      <c r="GI44" s="749"/>
      <c r="GJ44" s="749"/>
      <c r="GK44" s="749"/>
      <c r="GL44" s="749"/>
      <c r="GM44" s="749"/>
      <c r="GN44" s="749"/>
      <c r="GO44" s="749"/>
      <c r="GP44" s="749"/>
      <c r="GQ44" s="749"/>
      <c r="GR44" s="749"/>
      <c r="GS44" s="749"/>
      <c r="GT44" s="749"/>
      <c r="GU44" s="749"/>
      <c r="GV44" s="749"/>
      <c r="GW44" s="749"/>
      <c r="GX44" s="749"/>
      <c r="GY44" s="749"/>
      <c r="GZ44" s="749"/>
      <c r="HA44" s="749"/>
      <c r="HB44" s="749"/>
      <c r="HC44" s="749"/>
      <c r="HD44" s="749"/>
      <c r="HE44" s="749"/>
      <c r="HF44" s="749"/>
      <c r="HG44" s="749"/>
      <c r="HH44" s="749"/>
      <c r="HI44" s="749"/>
      <c r="HJ44" s="749"/>
      <c r="HK44" s="749"/>
      <c r="HL44" s="749"/>
      <c r="HM44" s="749"/>
    </row>
    <row r="45" spans="1:221" ht="12.75">
      <c r="A45" s="3"/>
      <c r="B45" s="849"/>
      <c r="C45" s="838"/>
      <c r="D45" s="836"/>
      <c r="E45" s="838"/>
      <c r="F45" s="872"/>
      <c r="G45" s="838"/>
      <c r="H45" s="872"/>
      <c r="I45" s="838"/>
      <c r="J45" s="872"/>
      <c r="K45" s="838"/>
      <c r="L45" s="872"/>
      <c r="M45" s="838"/>
      <c r="N45" s="836"/>
      <c r="O45" s="844"/>
      <c r="P45" s="920"/>
      <c r="Q45" s="921"/>
      <c r="R45" s="922"/>
      <c r="S45" s="998"/>
      <c r="T45" s="999"/>
      <c r="U45" s="999"/>
      <c r="V45" s="1000"/>
      <c r="W45" s="749"/>
      <c r="X45" s="749"/>
      <c r="Y45" s="749"/>
      <c r="Z45" s="749"/>
      <c r="AA45" s="749"/>
      <c r="AB45" s="749"/>
      <c r="AC45" s="749"/>
      <c r="AD45" s="749"/>
      <c r="AE45" s="749"/>
      <c r="AF45" s="749"/>
      <c r="AG45" s="749"/>
      <c r="AH45" s="749"/>
      <c r="AI45" s="749"/>
      <c r="AJ45" s="749"/>
      <c r="AK45" s="749"/>
      <c r="AL45" s="749"/>
      <c r="AM45" s="749"/>
      <c r="AN45" s="749"/>
      <c r="AO45" s="749"/>
      <c r="AP45" s="749"/>
      <c r="AQ45" s="749"/>
      <c r="AR45" s="749"/>
      <c r="AS45" s="749"/>
      <c r="AT45" s="749"/>
      <c r="AU45" s="749"/>
      <c r="AV45" s="749"/>
      <c r="AW45" s="749"/>
      <c r="AX45" s="749"/>
      <c r="AY45" s="749"/>
      <c r="AZ45" s="749"/>
      <c r="BA45" s="749"/>
      <c r="BB45" s="749"/>
      <c r="BC45" s="749"/>
      <c r="BD45" s="749"/>
      <c r="BE45" s="749"/>
      <c r="BF45" s="749"/>
      <c r="BG45" s="749"/>
      <c r="BH45" s="749"/>
      <c r="BI45" s="749"/>
      <c r="BJ45" s="749"/>
      <c r="BK45" s="749"/>
      <c r="BL45" s="749"/>
      <c r="BM45" s="749"/>
      <c r="BN45" s="749"/>
      <c r="BO45" s="749"/>
      <c r="BP45" s="749"/>
      <c r="BQ45" s="749"/>
      <c r="BR45" s="749"/>
      <c r="BS45" s="749"/>
      <c r="BT45" s="749"/>
      <c r="BU45" s="749"/>
      <c r="BV45" s="749"/>
      <c r="BW45" s="749"/>
      <c r="BX45" s="749"/>
      <c r="BY45" s="749"/>
      <c r="BZ45" s="749"/>
      <c r="CA45" s="749"/>
      <c r="CB45" s="749"/>
      <c r="CC45" s="749"/>
      <c r="CD45" s="749"/>
      <c r="CE45" s="749"/>
      <c r="CF45" s="749"/>
      <c r="CG45" s="749"/>
      <c r="CH45" s="749"/>
      <c r="CI45" s="749"/>
      <c r="CJ45" s="749"/>
      <c r="CK45" s="749"/>
      <c r="CL45" s="749"/>
      <c r="CM45" s="749"/>
      <c r="CN45" s="749"/>
      <c r="CO45" s="749"/>
      <c r="CP45" s="749"/>
      <c r="CQ45" s="749"/>
      <c r="CR45" s="749"/>
      <c r="CS45" s="749"/>
      <c r="CT45" s="749"/>
      <c r="CU45" s="749"/>
      <c r="CV45" s="749"/>
      <c r="CW45" s="749"/>
      <c r="CX45" s="749"/>
      <c r="CY45" s="749"/>
      <c r="CZ45" s="749"/>
      <c r="DA45" s="749"/>
      <c r="DB45" s="749"/>
      <c r="DC45" s="749"/>
      <c r="DD45" s="749"/>
      <c r="DE45" s="749"/>
      <c r="DF45" s="749"/>
      <c r="DG45" s="749"/>
      <c r="DH45" s="749"/>
      <c r="DI45" s="749"/>
      <c r="DJ45" s="749"/>
      <c r="DK45" s="749"/>
      <c r="DL45" s="749"/>
      <c r="DM45" s="749"/>
      <c r="DN45" s="749"/>
      <c r="DO45" s="749"/>
      <c r="DP45" s="749"/>
      <c r="DQ45" s="749"/>
      <c r="DR45" s="749"/>
      <c r="DS45" s="749"/>
      <c r="DT45" s="749"/>
      <c r="DU45" s="749"/>
      <c r="DV45" s="749"/>
      <c r="DW45" s="749"/>
      <c r="DX45" s="749"/>
      <c r="DY45" s="749"/>
      <c r="DZ45" s="749"/>
      <c r="EA45" s="749"/>
      <c r="EB45" s="749"/>
      <c r="EC45" s="749"/>
      <c r="ED45" s="749"/>
      <c r="EE45" s="749"/>
      <c r="EF45" s="749"/>
      <c r="EG45" s="749"/>
      <c r="EH45" s="749"/>
      <c r="EI45" s="749"/>
      <c r="EJ45" s="749"/>
      <c r="EK45" s="749"/>
      <c r="EL45" s="749"/>
      <c r="EM45" s="749"/>
      <c r="EN45" s="749"/>
      <c r="EO45" s="749"/>
      <c r="EP45" s="749"/>
      <c r="EQ45" s="749"/>
      <c r="ER45" s="749"/>
      <c r="ES45" s="749"/>
      <c r="ET45" s="749"/>
      <c r="EU45" s="749"/>
      <c r="EV45" s="749"/>
      <c r="EW45" s="749"/>
      <c r="EX45" s="749"/>
      <c r="EY45" s="749"/>
      <c r="EZ45" s="749"/>
      <c r="FA45" s="749"/>
      <c r="FB45" s="749"/>
      <c r="FC45" s="749"/>
      <c r="FD45" s="749"/>
      <c r="FE45" s="749"/>
      <c r="FF45" s="749"/>
      <c r="FG45" s="749"/>
      <c r="FH45" s="749"/>
      <c r="FI45" s="749"/>
      <c r="FJ45" s="749"/>
      <c r="FK45" s="749"/>
      <c r="FL45" s="749"/>
      <c r="FM45" s="749"/>
      <c r="FN45" s="749"/>
      <c r="FO45" s="749"/>
      <c r="FP45" s="749"/>
      <c r="FQ45" s="749"/>
      <c r="FR45" s="749"/>
      <c r="FS45" s="749"/>
      <c r="FT45" s="749"/>
      <c r="FU45" s="749"/>
      <c r="FV45" s="749"/>
      <c r="FW45" s="749"/>
      <c r="FX45" s="749"/>
      <c r="FY45" s="749"/>
      <c r="FZ45" s="749"/>
      <c r="GA45" s="749"/>
      <c r="GB45" s="749"/>
      <c r="GC45" s="749"/>
      <c r="GD45" s="749"/>
      <c r="GE45" s="749"/>
      <c r="GF45" s="749"/>
      <c r="GG45" s="749"/>
      <c r="GH45" s="749"/>
      <c r="GI45" s="749"/>
      <c r="GJ45" s="749"/>
      <c r="GK45" s="749"/>
      <c r="GL45" s="749"/>
      <c r="GM45" s="749"/>
      <c r="GN45" s="749"/>
      <c r="GO45" s="749"/>
      <c r="GP45" s="749"/>
      <c r="GQ45" s="749"/>
      <c r="GR45" s="749"/>
      <c r="GS45" s="749"/>
      <c r="GT45" s="749"/>
      <c r="GU45" s="749"/>
      <c r="GV45" s="749"/>
      <c r="GW45" s="749"/>
      <c r="GX45" s="749"/>
      <c r="GY45" s="749"/>
      <c r="GZ45" s="749"/>
      <c r="HA45" s="749"/>
      <c r="HB45" s="749"/>
      <c r="HC45" s="749"/>
      <c r="HD45" s="749"/>
      <c r="HE45" s="749"/>
      <c r="HF45" s="749"/>
      <c r="HG45" s="749"/>
      <c r="HH45" s="749"/>
      <c r="HI45" s="749"/>
      <c r="HJ45" s="749"/>
      <c r="HK45" s="749"/>
      <c r="HL45" s="749"/>
      <c r="HM45" s="749"/>
    </row>
    <row r="46" spans="1:221" ht="12.75" customHeight="1">
      <c r="A46" s="3"/>
      <c r="B46" s="849"/>
      <c r="C46" s="838"/>
      <c r="D46" s="836"/>
      <c r="E46" s="838"/>
      <c r="F46" s="872"/>
      <c r="G46" s="838"/>
      <c r="H46" s="872"/>
      <c r="I46" s="838"/>
      <c r="J46" s="872"/>
      <c r="K46" s="838"/>
      <c r="L46" s="872"/>
      <c r="M46" s="838"/>
      <c r="N46" s="836"/>
      <c r="O46" s="844"/>
      <c r="P46" s="920"/>
      <c r="Q46" s="921"/>
      <c r="R46" s="922"/>
      <c r="S46" s="998"/>
      <c r="T46" s="999"/>
      <c r="U46" s="999"/>
      <c r="V46" s="1000"/>
      <c r="W46" s="749"/>
      <c r="X46" s="749"/>
      <c r="Y46" s="749"/>
      <c r="Z46" s="749"/>
      <c r="AA46" s="749"/>
      <c r="AB46" s="749"/>
      <c r="AC46" s="749"/>
      <c r="AD46" s="749"/>
      <c r="AE46" s="749"/>
      <c r="AF46" s="749"/>
      <c r="AG46" s="749"/>
      <c r="AH46" s="749"/>
      <c r="AI46" s="749"/>
      <c r="AJ46" s="749"/>
      <c r="AK46" s="749"/>
      <c r="AL46" s="749"/>
      <c r="AM46" s="749"/>
      <c r="AN46" s="749"/>
      <c r="AO46" s="749"/>
      <c r="AP46" s="749"/>
      <c r="AQ46" s="749"/>
      <c r="AR46" s="749"/>
      <c r="AS46" s="749"/>
      <c r="AT46" s="749"/>
      <c r="AU46" s="749"/>
      <c r="AV46" s="749"/>
      <c r="AW46" s="749"/>
      <c r="AX46" s="749"/>
      <c r="AY46" s="749"/>
      <c r="AZ46" s="749"/>
      <c r="BA46" s="749"/>
      <c r="BB46" s="749"/>
      <c r="BC46" s="749"/>
      <c r="BD46" s="749"/>
      <c r="BE46" s="749"/>
      <c r="BF46" s="749"/>
      <c r="BG46" s="749"/>
      <c r="BH46" s="749"/>
      <c r="BI46" s="749"/>
      <c r="BJ46" s="749"/>
      <c r="BK46" s="749"/>
      <c r="BL46" s="749"/>
      <c r="BM46" s="749"/>
      <c r="BN46" s="749"/>
      <c r="BO46" s="749"/>
      <c r="BP46" s="749"/>
      <c r="BQ46" s="749"/>
      <c r="BR46" s="749"/>
      <c r="BS46" s="749"/>
      <c r="BT46" s="749"/>
      <c r="BU46" s="749"/>
      <c r="BV46" s="749"/>
      <c r="BW46" s="749"/>
      <c r="BX46" s="749"/>
      <c r="BY46" s="749"/>
      <c r="BZ46" s="749"/>
      <c r="CA46" s="749"/>
      <c r="CB46" s="749"/>
      <c r="CC46" s="749"/>
      <c r="CD46" s="749"/>
      <c r="CE46" s="749"/>
      <c r="CF46" s="749"/>
      <c r="CG46" s="749"/>
      <c r="CH46" s="749"/>
      <c r="CI46" s="749"/>
      <c r="CJ46" s="749"/>
      <c r="CK46" s="749"/>
      <c r="CL46" s="749"/>
      <c r="CM46" s="749"/>
      <c r="CN46" s="749"/>
      <c r="CO46" s="749"/>
      <c r="CP46" s="749"/>
      <c r="CQ46" s="749"/>
      <c r="CR46" s="749"/>
      <c r="CS46" s="749"/>
      <c r="CT46" s="749"/>
      <c r="CU46" s="749"/>
      <c r="CV46" s="749"/>
      <c r="CW46" s="749"/>
      <c r="CX46" s="749"/>
      <c r="CY46" s="749"/>
      <c r="CZ46" s="749"/>
      <c r="DA46" s="749"/>
      <c r="DB46" s="749"/>
      <c r="DC46" s="749"/>
      <c r="DD46" s="749"/>
      <c r="DE46" s="749"/>
      <c r="DF46" s="749"/>
      <c r="DG46" s="749"/>
      <c r="DH46" s="749"/>
      <c r="DI46" s="749"/>
      <c r="DJ46" s="749"/>
      <c r="DK46" s="749"/>
      <c r="DL46" s="749"/>
      <c r="DM46" s="749"/>
      <c r="DN46" s="749"/>
      <c r="DO46" s="749"/>
      <c r="DP46" s="749"/>
      <c r="DQ46" s="749"/>
      <c r="DR46" s="749"/>
      <c r="DS46" s="749"/>
      <c r="DT46" s="749"/>
      <c r="DU46" s="749"/>
      <c r="DV46" s="749"/>
      <c r="DW46" s="749"/>
      <c r="DX46" s="749"/>
      <c r="DY46" s="749"/>
      <c r="DZ46" s="749"/>
      <c r="EA46" s="749"/>
      <c r="EB46" s="749"/>
      <c r="EC46" s="749"/>
      <c r="ED46" s="749"/>
      <c r="EE46" s="749"/>
      <c r="EF46" s="749"/>
      <c r="EG46" s="749"/>
      <c r="EH46" s="749"/>
      <c r="EI46" s="749"/>
      <c r="EJ46" s="749"/>
      <c r="EK46" s="749"/>
      <c r="EL46" s="749"/>
      <c r="EM46" s="749"/>
      <c r="EN46" s="749"/>
      <c r="EO46" s="749"/>
      <c r="EP46" s="749"/>
      <c r="EQ46" s="749"/>
      <c r="ER46" s="749"/>
      <c r="ES46" s="749"/>
      <c r="ET46" s="749"/>
      <c r="EU46" s="749"/>
      <c r="EV46" s="749"/>
      <c r="EW46" s="749"/>
      <c r="EX46" s="749"/>
      <c r="EY46" s="749"/>
      <c r="EZ46" s="749"/>
      <c r="FA46" s="749"/>
      <c r="FB46" s="749"/>
      <c r="FC46" s="749"/>
      <c r="FD46" s="749"/>
      <c r="FE46" s="749"/>
      <c r="FF46" s="749"/>
      <c r="FG46" s="749"/>
      <c r="FH46" s="749"/>
      <c r="FI46" s="749"/>
      <c r="FJ46" s="749"/>
      <c r="FK46" s="749"/>
      <c r="FL46" s="749"/>
      <c r="FM46" s="749"/>
      <c r="FN46" s="749"/>
      <c r="FO46" s="749"/>
      <c r="FP46" s="749"/>
      <c r="FQ46" s="749"/>
      <c r="FR46" s="749"/>
      <c r="FS46" s="749"/>
      <c r="FT46" s="749"/>
      <c r="FU46" s="749"/>
      <c r="FV46" s="749"/>
      <c r="FW46" s="749"/>
      <c r="FX46" s="749"/>
      <c r="FY46" s="749"/>
      <c r="FZ46" s="749"/>
      <c r="GA46" s="749"/>
      <c r="GB46" s="749"/>
      <c r="GC46" s="749"/>
      <c r="GD46" s="749"/>
      <c r="GE46" s="749"/>
      <c r="GF46" s="749"/>
      <c r="GG46" s="749"/>
      <c r="GH46" s="749"/>
      <c r="GI46" s="749"/>
      <c r="GJ46" s="749"/>
      <c r="GK46" s="749"/>
      <c r="GL46" s="749"/>
      <c r="GM46" s="749"/>
      <c r="GN46" s="749"/>
      <c r="GO46" s="749"/>
      <c r="GP46" s="749"/>
      <c r="GQ46" s="749"/>
      <c r="GR46" s="749"/>
      <c r="GS46" s="749"/>
      <c r="GT46" s="749"/>
      <c r="GU46" s="749"/>
      <c r="GV46" s="749"/>
      <c r="GW46" s="749"/>
      <c r="GX46" s="749"/>
      <c r="GY46" s="749"/>
      <c r="GZ46" s="749"/>
      <c r="HA46" s="749"/>
      <c r="HB46" s="749"/>
      <c r="HC46" s="749"/>
      <c r="HD46" s="749"/>
      <c r="HE46" s="749"/>
      <c r="HF46" s="749"/>
      <c r="HG46" s="749"/>
      <c r="HH46" s="749"/>
      <c r="HI46" s="749"/>
      <c r="HJ46" s="749"/>
      <c r="HK46" s="749"/>
      <c r="HL46" s="749"/>
      <c r="HM46" s="749"/>
    </row>
    <row r="47" spans="1:221" ht="12.75" customHeight="1">
      <c r="A47" s="3"/>
      <c r="B47" s="849"/>
      <c r="C47" s="838"/>
      <c r="D47" s="836"/>
      <c r="E47" s="838"/>
      <c r="F47" s="872"/>
      <c r="G47" s="838"/>
      <c r="H47" s="872"/>
      <c r="I47" s="838"/>
      <c r="J47" s="872"/>
      <c r="K47" s="838"/>
      <c r="L47" s="872"/>
      <c r="M47" s="838"/>
      <c r="N47" s="836"/>
      <c r="O47" s="844"/>
      <c r="P47" s="920"/>
      <c r="Q47" s="921"/>
      <c r="R47" s="922"/>
      <c r="S47" s="998"/>
      <c r="T47" s="999"/>
      <c r="U47" s="999"/>
      <c r="V47" s="1000"/>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C47" s="749"/>
      <c r="CD47" s="749"/>
      <c r="CE47" s="749"/>
      <c r="CF47" s="749"/>
      <c r="CG47" s="749"/>
      <c r="CH47" s="749"/>
      <c r="CI47" s="749"/>
      <c r="CJ47" s="749"/>
      <c r="CK47" s="749"/>
      <c r="CL47" s="749"/>
      <c r="CM47" s="749"/>
      <c r="CN47" s="749"/>
      <c r="CO47" s="749"/>
      <c r="CP47" s="749"/>
      <c r="CQ47" s="749"/>
      <c r="CR47" s="749"/>
      <c r="CS47" s="749"/>
      <c r="CT47" s="749"/>
      <c r="CU47" s="749"/>
      <c r="CV47" s="749"/>
      <c r="CW47" s="749"/>
      <c r="CX47" s="749"/>
      <c r="CY47" s="749"/>
      <c r="CZ47" s="749"/>
      <c r="DA47" s="749"/>
      <c r="DB47" s="749"/>
      <c r="DC47" s="749"/>
      <c r="DD47" s="749"/>
      <c r="DE47" s="749"/>
      <c r="DF47" s="749"/>
      <c r="DG47" s="749"/>
      <c r="DH47" s="749"/>
      <c r="DI47" s="749"/>
      <c r="DJ47" s="749"/>
      <c r="DK47" s="749"/>
      <c r="DL47" s="749"/>
      <c r="DM47" s="749"/>
      <c r="DN47" s="749"/>
      <c r="DO47" s="749"/>
      <c r="DP47" s="749"/>
      <c r="DQ47" s="749"/>
      <c r="DR47" s="749"/>
      <c r="DS47" s="749"/>
      <c r="DT47" s="749"/>
      <c r="DU47" s="749"/>
      <c r="DV47" s="749"/>
      <c r="DW47" s="749"/>
      <c r="DX47" s="749"/>
      <c r="DY47" s="749"/>
      <c r="DZ47" s="749"/>
      <c r="EA47" s="749"/>
      <c r="EB47" s="749"/>
      <c r="EC47" s="749"/>
      <c r="ED47" s="749"/>
      <c r="EE47" s="749"/>
      <c r="EF47" s="749"/>
      <c r="EG47" s="749"/>
      <c r="EH47" s="749"/>
      <c r="EI47" s="749"/>
      <c r="EJ47" s="749"/>
      <c r="EK47" s="749"/>
      <c r="EL47" s="749"/>
      <c r="EM47" s="749"/>
      <c r="EN47" s="749"/>
      <c r="EO47" s="749"/>
      <c r="EP47" s="749"/>
      <c r="EQ47" s="749"/>
      <c r="ER47" s="749"/>
      <c r="ES47" s="749"/>
      <c r="ET47" s="749"/>
      <c r="EU47" s="749"/>
      <c r="EV47" s="749"/>
      <c r="EW47" s="749"/>
      <c r="EX47" s="749"/>
      <c r="EY47" s="749"/>
      <c r="EZ47" s="749"/>
      <c r="FA47" s="749"/>
      <c r="FB47" s="749"/>
      <c r="FC47" s="749"/>
      <c r="FD47" s="749"/>
      <c r="FE47" s="749"/>
      <c r="FF47" s="749"/>
      <c r="FG47" s="749"/>
      <c r="FH47" s="749"/>
      <c r="FI47" s="749"/>
      <c r="FJ47" s="749"/>
      <c r="FK47" s="749"/>
      <c r="FL47" s="749"/>
      <c r="FM47" s="749"/>
      <c r="FN47" s="749"/>
      <c r="FO47" s="749"/>
      <c r="FP47" s="749"/>
      <c r="FQ47" s="749"/>
      <c r="FR47" s="749"/>
      <c r="FS47" s="749"/>
      <c r="FT47" s="749"/>
      <c r="FU47" s="749"/>
      <c r="FV47" s="749"/>
      <c r="FW47" s="749"/>
      <c r="FX47" s="749"/>
      <c r="FY47" s="749"/>
      <c r="FZ47" s="749"/>
      <c r="GA47" s="749"/>
      <c r="GB47" s="749"/>
      <c r="GC47" s="749"/>
      <c r="GD47" s="749"/>
      <c r="GE47" s="749"/>
      <c r="GF47" s="749"/>
      <c r="GG47" s="749"/>
      <c r="GH47" s="749"/>
      <c r="GI47" s="749"/>
      <c r="GJ47" s="749"/>
      <c r="GK47" s="749"/>
      <c r="GL47" s="749"/>
      <c r="GM47" s="749"/>
      <c r="GN47" s="749"/>
      <c r="GO47" s="749"/>
      <c r="GP47" s="749"/>
      <c r="GQ47" s="749"/>
      <c r="GR47" s="749"/>
      <c r="GS47" s="749"/>
      <c r="GT47" s="749"/>
      <c r="GU47" s="749"/>
      <c r="GV47" s="749"/>
      <c r="GW47" s="749"/>
      <c r="GX47" s="749"/>
      <c r="GY47" s="749"/>
      <c r="GZ47" s="749"/>
      <c r="HA47" s="749"/>
      <c r="HB47" s="749"/>
      <c r="HC47" s="749"/>
      <c r="HD47" s="749"/>
      <c r="HE47" s="749"/>
      <c r="HF47" s="749"/>
      <c r="HG47" s="749"/>
      <c r="HH47" s="749"/>
      <c r="HI47" s="749"/>
      <c r="HJ47" s="749"/>
      <c r="HK47" s="749"/>
      <c r="HL47" s="749"/>
      <c r="HM47" s="749"/>
    </row>
    <row r="48" spans="1:221" ht="12.75">
      <c r="A48" s="3"/>
      <c r="B48" s="849"/>
      <c r="C48" s="838"/>
      <c r="D48" s="836"/>
      <c r="E48" s="838"/>
      <c r="F48" s="872"/>
      <c r="G48" s="838"/>
      <c r="H48" s="872"/>
      <c r="I48" s="838"/>
      <c r="J48" s="872"/>
      <c r="K48" s="838"/>
      <c r="L48" s="872"/>
      <c r="M48" s="838"/>
      <c r="N48" s="836"/>
      <c r="O48" s="844"/>
      <c r="P48" s="920"/>
      <c r="Q48" s="921"/>
      <c r="R48" s="922"/>
      <c r="S48" s="998"/>
      <c r="T48" s="999"/>
      <c r="U48" s="999"/>
      <c r="V48" s="1000"/>
      <c r="W48" s="749"/>
      <c r="X48" s="749"/>
      <c r="Y48" s="749"/>
      <c r="Z48" s="749"/>
      <c r="AA48" s="749"/>
      <c r="AB48" s="749"/>
      <c r="AC48" s="749"/>
      <c r="AD48" s="749"/>
      <c r="AE48" s="749"/>
      <c r="AF48" s="749"/>
      <c r="AG48" s="749"/>
      <c r="AH48" s="749"/>
      <c r="AI48" s="749"/>
      <c r="AJ48" s="749"/>
      <c r="AK48" s="749"/>
      <c r="AL48" s="749"/>
      <c r="AM48" s="749"/>
      <c r="AN48" s="749"/>
      <c r="AO48" s="749"/>
      <c r="AP48" s="749"/>
      <c r="AQ48" s="749"/>
      <c r="AR48" s="749"/>
      <c r="AS48" s="749"/>
      <c r="AT48" s="749"/>
      <c r="AU48" s="749"/>
      <c r="AV48" s="749"/>
      <c r="AW48" s="749"/>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C48" s="749"/>
      <c r="CD48" s="749"/>
      <c r="CE48" s="749"/>
      <c r="CF48" s="749"/>
      <c r="CG48" s="749"/>
      <c r="CH48" s="749"/>
      <c r="CI48" s="749"/>
      <c r="CJ48" s="749"/>
      <c r="CK48" s="749"/>
      <c r="CL48" s="749"/>
      <c r="CM48" s="749"/>
      <c r="CN48" s="749"/>
      <c r="CO48" s="749"/>
      <c r="CP48" s="749"/>
      <c r="CQ48" s="749"/>
      <c r="CR48" s="749"/>
      <c r="CS48" s="749"/>
      <c r="CT48" s="749"/>
      <c r="CU48" s="749"/>
      <c r="CV48" s="749"/>
      <c r="CW48" s="749"/>
      <c r="CX48" s="749"/>
      <c r="CY48" s="749"/>
      <c r="CZ48" s="749"/>
      <c r="DA48" s="749"/>
      <c r="DB48" s="749"/>
      <c r="DC48" s="749"/>
      <c r="DD48" s="749"/>
      <c r="DE48" s="749"/>
      <c r="DF48" s="749"/>
      <c r="DG48" s="749"/>
      <c r="DH48" s="749"/>
      <c r="DI48" s="749"/>
      <c r="DJ48" s="749"/>
      <c r="DK48" s="749"/>
      <c r="DL48" s="749"/>
      <c r="DM48" s="749"/>
      <c r="DN48" s="749"/>
      <c r="DO48" s="749"/>
      <c r="DP48" s="749"/>
      <c r="DQ48" s="749"/>
      <c r="DR48" s="749"/>
      <c r="DS48" s="749"/>
      <c r="DT48" s="749"/>
      <c r="DU48" s="749"/>
      <c r="DV48" s="749"/>
      <c r="DW48" s="749"/>
      <c r="DX48" s="749"/>
      <c r="DY48" s="749"/>
      <c r="DZ48" s="749"/>
      <c r="EA48" s="749"/>
      <c r="EB48" s="749"/>
      <c r="EC48" s="749"/>
      <c r="ED48" s="749"/>
      <c r="EE48" s="749"/>
      <c r="EF48" s="749"/>
      <c r="EG48" s="749"/>
      <c r="EH48" s="749"/>
      <c r="EI48" s="749"/>
      <c r="EJ48" s="749"/>
      <c r="EK48" s="749"/>
      <c r="EL48" s="749"/>
      <c r="EM48" s="749"/>
      <c r="EN48" s="749"/>
      <c r="EO48" s="749"/>
      <c r="EP48" s="749"/>
      <c r="EQ48" s="749"/>
      <c r="ER48" s="749"/>
      <c r="ES48" s="749"/>
      <c r="ET48" s="749"/>
      <c r="EU48" s="749"/>
      <c r="EV48" s="749"/>
      <c r="EW48" s="749"/>
      <c r="EX48" s="749"/>
      <c r="EY48" s="749"/>
      <c r="EZ48" s="749"/>
      <c r="FA48" s="749"/>
      <c r="FB48" s="749"/>
      <c r="FC48" s="749"/>
      <c r="FD48" s="749"/>
      <c r="FE48" s="749"/>
      <c r="FF48" s="749"/>
      <c r="FG48" s="749"/>
      <c r="FH48" s="749"/>
      <c r="FI48" s="749"/>
      <c r="FJ48" s="749"/>
      <c r="FK48" s="749"/>
      <c r="FL48" s="749"/>
      <c r="FM48" s="749"/>
      <c r="FN48" s="749"/>
      <c r="FO48" s="749"/>
      <c r="FP48" s="749"/>
      <c r="FQ48" s="749"/>
      <c r="FR48" s="749"/>
      <c r="FS48" s="749"/>
      <c r="FT48" s="749"/>
      <c r="FU48" s="749"/>
      <c r="FV48" s="749"/>
      <c r="FW48" s="749"/>
      <c r="FX48" s="749"/>
      <c r="FY48" s="749"/>
      <c r="FZ48" s="749"/>
      <c r="GA48" s="749"/>
      <c r="GB48" s="749"/>
      <c r="GC48" s="749"/>
      <c r="GD48" s="749"/>
      <c r="GE48" s="749"/>
      <c r="GF48" s="749"/>
      <c r="GG48" s="749"/>
      <c r="GH48" s="749"/>
      <c r="GI48" s="749"/>
      <c r="GJ48" s="749"/>
      <c r="GK48" s="749"/>
      <c r="GL48" s="749"/>
      <c r="GM48" s="749"/>
      <c r="GN48" s="749"/>
      <c r="GO48" s="749"/>
      <c r="GP48" s="749"/>
      <c r="GQ48" s="749"/>
      <c r="GR48" s="749"/>
      <c r="GS48" s="749"/>
      <c r="GT48" s="749"/>
      <c r="GU48" s="749"/>
      <c r="GV48" s="749"/>
      <c r="GW48" s="749"/>
      <c r="GX48" s="749"/>
      <c r="GY48" s="749"/>
      <c r="GZ48" s="749"/>
      <c r="HA48" s="749"/>
      <c r="HB48" s="749"/>
      <c r="HC48" s="749"/>
      <c r="HD48" s="749"/>
      <c r="HE48" s="749"/>
      <c r="HF48" s="749"/>
      <c r="HG48" s="749"/>
      <c r="HH48" s="749"/>
      <c r="HI48" s="749"/>
      <c r="HJ48" s="749"/>
      <c r="HK48" s="749"/>
      <c r="HL48" s="749"/>
      <c r="HM48" s="749"/>
    </row>
    <row r="49" spans="1:221" ht="12.75">
      <c r="A49" s="3"/>
      <c r="B49" s="849"/>
      <c r="C49" s="838"/>
      <c r="D49" s="836"/>
      <c r="E49" s="838"/>
      <c r="F49" s="872"/>
      <c r="G49" s="838"/>
      <c r="H49" s="872"/>
      <c r="I49" s="838"/>
      <c r="J49" s="872"/>
      <c r="K49" s="838"/>
      <c r="L49" s="872"/>
      <c r="M49" s="838"/>
      <c r="N49" s="836"/>
      <c r="O49" s="844"/>
      <c r="P49" s="920"/>
      <c r="Q49" s="921"/>
      <c r="R49" s="922"/>
      <c r="S49" s="998"/>
      <c r="T49" s="999"/>
      <c r="U49" s="999"/>
      <c r="V49" s="1000"/>
      <c r="W49" s="749"/>
      <c r="X49" s="749"/>
      <c r="Y49" s="749"/>
      <c r="Z49" s="749"/>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49"/>
      <c r="AW49" s="749"/>
      <c r="AX49" s="749"/>
      <c r="AY49" s="749"/>
      <c r="AZ49" s="749"/>
      <c r="BA49" s="749"/>
      <c r="BB49" s="749"/>
      <c r="BC49" s="749"/>
      <c r="BD49" s="749"/>
      <c r="BE49" s="749"/>
      <c r="BF49" s="749"/>
      <c r="BG49" s="749"/>
      <c r="BH49" s="749"/>
      <c r="BI49" s="749"/>
      <c r="BJ49" s="749"/>
      <c r="BK49" s="749"/>
      <c r="BL49" s="749"/>
      <c r="BM49" s="749"/>
      <c r="BN49" s="749"/>
      <c r="BO49" s="749"/>
      <c r="BP49" s="749"/>
      <c r="BQ49" s="749"/>
      <c r="BR49" s="749"/>
      <c r="BS49" s="749"/>
      <c r="BT49" s="749"/>
      <c r="BU49" s="749"/>
      <c r="BV49" s="749"/>
      <c r="BW49" s="749"/>
      <c r="BX49" s="749"/>
      <c r="BY49" s="749"/>
      <c r="BZ49" s="749"/>
      <c r="CA49" s="749"/>
      <c r="CB49" s="749"/>
      <c r="CC49" s="749"/>
      <c r="CD49" s="749"/>
      <c r="CE49" s="749"/>
      <c r="CF49" s="749"/>
      <c r="CG49" s="749"/>
      <c r="CH49" s="749"/>
      <c r="CI49" s="749"/>
      <c r="CJ49" s="749"/>
      <c r="CK49" s="749"/>
      <c r="CL49" s="749"/>
      <c r="CM49" s="749"/>
      <c r="CN49" s="749"/>
      <c r="CO49" s="749"/>
      <c r="CP49" s="749"/>
      <c r="CQ49" s="749"/>
      <c r="CR49" s="749"/>
      <c r="CS49" s="749"/>
      <c r="CT49" s="749"/>
      <c r="CU49" s="749"/>
      <c r="CV49" s="749"/>
      <c r="CW49" s="749"/>
      <c r="CX49" s="749"/>
      <c r="CY49" s="749"/>
      <c r="CZ49" s="749"/>
      <c r="DA49" s="749"/>
      <c r="DB49" s="749"/>
      <c r="DC49" s="749"/>
      <c r="DD49" s="749"/>
      <c r="DE49" s="749"/>
      <c r="DF49" s="749"/>
      <c r="DG49" s="749"/>
      <c r="DH49" s="749"/>
      <c r="DI49" s="749"/>
      <c r="DJ49" s="749"/>
      <c r="DK49" s="749"/>
      <c r="DL49" s="749"/>
      <c r="DM49" s="749"/>
      <c r="DN49" s="749"/>
      <c r="DO49" s="749"/>
      <c r="DP49" s="749"/>
      <c r="DQ49" s="749"/>
      <c r="DR49" s="749"/>
      <c r="DS49" s="749"/>
      <c r="DT49" s="749"/>
      <c r="DU49" s="749"/>
      <c r="DV49" s="749"/>
      <c r="DW49" s="749"/>
      <c r="DX49" s="749"/>
      <c r="DY49" s="749"/>
      <c r="DZ49" s="749"/>
      <c r="EA49" s="749"/>
      <c r="EB49" s="749"/>
      <c r="EC49" s="749"/>
      <c r="ED49" s="749"/>
      <c r="EE49" s="749"/>
      <c r="EF49" s="749"/>
      <c r="EG49" s="749"/>
      <c r="EH49" s="749"/>
      <c r="EI49" s="749"/>
      <c r="EJ49" s="749"/>
      <c r="EK49" s="749"/>
      <c r="EL49" s="749"/>
      <c r="EM49" s="749"/>
      <c r="EN49" s="749"/>
      <c r="EO49" s="749"/>
      <c r="EP49" s="749"/>
      <c r="EQ49" s="749"/>
      <c r="ER49" s="749"/>
      <c r="ES49" s="749"/>
      <c r="ET49" s="749"/>
      <c r="EU49" s="749"/>
      <c r="EV49" s="749"/>
      <c r="EW49" s="749"/>
      <c r="EX49" s="749"/>
      <c r="EY49" s="749"/>
      <c r="EZ49" s="749"/>
      <c r="FA49" s="749"/>
      <c r="FB49" s="749"/>
      <c r="FC49" s="749"/>
      <c r="FD49" s="749"/>
      <c r="FE49" s="749"/>
      <c r="FF49" s="749"/>
      <c r="FG49" s="749"/>
      <c r="FH49" s="749"/>
      <c r="FI49" s="749"/>
      <c r="FJ49" s="749"/>
      <c r="FK49" s="749"/>
      <c r="FL49" s="749"/>
      <c r="FM49" s="749"/>
      <c r="FN49" s="749"/>
      <c r="FO49" s="749"/>
      <c r="FP49" s="749"/>
      <c r="FQ49" s="749"/>
      <c r="FR49" s="749"/>
      <c r="FS49" s="749"/>
      <c r="FT49" s="749"/>
      <c r="FU49" s="749"/>
      <c r="FV49" s="749"/>
      <c r="FW49" s="749"/>
      <c r="FX49" s="749"/>
      <c r="FY49" s="749"/>
      <c r="FZ49" s="749"/>
      <c r="GA49" s="749"/>
      <c r="GB49" s="749"/>
      <c r="GC49" s="749"/>
      <c r="GD49" s="749"/>
      <c r="GE49" s="749"/>
      <c r="GF49" s="749"/>
      <c r="GG49" s="749"/>
      <c r="GH49" s="749"/>
      <c r="GI49" s="749"/>
      <c r="GJ49" s="749"/>
      <c r="GK49" s="749"/>
      <c r="GL49" s="749"/>
      <c r="GM49" s="749"/>
      <c r="GN49" s="749"/>
      <c r="GO49" s="749"/>
      <c r="GP49" s="749"/>
      <c r="GQ49" s="749"/>
      <c r="GR49" s="749"/>
      <c r="GS49" s="749"/>
      <c r="GT49" s="749"/>
      <c r="GU49" s="749"/>
      <c r="GV49" s="749"/>
      <c r="GW49" s="749"/>
      <c r="GX49" s="749"/>
      <c r="GY49" s="749"/>
      <c r="GZ49" s="749"/>
      <c r="HA49" s="749"/>
      <c r="HB49" s="749"/>
      <c r="HC49" s="749"/>
      <c r="HD49" s="749"/>
      <c r="HE49" s="749"/>
      <c r="HF49" s="749"/>
      <c r="HG49" s="749"/>
      <c r="HH49" s="749"/>
      <c r="HI49" s="749"/>
      <c r="HJ49" s="749"/>
      <c r="HK49" s="749"/>
      <c r="HL49" s="749"/>
      <c r="HM49" s="749"/>
    </row>
    <row r="50" spans="1:221" ht="12.75" customHeight="1">
      <c r="A50" s="3"/>
      <c r="B50" s="849"/>
      <c r="C50" s="838"/>
      <c r="D50" s="836"/>
      <c r="E50" s="838"/>
      <c r="F50" s="872"/>
      <c r="G50" s="838"/>
      <c r="H50" s="872"/>
      <c r="I50" s="838"/>
      <c r="J50" s="872"/>
      <c r="K50" s="838"/>
      <c r="L50" s="872"/>
      <c r="M50" s="838"/>
      <c r="N50" s="836"/>
      <c r="O50" s="844"/>
      <c r="P50" s="920"/>
      <c r="Q50" s="921"/>
      <c r="R50" s="922"/>
      <c r="S50" s="998"/>
      <c r="T50" s="999"/>
      <c r="U50" s="999"/>
      <c r="V50" s="1000"/>
      <c r="W50" s="749"/>
      <c r="X50" s="749"/>
      <c r="Y50" s="749"/>
      <c r="Z50" s="749"/>
      <c r="AA50" s="749"/>
      <c r="AB50" s="749"/>
      <c r="AC50" s="749"/>
      <c r="AD50" s="749"/>
      <c r="AE50" s="749"/>
      <c r="AF50" s="749"/>
      <c r="AG50" s="749"/>
      <c r="AH50" s="749"/>
      <c r="AI50" s="749"/>
      <c r="AJ50" s="749"/>
      <c r="AK50" s="749"/>
      <c r="AL50" s="749"/>
      <c r="AM50" s="749"/>
      <c r="AN50" s="749"/>
      <c r="AO50" s="749"/>
      <c r="AP50" s="749"/>
      <c r="AQ50" s="749"/>
      <c r="AR50" s="749"/>
      <c r="AS50" s="749"/>
      <c r="AT50" s="749"/>
      <c r="AU50" s="749"/>
      <c r="AV50" s="749"/>
      <c r="AW50" s="749"/>
      <c r="AX50" s="749"/>
      <c r="AY50" s="749"/>
      <c r="AZ50" s="749"/>
      <c r="BA50" s="749"/>
      <c r="BB50" s="749"/>
      <c r="BC50" s="749"/>
      <c r="BD50" s="749"/>
      <c r="BE50" s="749"/>
      <c r="BF50" s="749"/>
      <c r="BG50" s="749"/>
      <c r="BH50" s="749"/>
      <c r="BI50" s="749"/>
      <c r="BJ50" s="749"/>
      <c r="BK50" s="749"/>
      <c r="BL50" s="749"/>
      <c r="BM50" s="749"/>
      <c r="BN50" s="749"/>
      <c r="BO50" s="749"/>
      <c r="BP50" s="749"/>
      <c r="BQ50" s="749"/>
      <c r="BR50" s="749"/>
      <c r="BS50" s="749"/>
      <c r="BT50" s="749"/>
      <c r="BU50" s="749"/>
      <c r="BV50" s="749"/>
      <c r="BW50" s="749"/>
      <c r="BX50" s="749"/>
      <c r="BY50" s="749"/>
      <c r="BZ50" s="749"/>
      <c r="CA50" s="749"/>
      <c r="CB50" s="749"/>
      <c r="CC50" s="749"/>
      <c r="CD50" s="749"/>
      <c r="CE50" s="749"/>
      <c r="CF50" s="749"/>
      <c r="CG50" s="749"/>
      <c r="CH50" s="749"/>
      <c r="CI50" s="749"/>
      <c r="CJ50" s="749"/>
      <c r="CK50" s="749"/>
      <c r="CL50" s="749"/>
      <c r="CM50" s="749"/>
      <c r="CN50" s="749"/>
      <c r="CO50" s="749"/>
      <c r="CP50" s="749"/>
      <c r="CQ50" s="749"/>
      <c r="CR50" s="749"/>
      <c r="CS50" s="749"/>
      <c r="CT50" s="749"/>
      <c r="CU50" s="749"/>
      <c r="CV50" s="749"/>
      <c r="CW50" s="749"/>
      <c r="CX50" s="749"/>
      <c r="CY50" s="749"/>
      <c r="CZ50" s="749"/>
      <c r="DA50" s="749"/>
      <c r="DB50" s="749"/>
      <c r="DC50" s="749"/>
      <c r="DD50" s="749"/>
      <c r="DE50" s="749"/>
      <c r="DF50" s="749"/>
      <c r="DG50" s="749"/>
      <c r="DH50" s="749"/>
      <c r="DI50" s="749"/>
      <c r="DJ50" s="749"/>
      <c r="DK50" s="749"/>
      <c r="DL50" s="749"/>
      <c r="DM50" s="749"/>
      <c r="DN50" s="749"/>
      <c r="DO50" s="749"/>
      <c r="DP50" s="749"/>
      <c r="DQ50" s="749"/>
      <c r="DR50" s="749"/>
      <c r="DS50" s="749"/>
      <c r="DT50" s="749"/>
      <c r="DU50" s="749"/>
      <c r="DV50" s="749"/>
      <c r="DW50" s="749"/>
      <c r="DX50" s="749"/>
      <c r="DY50" s="749"/>
      <c r="DZ50" s="749"/>
      <c r="EA50" s="749"/>
      <c r="EB50" s="749"/>
      <c r="EC50" s="749"/>
      <c r="ED50" s="749"/>
      <c r="EE50" s="749"/>
      <c r="EF50" s="749"/>
      <c r="EG50" s="749"/>
      <c r="EH50" s="749"/>
      <c r="EI50" s="749"/>
      <c r="EJ50" s="749"/>
      <c r="EK50" s="749"/>
      <c r="EL50" s="749"/>
      <c r="EM50" s="749"/>
      <c r="EN50" s="749"/>
      <c r="EO50" s="749"/>
      <c r="EP50" s="749"/>
      <c r="EQ50" s="749"/>
      <c r="ER50" s="749"/>
      <c r="ES50" s="749"/>
      <c r="ET50" s="749"/>
      <c r="EU50" s="749"/>
      <c r="EV50" s="749"/>
      <c r="EW50" s="749"/>
      <c r="EX50" s="749"/>
      <c r="EY50" s="749"/>
      <c r="EZ50" s="749"/>
      <c r="FA50" s="749"/>
      <c r="FB50" s="749"/>
      <c r="FC50" s="749"/>
      <c r="FD50" s="749"/>
      <c r="FE50" s="749"/>
      <c r="FF50" s="749"/>
      <c r="FG50" s="749"/>
      <c r="FH50" s="749"/>
      <c r="FI50" s="749"/>
      <c r="FJ50" s="749"/>
      <c r="FK50" s="749"/>
      <c r="FL50" s="749"/>
      <c r="FM50" s="749"/>
      <c r="FN50" s="749"/>
      <c r="FO50" s="749"/>
      <c r="FP50" s="749"/>
      <c r="FQ50" s="749"/>
      <c r="FR50" s="749"/>
      <c r="FS50" s="749"/>
      <c r="FT50" s="749"/>
      <c r="FU50" s="749"/>
      <c r="FV50" s="749"/>
      <c r="FW50" s="749"/>
      <c r="FX50" s="749"/>
      <c r="FY50" s="749"/>
      <c r="FZ50" s="749"/>
      <c r="GA50" s="749"/>
      <c r="GB50" s="749"/>
      <c r="GC50" s="749"/>
      <c r="GD50" s="749"/>
      <c r="GE50" s="749"/>
      <c r="GF50" s="749"/>
      <c r="GG50" s="749"/>
      <c r="GH50" s="749"/>
      <c r="GI50" s="749"/>
      <c r="GJ50" s="749"/>
      <c r="GK50" s="749"/>
      <c r="GL50" s="749"/>
      <c r="GM50" s="749"/>
      <c r="GN50" s="749"/>
      <c r="GO50" s="749"/>
      <c r="GP50" s="749"/>
      <c r="GQ50" s="749"/>
      <c r="GR50" s="749"/>
      <c r="GS50" s="749"/>
      <c r="GT50" s="749"/>
      <c r="GU50" s="749"/>
      <c r="GV50" s="749"/>
      <c r="GW50" s="749"/>
      <c r="GX50" s="749"/>
      <c r="GY50" s="749"/>
      <c r="GZ50" s="749"/>
      <c r="HA50" s="749"/>
      <c r="HB50" s="749"/>
      <c r="HC50" s="749"/>
      <c r="HD50" s="749"/>
      <c r="HE50" s="749"/>
      <c r="HF50" s="749"/>
      <c r="HG50" s="749"/>
      <c r="HH50" s="749"/>
      <c r="HI50" s="749"/>
      <c r="HJ50" s="749"/>
      <c r="HK50" s="749"/>
      <c r="HL50" s="749"/>
      <c r="HM50" s="749"/>
    </row>
    <row r="51" spans="1:221" ht="12.75" customHeight="1">
      <c r="A51" s="3"/>
      <c r="B51" s="850" t="s">
        <v>7551</v>
      </c>
      <c r="C51" s="877"/>
      <c r="D51" s="868"/>
      <c r="E51" s="877"/>
      <c r="F51" s="878"/>
      <c r="G51" s="877"/>
      <c r="H51" s="878"/>
      <c r="I51" s="877"/>
      <c r="J51" s="878"/>
      <c r="K51" s="877"/>
      <c r="L51" s="878">
        <f>'TAB 3 Project Cost'!F99</f>
        <v>0.09</v>
      </c>
      <c r="M51" s="879">
        <f>'TAB 3 Project Cost'!G99</f>
        <v>0</v>
      </c>
      <c r="N51" s="868"/>
      <c r="O51" s="851"/>
      <c r="P51" s="923"/>
      <c r="Q51" s="924"/>
      <c r="R51" s="925"/>
      <c r="S51" s="995">
        <f>'TAB 3 Project Cost'!AA99</f>
        <v>0</v>
      </c>
      <c r="T51" s="996">
        <f>'TAB 3 Project Cost'!AB99</f>
        <v>0</v>
      </c>
      <c r="U51" s="996">
        <f>'TAB 3 Project Cost'!AC99</f>
        <v>0</v>
      </c>
      <c r="V51" s="997">
        <f>'TAB 3 Project Cost'!AD99</f>
        <v>0</v>
      </c>
      <c r="W51" s="749"/>
      <c r="X51" s="749"/>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49"/>
      <c r="AY51" s="749"/>
      <c r="AZ51" s="749"/>
      <c r="BA51" s="749"/>
      <c r="BB51" s="749"/>
      <c r="BC51" s="749"/>
      <c r="BD51" s="749"/>
      <c r="BE51" s="749"/>
      <c r="BF51" s="749"/>
      <c r="BG51" s="749"/>
      <c r="BH51" s="749"/>
      <c r="BI51" s="749"/>
      <c r="BJ51" s="749"/>
      <c r="BK51" s="749"/>
      <c r="BL51" s="749"/>
      <c r="BM51" s="749"/>
      <c r="BN51" s="749"/>
      <c r="BO51" s="749"/>
      <c r="BP51" s="749"/>
      <c r="BQ51" s="749"/>
      <c r="BR51" s="749"/>
      <c r="BS51" s="749"/>
      <c r="BT51" s="749"/>
      <c r="BU51" s="749"/>
      <c r="BV51" s="749"/>
      <c r="BW51" s="749"/>
      <c r="BX51" s="749"/>
      <c r="BY51" s="749"/>
      <c r="BZ51" s="749"/>
      <c r="CA51" s="749"/>
      <c r="CB51" s="749"/>
      <c r="CC51" s="749"/>
      <c r="CD51" s="749"/>
      <c r="CE51" s="749"/>
      <c r="CF51" s="749"/>
      <c r="CG51" s="749"/>
      <c r="CH51" s="749"/>
      <c r="CI51" s="749"/>
      <c r="CJ51" s="749"/>
      <c r="CK51" s="749"/>
      <c r="CL51" s="749"/>
      <c r="CM51" s="749"/>
      <c r="CN51" s="749"/>
      <c r="CO51" s="749"/>
      <c r="CP51" s="749"/>
      <c r="CQ51" s="749"/>
      <c r="CR51" s="749"/>
      <c r="CS51" s="749"/>
      <c r="CT51" s="749"/>
      <c r="CU51" s="749"/>
      <c r="CV51" s="749"/>
      <c r="CW51" s="749"/>
      <c r="CX51" s="749"/>
      <c r="CY51" s="749"/>
      <c r="CZ51" s="749"/>
      <c r="DA51" s="749"/>
      <c r="DB51" s="749"/>
      <c r="DC51" s="749"/>
      <c r="DD51" s="749"/>
      <c r="DE51" s="749"/>
      <c r="DF51" s="749"/>
      <c r="DG51" s="749"/>
      <c r="DH51" s="749"/>
      <c r="DI51" s="749"/>
      <c r="DJ51" s="749"/>
      <c r="DK51" s="749"/>
      <c r="DL51" s="749"/>
      <c r="DM51" s="749"/>
      <c r="DN51" s="749"/>
      <c r="DO51" s="749"/>
      <c r="DP51" s="749"/>
      <c r="DQ51" s="749"/>
      <c r="DR51" s="749"/>
      <c r="DS51" s="749"/>
      <c r="DT51" s="749"/>
      <c r="DU51" s="749"/>
      <c r="DV51" s="749"/>
      <c r="DW51" s="749"/>
      <c r="DX51" s="749"/>
      <c r="DY51" s="749"/>
      <c r="DZ51" s="749"/>
      <c r="EA51" s="749"/>
      <c r="EB51" s="749"/>
      <c r="EC51" s="749"/>
      <c r="ED51" s="749"/>
      <c r="EE51" s="749"/>
      <c r="EF51" s="749"/>
      <c r="EG51" s="749"/>
      <c r="EH51" s="749"/>
      <c r="EI51" s="749"/>
      <c r="EJ51" s="749"/>
      <c r="EK51" s="749"/>
      <c r="EL51" s="749"/>
      <c r="EM51" s="749"/>
      <c r="EN51" s="749"/>
      <c r="EO51" s="749"/>
      <c r="EP51" s="749"/>
      <c r="EQ51" s="749"/>
      <c r="ER51" s="749"/>
      <c r="ES51" s="749"/>
      <c r="ET51" s="749"/>
      <c r="EU51" s="749"/>
      <c r="EV51" s="749"/>
      <c r="EW51" s="749"/>
      <c r="EX51" s="749"/>
      <c r="EY51" s="749"/>
      <c r="EZ51" s="749"/>
      <c r="FA51" s="749"/>
      <c r="FB51" s="749"/>
      <c r="FC51" s="749"/>
      <c r="FD51" s="749"/>
      <c r="FE51" s="749"/>
      <c r="FF51" s="749"/>
      <c r="FG51" s="749"/>
      <c r="FH51" s="749"/>
      <c r="FI51" s="749"/>
      <c r="FJ51" s="749"/>
      <c r="FK51" s="749"/>
      <c r="FL51" s="749"/>
      <c r="FM51" s="749"/>
      <c r="FN51" s="749"/>
      <c r="FO51" s="749"/>
      <c r="FP51" s="749"/>
      <c r="FQ51" s="749"/>
      <c r="FR51" s="749"/>
      <c r="FS51" s="749"/>
      <c r="FT51" s="749"/>
      <c r="FU51" s="749"/>
      <c r="FV51" s="749"/>
      <c r="FW51" s="749"/>
      <c r="FX51" s="749"/>
      <c r="FY51" s="749"/>
      <c r="FZ51" s="749"/>
      <c r="GA51" s="749"/>
      <c r="GB51" s="749"/>
      <c r="GC51" s="749"/>
      <c r="GD51" s="749"/>
      <c r="GE51" s="749"/>
      <c r="GF51" s="749"/>
      <c r="GG51" s="749"/>
      <c r="GH51" s="749"/>
      <c r="GI51" s="749"/>
      <c r="GJ51" s="749"/>
      <c r="GK51" s="749"/>
      <c r="GL51" s="749"/>
      <c r="GM51" s="749"/>
      <c r="GN51" s="749"/>
      <c r="GO51" s="749"/>
      <c r="GP51" s="749"/>
      <c r="GQ51" s="749"/>
      <c r="GR51" s="749"/>
      <c r="GS51" s="749"/>
      <c r="GT51" s="749"/>
      <c r="GU51" s="749"/>
      <c r="GV51" s="749"/>
      <c r="GW51" s="749"/>
      <c r="GX51" s="749"/>
      <c r="GY51" s="749"/>
      <c r="GZ51" s="749"/>
      <c r="HA51" s="749"/>
      <c r="HB51" s="749"/>
      <c r="HC51" s="749"/>
      <c r="HD51" s="749"/>
      <c r="HE51" s="749"/>
      <c r="HF51" s="749"/>
      <c r="HG51" s="749"/>
      <c r="HH51" s="749"/>
      <c r="HI51" s="749"/>
      <c r="HJ51" s="749"/>
      <c r="HK51" s="749"/>
      <c r="HL51" s="749"/>
      <c r="HM51" s="749"/>
    </row>
    <row r="52" spans="1:221" ht="12.75" customHeight="1">
      <c r="A52" s="3"/>
      <c r="B52" s="849"/>
      <c r="C52" s="838"/>
      <c r="D52" s="836"/>
      <c r="E52" s="838"/>
      <c r="F52" s="872"/>
      <c r="G52" s="838"/>
      <c r="H52" s="872"/>
      <c r="I52" s="838"/>
      <c r="J52" s="872"/>
      <c r="K52" s="838"/>
      <c r="L52" s="872"/>
      <c r="M52" s="838"/>
      <c r="N52" s="836"/>
      <c r="O52" s="844"/>
      <c r="P52" s="920"/>
      <c r="Q52" s="921"/>
      <c r="R52" s="922"/>
      <c r="S52" s="998"/>
      <c r="T52" s="999"/>
      <c r="U52" s="999"/>
      <c r="V52" s="1000"/>
      <c r="W52" s="749"/>
      <c r="X52" s="747"/>
      <c r="Y52" s="747"/>
    </row>
    <row r="53" spans="1:221" ht="12.75">
      <c r="A53" s="3"/>
      <c r="B53" s="849"/>
      <c r="C53" s="838"/>
      <c r="D53" s="836"/>
      <c r="E53" s="838"/>
      <c r="F53" s="872"/>
      <c r="G53" s="838"/>
      <c r="H53" s="872"/>
      <c r="I53" s="838"/>
      <c r="J53" s="872"/>
      <c r="K53" s="838"/>
      <c r="L53" s="872"/>
      <c r="M53" s="838"/>
      <c r="N53" s="836"/>
      <c r="O53" s="844"/>
      <c r="P53" s="920"/>
      <c r="Q53" s="921"/>
      <c r="R53" s="922"/>
      <c r="S53" s="998"/>
      <c r="T53" s="999"/>
      <c r="U53" s="999"/>
      <c r="V53" s="1000"/>
      <c r="W53" s="749"/>
      <c r="X53" s="749"/>
      <c r="Y53" s="749"/>
      <c r="Z53" s="749"/>
      <c r="AA53" s="749"/>
      <c r="AB53" s="749"/>
      <c r="AC53" s="749"/>
      <c r="AD53" s="749"/>
      <c r="AE53" s="749"/>
      <c r="AF53" s="749"/>
      <c r="AG53" s="749"/>
      <c r="AH53" s="749"/>
      <c r="AI53" s="749"/>
      <c r="AJ53" s="749"/>
      <c r="AK53" s="749"/>
      <c r="AL53" s="749"/>
      <c r="AM53" s="749"/>
      <c r="AN53" s="749"/>
      <c r="AO53" s="749"/>
      <c r="AP53" s="749"/>
      <c r="AQ53" s="749"/>
      <c r="AR53" s="749"/>
      <c r="AS53" s="749"/>
      <c r="AT53" s="749"/>
      <c r="AU53" s="749"/>
      <c r="AV53" s="749"/>
      <c r="AW53" s="749"/>
      <c r="AX53" s="749"/>
      <c r="AY53" s="749"/>
      <c r="AZ53" s="749"/>
      <c r="BA53" s="749"/>
      <c r="BB53" s="749"/>
      <c r="BC53" s="749"/>
      <c r="BD53" s="749"/>
      <c r="BE53" s="749"/>
      <c r="BF53" s="749"/>
      <c r="BG53" s="749"/>
      <c r="BH53" s="749"/>
      <c r="BI53" s="749"/>
      <c r="BJ53" s="749"/>
      <c r="BK53" s="749"/>
      <c r="BL53" s="749"/>
      <c r="BM53" s="749"/>
      <c r="BN53" s="749"/>
      <c r="BO53" s="749"/>
      <c r="BP53" s="749"/>
      <c r="BQ53" s="749"/>
      <c r="BR53" s="749"/>
      <c r="BS53" s="749"/>
      <c r="BT53" s="749"/>
      <c r="BU53" s="749"/>
      <c r="BV53" s="749"/>
      <c r="BW53" s="749"/>
      <c r="BX53" s="749"/>
      <c r="BY53" s="749"/>
      <c r="BZ53" s="749"/>
      <c r="CA53" s="749"/>
      <c r="CB53" s="749"/>
      <c r="CC53" s="749"/>
      <c r="CD53" s="749"/>
      <c r="CE53" s="749"/>
      <c r="CF53" s="749"/>
      <c r="CG53" s="749"/>
      <c r="CH53" s="749"/>
      <c r="CI53" s="749"/>
      <c r="CJ53" s="749"/>
      <c r="CK53" s="749"/>
      <c r="CL53" s="749"/>
      <c r="CM53" s="749"/>
      <c r="CN53" s="749"/>
      <c r="CO53" s="749"/>
      <c r="CP53" s="749"/>
      <c r="CQ53" s="749"/>
      <c r="CR53" s="749"/>
      <c r="CS53" s="749"/>
      <c r="CT53" s="749"/>
      <c r="CU53" s="749"/>
      <c r="CV53" s="749"/>
      <c r="CW53" s="749"/>
      <c r="CX53" s="749"/>
      <c r="CY53" s="749"/>
      <c r="CZ53" s="749"/>
      <c r="DA53" s="749"/>
      <c r="DB53" s="749"/>
      <c r="DC53" s="749"/>
      <c r="DD53" s="749"/>
      <c r="DE53" s="749"/>
      <c r="DF53" s="749"/>
      <c r="DG53" s="749"/>
      <c r="DH53" s="749"/>
      <c r="DI53" s="749"/>
      <c r="DJ53" s="749"/>
      <c r="DK53" s="749"/>
      <c r="DL53" s="749"/>
      <c r="DM53" s="749"/>
      <c r="DN53" s="749"/>
      <c r="DO53" s="749"/>
      <c r="DP53" s="749"/>
      <c r="DQ53" s="749"/>
      <c r="DR53" s="749"/>
      <c r="DS53" s="749"/>
      <c r="DT53" s="749"/>
      <c r="DU53" s="749"/>
      <c r="DV53" s="749"/>
      <c r="DW53" s="749"/>
      <c r="DX53" s="749"/>
      <c r="DY53" s="749"/>
      <c r="DZ53" s="749"/>
      <c r="EA53" s="749"/>
      <c r="EB53" s="749"/>
      <c r="EC53" s="749"/>
      <c r="ED53" s="749"/>
      <c r="EE53" s="749"/>
      <c r="EF53" s="749"/>
      <c r="EG53" s="749"/>
      <c r="EH53" s="749"/>
      <c r="EI53" s="749"/>
      <c r="EJ53" s="749"/>
      <c r="EK53" s="749"/>
      <c r="EL53" s="749"/>
      <c r="EM53" s="749"/>
      <c r="EN53" s="749"/>
      <c r="EO53" s="749"/>
      <c r="EP53" s="749"/>
      <c r="EQ53" s="749"/>
      <c r="ER53" s="749"/>
      <c r="ES53" s="749"/>
      <c r="ET53" s="749"/>
      <c r="EU53" s="749"/>
      <c r="EV53" s="749"/>
      <c r="EW53" s="749"/>
      <c r="EX53" s="749"/>
      <c r="EY53" s="749"/>
      <c r="EZ53" s="749"/>
      <c r="FA53" s="749"/>
      <c r="FB53" s="749"/>
      <c r="FC53" s="749"/>
      <c r="FD53" s="749"/>
      <c r="FE53" s="749"/>
      <c r="FF53" s="749"/>
      <c r="FG53" s="749"/>
      <c r="FH53" s="749"/>
      <c r="FI53" s="749"/>
      <c r="FJ53" s="749"/>
      <c r="FK53" s="749"/>
      <c r="FL53" s="749"/>
      <c r="FM53" s="749"/>
      <c r="FN53" s="749"/>
      <c r="FO53" s="749"/>
      <c r="FP53" s="749"/>
      <c r="FQ53" s="749"/>
      <c r="FR53" s="749"/>
      <c r="FS53" s="749"/>
      <c r="FT53" s="749"/>
      <c r="FU53" s="749"/>
      <c r="FV53" s="749"/>
      <c r="FW53" s="749"/>
      <c r="FX53" s="749"/>
      <c r="FY53" s="749"/>
      <c r="FZ53" s="749"/>
      <c r="GA53" s="749"/>
      <c r="GB53" s="749"/>
      <c r="GC53" s="749"/>
      <c r="GD53" s="749"/>
      <c r="GE53" s="749"/>
      <c r="GF53" s="749"/>
      <c r="GG53" s="749"/>
      <c r="GH53" s="749"/>
      <c r="GI53" s="749"/>
      <c r="GJ53" s="749"/>
      <c r="GK53" s="749"/>
      <c r="GL53" s="749"/>
      <c r="GM53" s="749"/>
      <c r="GN53" s="749"/>
      <c r="GO53" s="749"/>
      <c r="GP53" s="749"/>
      <c r="GQ53" s="749"/>
      <c r="GR53" s="749"/>
      <c r="GS53" s="749"/>
      <c r="GT53" s="749"/>
      <c r="GU53" s="749"/>
      <c r="GV53" s="749"/>
      <c r="GW53" s="749"/>
      <c r="GX53" s="749"/>
      <c r="GY53" s="749"/>
      <c r="GZ53" s="749"/>
      <c r="HA53" s="749"/>
      <c r="HB53" s="749"/>
      <c r="HC53" s="749"/>
      <c r="HD53" s="749"/>
      <c r="HE53" s="749"/>
      <c r="HF53" s="749"/>
      <c r="HG53" s="749"/>
      <c r="HH53" s="749"/>
      <c r="HI53" s="749"/>
      <c r="HJ53" s="749"/>
      <c r="HK53" s="749"/>
      <c r="HL53" s="749"/>
      <c r="HM53" s="749"/>
    </row>
    <row r="54" spans="1:221" ht="12.75">
      <c r="A54" s="3"/>
      <c r="B54" s="850" t="s">
        <v>377</v>
      </c>
      <c r="C54" s="889"/>
      <c r="D54" s="885" t="e">
        <f t="shared" ref="D54:D55" si="19">E54/$E$27</f>
        <v>#DIV/0!</v>
      </c>
      <c r="E54" s="879">
        <f>G54+M54+N54+O54</f>
        <v>0</v>
      </c>
      <c r="F54" s="878" t="e">
        <f t="shared" ref="F54:F55" si="20">G54/$G$27</f>
        <v>#DIV/0!</v>
      </c>
      <c r="G54" s="889">
        <f t="shared" ref="G54:G55" si="21">I54+K54</f>
        <v>0</v>
      </c>
      <c r="H54" s="878">
        <f>'TAB 3 Project Cost'!F27</f>
        <v>0.1</v>
      </c>
      <c r="I54" s="889">
        <f>'TAB 3 Project Cost'!G27</f>
        <v>0</v>
      </c>
      <c r="J54" s="878">
        <f>'TAB 3 Project Cost'!F58</f>
        <v>0.1</v>
      </c>
      <c r="K54" s="889">
        <f>'TAB 3 Project Cost'!G58</f>
        <v>0</v>
      </c>
      <c r="L54" s="878"/>
      <c r="M54" s="877"/>
      <c r="N54" s="868"/>
      <c r="O54" s="851"/>
      <c r="P54" s="923">
        <f>'TAB 3 Project Cost'!AC58</f>
        <v>0</v>
      </c>
      <c r="Q54" s="924">
        <f>'TAB 3 Project Cost'!AD58</f>
        <v>0</v>
      </c>
      <c r="R54" s="925">
        <f>'TAB 3 Project Cost'!AE58</f>
        <v>0</v>
      </c>
      <c r="S54" s="995"/>
      <c r="T54" s="996"/>
      <c r="U54" s="996"/>
      <c r="V54" s="997"/>
      <c r="W54" s="749"/>
      <c r="X54" s="749"/>
      <c r="Y54" s="749"/>
      <c r="Z54" s="749"/>
      <c r="AA54" s="749"/>
      <c r="AB54" s="749"/>
      <c r="AC54" s="749"/>
      <c r="AD54" s="749"/>
      <c r="AE54" s="749"/>
      <c r="AF54" s="749"/>
      <c r="AG54" s="749"/>
      <c r="AH54" s="749"/>
      <c r="AI54" s="749"/>
      <c r="AJ54" s="749"/>
      <c r="AK54" s="749"/>
      <c r="AL54" s="749"/>
      <c r="AM54" s="749"/>
      <c r="AN54" s="749"/>
      <c r="AO54" s="749"/>
      <c r="AP54" s="749"/>
      <c r="AQ54" s="749"/>
      <c r="AR54" s="749"/>
      <c r="AS54" s="749"/>
      <c r="AT54" s="749"/>
      <c r="AU54" s="749"/>
      <c r="AV54" s="749"/>
      <c r="AW54" s="749"/>
      <c r="AX54" s="749"/>
      <c r="AY54" s="749"/>
      <c r="AZ54" s="749"/>
      <c r="BA54" s="749"/>
      <c r="BB54" s="749"/>
      <c r="BC54" s="749"/>
      <c r="BD54" s="749"/>
      <c r="BE54" s="749"/>
      <c r="BF54" s="749"/>
      <c r="BG54" s="749"/>
      <c r="BH54" s="749"/>
      <c r="BI54" s="749"/>
      <c r="BJ54" s="749"/>
      <c r="BK54" s="749"/>
      <c r="BL54" s="749"/>
      <c r="BM54" s="749"/>
      <c r="BN54" s="749"/>
      <c r="BO54" s="749"/>
      <c r="BP54" s="749"/>
      <c r="BQ54" s="749"/>
      <c r="BR54" s="749"/>
      <c r="BS54" s="749"/>
      <c r="BT54" s="749"/>
      <c r="BU54" s="749"/>
      <c r="BV54" s="749"/>
      <c r="BW54" s="749"/>
      <c r="BX54" s="749"/>
      <c r="BY54" s="749"/>
      <c r="BZ54" s="749"/>
      <c r="CA54" s="749"/>
      <c r="CB54" s="749"/>
      <c r="CC54" s="749"/>
      <c r="CD54" s="749"/>
      <c r="CE54" s="749"/>
      <c r="CF54" s="749"/>
      <c r="CG54" s="749"/>
      <c r="CH54" s="749"/>
      <c r="CI54" s="749"/>
      <c r="CJ54" s="749"/>
      <c r="CK54" s="749"/>
      <c r="CL54" s="749"/>
      <c r="CM54" s="749"/>
      <c r="CN54" s="749"/>
      <c r="CO54" s="749"/>
      <c r="CP54" s="749"/>
      <c r="CQ54" s="749"/>
      <c r="CR54" s="749"/>
      <c r="CS54" s="749"/>
      <c r="CT54" s="749"/>
      <c r="CU54" s="749"/>
      <c r="CV54" s="749"/>
      <c r="CW54" s="749"/>
      <c r="CX54" s="749"/>
      <c r="CY54" s="749"/>
      <c r="CZ54" s="749"/>
      <c r="DA54" s="749"/>
      <c r="DB54" s="749"/>
      <c r="DC54" s="749"/>
      <c r="DD54" s="749"/>
      <c r="DE54" s="749"/>
      <c r="DF54" s="749"/>
      <c r="DG54" s="749"/>
      <c r="DH54" s="749"/>
      <c r="DI54" s="749"/>
      <c r="DJ54" s="749"/>
      <c r="DK54" s="749"/>
      <c r="DL54" s="749"/>
      <c r="DM54" s="749"/>
      <c r="DN54" s="749"/>
      <c r="DO54" s="749"/>
      <c r="DP54" s="749"/>
      <c r="DQ54" s="749"/>
      <c r="DR54" s="749"/>
      <c r="DS54" s="749"/>
      <c r="DT54" s="749"/>
      <c r="DU54" s="749"/>
      <c r="DV54" s="749"/>
      <c r="DW54" s="749"/>
      <c r="DX54" s="749"/>
      <c r="DY54" s="749"/>
      <c r="DZ54" s="749"/>
      <c r="EA54" s="749"/>
      <c r="EB54" s="749"/>
      <c r="EC54" s="749"/>
      <c r="ED54" s="749"/>
      <c r="EE54" s="749"/>
      <c r="EF54" s="749"/>
      <c r="EG54" s="749"/>
      <c r="EH54" s="749"/>
      <c r="EI54" s="749"/>
      <c r="EJ54" s="749"/>
      <c r="EK54" s="749"/>
      <c r="EL54" s="749"/>
      <c r="EM54" s="749"/>
      <c r="EN54" s="749"/>
      <c r="EO54" s="749"/>
      <c r="EP54" s="749"/>
      <c r="EQ54" s="749"/>
      <c r="ER54" s="749"/>
      <c r="ES54" s="749"/>
      <c r="ET54" s="749"/>
      <c r="EU54" s="749"/>
      <c r="EV54" s="749"/>
      <c r="EW54" s="749"/>
      <c r="EX54" s="749"/>
      <c r="EY54" s="749"/>
      <c r="EZ54" s="749"/>
      <c r="FA54" s="749"/>
      <c r="FB54" s="749"/>
      <c r="FC54" s="749"/>
      <c r="FD54" s="749"/>
      <c r="FE54" s="749"/>
      <c r="FF54" s="749"/>
      <c r="FG54" s="749"/>
      <c r="FH54" s="749"/>
      <c r="FI54" s="749"/>
      <c r="FJ54" s="749"/>
      <c r="FK54" s="749"/>
      <c r="FL54" s="749"/>
      <c r="FM54" s="749"/>
      <c r="FN54" s="749"/>
      <c r="FO54" s="749"/>
      <c r="FP54" s="749"/>
      <c r="FQ54" s="749"/>
      <c r="FR54" s="749"/>
      <c r="FS54" s="749"/>
      <c r="FT54" s="749"/>
      <c r="FU54" s="749"/>
      <c r="FV54" s="749"/>
      <c r="FW54" s="749"/>
      <c r="FX54" s="749"/>
      <c r="FY54" s="749"/>
      <c r="FZ54" s="749"/>
      <c r="GA54" s="749"/>
      <c r="GB54" s="749"/>
      <c r="GC54" s="749"/>
      <c r="GD54" s="749"/>
      <c r="GE54" s="749"/>
      <c r="GF54" s="749"/>
      <c r="GG54" s="749"/>
      <c r="GH54" s="749"/>
      <c r="GI54" s="749"/>
      <c r="GJ54" s="749"/>
      <c r="GK54" s="749"/>
      <c r="GL54" s="749"/>
      <c r="GM54" s="749"/>
      <c r="GN54" s="749"/>
      <c r="GO54" s="749"/>
      <c r="GP54" s="749"/>
      <c r="GQ54" s="749"/>
      <c r="GR54" s="749"/>
      <c r="GS54" s="749"/>
      <c r="GT54" s="749"/>
      <c r="GU54" s="749"/>
      <c r="GV54" s="749"/>
      <c r="GW54" s="749"/>
      <c r="GX54" s="749"/>
      <c r="GY54" s="749"/>
      <c r="GZ54" s="749"/>
      <c r="HA54" s="749"/>
      <c r="HB54" s="749"/>
      <c r="HC54" s="749"/>
      <c r="HD54" s="749"/>
      <c r="HE54" s="749"/>
      <c r="HF54" s="749"/>
      <c r="HG54" s="749"/>
      <c r="HH54" s="749"/>
      <c r="HI54" s="749"/>
      <c r="HJ54" s="749"/>
      <c r="HK54" s="749"/>
      <c r="HL54" s="749"/>
      <c r="HM54" s="749"/>
    </row>
    <row r="55" spans="1:221" ht="12.75" customHeight="1">
      <c r="A55" s="3"/>
      <c r="B55" s="850" t="s">
        <v>378</v>
      </c>
      <c r="C55" s="889"/>
      <c r="D55" s="885" t="e">
        <f t="shared" si="19"/>
        <v>#DIV/0!</v>
      </c>
      <c r="E55" s="879">
        <f>G55+M55+N55+O55</f>
        <v>0</v>
      </c>
      <c r="F55" s="878" t="e">
        <f t="shared" si="20"/>
        <v>#DIV/0!</v>
      </c>
      <c r="G55" s="889">
        <f t="shared" si="21"/>
        <v>0</v>
      </c>
      <c r="H55" s="878">
        <f>'TAB 3 Project Cost'!F28</f>
        <v>2.5000000000000001E-2</v>
      </c>
      <c r="I55" s="889">
        <f>'TAB 3 Project Cost'!G28</f>
        <v>0</v>
      </c>
      <c r="J55" s="878">
        <f>'TAB 3 Project Cost'!F59</f>
        <v>0.03</v>
      </c>
      <c r="K55" s="889">
        <f>'TAB 3 Project Cost'!G59</f>
        <v>0</v>
      </c>
      <c r="L55" s="878"/>
      <c r="M55" s="877"/>
      <c r="N55" s="868"/>
      <c r="O55" s="851"/>
      <c r="P55" s="923">
        <f>'TAB 3 Project Cost'!AC59</f>
        <v>0</v>
      </c>
      <c r="Q55" s="924">
        <f>'TAB 3 Project Cost'!AD59</f>
        <v>0</v>
      </c>
      <c r="R55" s="925">
        <f>'TAB 3 Project Cost'!AE59</f>
        <v>0</v>
      </c>
      <c r="S55" s="995"/>
      <c r="T55" s="996"/>
      <c r="U55" s="996"/>
      <c r="V55" s="997"/>
      <c r="W55" s="749"/>
      <c r="X55" s="749"/>
      <c r="Y55" s="749"/>
      <c r="Z55" s="749"/>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49"/>
      <c r="AY55" s="749"/>
      <c r="AZ55" s="749"/>
      <c r="BA55" s="749"/>
      <c r="BB55" s="749"/>
      <c r="BC55" s="749"/>
      <c r="BD55" s="749"/>
      <c r="BE55" s="749"/>
      <c r="BF55" s="749"/>
      <c r="BG55" s="749"/>
      <c r="BH55" s="749"/>
      <c r="BI55" s="749"/>
      <c r="BJ55" s="749"/>
      <c r="BK55" s="749"/>
      <c r="BL55" s="749"/>
      <c r="BM55" s="749"/>
      <c r="BN55" s="749"/>
      <c r="BO55" s="749"/>
      <c r="BP55" s="749"/>
      <c r="BQ55" s="749"/>
      <c r="BR55" s="749"/>
      <c r="BS55" s="749"/>
      <c r="BT55" s="749"/>
      <c r="BU55" s="749"/>
      <c r="BV55" s="749"/>
      <c r="BW55" s="749"/>
      <c r="BX55" s="749"/>
      <c r="BY55" s="749"/>
      <c r="BZ55" s="749"/>
      <c r="CA55" s="749"/>
      <c r="CB55" s="749"/>
      <c r="CC55" s="749"/>
      <c r="CD55" s="749"/>
      <c r="CE55" s="749"/>
      <c r="CF55" s="749"/>
      <c r="CG55" s="749"/>
      <c r="CH55" s="749"/>
      <c r="CI55" s="749"/>
      <c r="CJ55" s="749"/>
      <c r="CK55" s="749"/>
      <c r="CL55" s="749"/>
      <c r="CM55" s="749"/>
      <c r="CN55" s="749"/>
      <c r="CO55" s="749"/>
      <c r="CP55" s="749"/>
      <c r="CQ55" s="749"/>
      <c r="CR55" s="749"/>
      <c r="CS55" s="749"/>
      <c r="CT55" s="749"/>
      <c r="CU55" s="749"/>
      <c r="CV55" s="749"/>
      <c r="CW55" s="749"/>
      <c r="CX55" s="749"/>
      <c r="CY55" s="749"/>
      <c r="CZ55" s="749"/>
      <c r="DA55" s="749"/>
      <c r="DB55" s="749"/>
      <c r="DC55" s="749"/>
      <c r="DD55" s="749"/>
      <c r="DE55" s="749"/>
      <c r="DF55" s="749"/>
      <c r="DG55" s="749"/>
      <c r="DH55" s="749"/>
      <c r="DI55" s="749"/>
      <c r="DJ55" s="749"/>
      <c r="DK55" s="749"/>
      <c r="DL55" s="749"/>
      <c r="DM55" s="749"/>
      <c r="DN55" s="749"/>
      <c r="DO55" s="749"/>
      <c r="DP55" s="749"/>
      <c r="DQ55" s="749"/>
      <c r="DR55" s="749"/>
      <c r="DS55" s="749"/>
      <c r="DT55" s="749"/>
      <c r="DU55" s="749"/>
      <c r="DV55" s="749"/>
      <c r="DW55" s="749"/>
      <c r="DX55" s="749"/>
      <c r="DY55" s="749"/>
      <c r="DZ55" s="749"/>
      <c r="EA55" s="749"/>
      <c r="EB55" s="749"/>
      <c r="EC55" s="749"/>
      <c r="ED55" s="749"/>
      <c r="EE55" s="749"/>
      <c r="EF55" s="749"/>
      <c r="EG55" s="749"/>
      <c r="EH55" s="749"/>
      <c r="EI55" s="749"/>
      <c r="EJ55" s="749"/>
      <c r="EK55" s="749"/>
      <c r="EL55" s="749"/>
      <c r="EM55" s="749"/>
      <c r="EN55" s="749"/>
      <c r="EO55" s="749"/>
      <c r="EP55" s="749"/>
      <c r="EQ55" s="749"/>
      <c r="ER55" s="749"/>
      <c r="ES55" s="749"/>
      <c r="ET55" s="749"/>
      <c r="EU55" s="749"/>
      <c r="EV55" s="749"/>
      <c r="EW55" s="749"/>
      <c r="EX55" s="749"/>
      <c r="EY55" s="749"/>
      <c r="EZ55" s="749"/>
      <c r="FA55" s="749"/>
      <c r="FB55" s="749"/>
      <c r="FC55" s="749"/>
      <c r="FD55" s="749"/>
      <c r="FE55" s="749"/>
      <c r="FF55" s="749"/>
      <c r="FG55" s="749"/>
      <c r="FH55" s="749"/>
      <c r="FI55" s="749"/>
      <c r="FJ55" s="749"/>
      <c r="FK55" s="749"/>
      <c r="FL55" s="749"/>
      <c r="FM55" s="749"/>
      <c r="FN55" s="749"/>
      <c r="FO55" s="749"/>
      <c r="FP55" s="749"/>
      <c r="FQ55" s="749"/>
      <c r="FR55" s="749"/>
      <c r="FS55" s="749"/>
      <c r="FT55" s="749"/>
      <c r="FU55" s="749"/>
      <c r="FV55" s="749"/>
      <c r="FW55" s="749"/>
      <c r="FX55" s="749"/>
      <c r="FY55" s="749"/>
      <c r="FZ55" s="749"/>
      <c r="GA55" s="749"/>
      <c r="GB55" s="749"/>
      <c r="GC55" s="749"/>
      <c r="GD55" s="749"/>
      <c r="GE55" s="749"/>
      <c r="GF55" s="749"/>
      <c r="GG55" s="749"/>
      <c r="GH55" s="749"/>
      <c r="GI55" s="749"/>
      <c r="GJ55" s="749"/>
      <c r="GK55" s="749"/>
      <c r="GL55" s="749"/>
      <c r="GM55" s="749"/>
      <c r="GN55" s="749"/>
      <c r="GO55" s="749"/>
      <c r="GP55" s="749"/>
      <c r="GQ55" s="749"/>
      <c r="GR55" s="749"/>
      <c r="GS55" s="749"/>
      <c r="GT55" s="749"/>
      <c r="GU55" s="749"/>
      <c r="GV55" s="749"/>
      <c r="GW55" s="749"/>
      <c r="GX55" s="749"/>
      <c r="GY55" s="749"/>
      <c r="GZ55" s="749"/>
      <c r="HA55" s="749"/>
      <c r="HB55" s="749"/>
      <c r="HC55" s="749"/>
      <c r="HD55" s="749"/>
      <c r="HE55" s="749"/>
      <c r="HF55" s="749"/>
      <c r="HG55" s="749"/>
      <c r="HH55" s="749"/>
      <c r="HI55" s="749"/>
      <c r="HJ55" s="749"/>
      <c r="HK55" s="749"/>
      <c r="HL55" s="749"/>
      <c r="HM55" s="749"/>
    </row>
    <row r="56" spans="1:221" ht="12.75">
      <c r="A56" s="3"/>
      <c r="B56" s="849"/>
      <c r="C56" s="838"/>
      <c r="D56" s="836"/>
      <c r="E56" s="838"/>
      <c r="F56" s="872"/>
      <c r="G56" s="838"/>
      <c r="H56" s="872"/>
      <c r="I56" s="838"/>
      <c r="J56" s="872"/>
      <c r="K56" s="838"/>
      <c r="L56" s="872"/>
      <c r="M56" s="838"/>
      <c r="N56" s="836"/>
      <c r="O56" s="844"/>
      <c r="P56" s="920"/>
      <c r="Q56" s="921"/>
      <c r="R56" s="922"/>
      <c r="S56" s="998"/>
      <c r="T56" s="999"/>
      <c r="U56" s="999"/>
      <c r="V56" s="1000"/>
      <c r="W56" s="749"/>
      <c r="X56" s="749"/>
      <c r="Y56" s="749"/>
      <c r="Z56" s="749"/>
      <c r="AA56" s="749"/>
      <c r="AB56" s="749"/>
      <c r="AC56" s="749"/>
      <c r="AD56" s="749"/>
      <c r="AE56" s="749"/>
      <c r="AF56" s="749"/>
      <c r="AG56" s="749"/>
      <c r="AH56" s="749"/>
      <c r="AI56" s="749"/>
      <c r="AJ56" s="749"/>
      <c r="AK56" s="749"/>
      <c r="AL56" s="749"/>
      <c r="AM56" s="749"/>
      <c r="AN56" s="749"/>
      <c r="AO56" s="749"/>
      <c r="AP56" s="749"/>
      <c r="AQ56" s="749"/>
      <c r="AR56" s="749"/>
      <c r="AS56" s="749"/>
      <c r="AT56" s="749"/>
      <c r="AU56" s="749"/>
      <c r="AV56" s="749"/>
      <c r="AW56" s="749"/>
      <c r="AX56" s="749"/>
      <c r="AY56" s="749"/>
      <c r="AZ56" s="749"/>
      <c r="BA56" s="749"/>
      <c r="BB56" s="749"/>
      <c r="BC56" s="749"/>
      <c r="BD56" s="749"/>
      <c r="BE56" s="749"/>
      <c r="BF56" s="749"/>
      <c r="BG56" s="749"/>
      <c r="BH56" s="749"/>
      <c r="BI56" s="749"/>
      <c r="BJ56" s="749"/>
      <c r="BK56" s="749"/>
      <c r="BL56" s="749"/>
      <c r="BM56" s="749"/>
      <c r="BN56" s="749"/>
      <c r="BO56" s="749"/>
      <c r="BP56" s="749"/>
      <c r="BQ56" s="749"/>
      <c r="BR56" s="749"/>
      <c r="BS56" s="749"/>
      <c r="BT56" s="749"/>
      <c r="BU56" s="749"/>
      <c r="BV56" s="749"/>
      <c r="BW56" s="749"/>
      <c r="BX56" s="749"/>
      <c r="BY56" s="749"/>
      <c r="BZ56" s="749"/>
      <c r="CA56" s="749"/>
      <c r="CB56" s="749"/>
      <c r="CC56" s="749"/>
      <c r="CD56" s="749"/>
      <c r="CE56" s="749"/>
      <c r="CF56" s="749"/>
      <c r="CG56" s="749"/>
      <c r="CH56" s="749"/>
      <c r="CI56" s="749"/>
      <c r="CJ56" s="749"/>
      <c r="CK56" s="749"/>
      <c r="CL56" s="749"/>
      <c r="CM56" s="749"/>
      <c r="CN56" s="749"/>
      <c r="CO56" s="749"/>
      <c r="CP56" s="749"/>
      <c r="CQ56" s="749"/>
      <c r="CR56" s="749"/>
      <c r="CS56" s="749"/>
      <c r="CT56" s="749"/>
      <c r="CU56" s="749"/>
      <c r="CV56" s="749"/>
      <c r="CW56" s="749"/>
      <c r="CX56" s="749"/>
      <c r="CY56" s="749"/>
      <c r="CZ56" s="749"/>
      <c r="DA56" s="749"/>
      <c r="DB56" s="749"/>
      <c r="DC56" s="749"/>
      <c r="DD56" s="749"/>
      <c r="DE56" s="749"/>
      <c r="DF56" s="749"/>
      <c r="DG56" s="749"/>
      <c r="DH56" s="749"/>
      <c r="DI56" s="749"/>
      <c r="DJ56" s="749"/>
      <c r="DK56" s="749"/>
      <c r="DL56" s="749"/>
      <c r="DM56" s="749"/>
      <c r="DN56" s="749"/>
      <c r="DO56" s="749"/>
      <c r="DP56" s="749"/>
      <c r="DQ56" s="749"/>
      <c r="DR56" s="749"/>
      <c r="DS56" s="749"/>
      <c r="DT56" s="749"/>
      <c r="DU56" s="749"/>
      <c r="DV56" s="749"/>
      <c r="DW56" s="749"/>
      <c r="DX56" s="749"/>
      <c r="DY56" s="749"/>
      <c r="DZ56" s="749"/>
      <c r="EA56" s="749"/>
      <c r="EB56" s="749"/>
      <c r="EC56" s="749"/>
      <c r="ED56" s="749"/>
      <c r="EE56" s="749"/>
      <c r="EF56" s="749"/>
      <c r="EG56" s="749"/>
      <c r="EH56" s="749"/>
      <c r="EI56" s="749"/>
      <c r="EJ56" s="749"/>
      <c r="EK56" s="749"/>
      <c r="EL56" s="749"/>
      <c r="EM56" s="749"/>
      <c r="EN56" s="749"/>
      <c r="EO56" s="749"/>
      <c r="EP56" s="749"/>
      <c r="EQ56" s="749"/>
      <c r="ER56" s="749"/>
      <c r="ES56" s="749"/>
      <c r="ET56" s="749"/>
      <c r="EU56" s="749"/>
      <c r="EV56" s="749"/>
      <c r="EW56" s="749"/>
      <c r="EX56" s="749"/>
      <c r="EY56" s="749"/>
      <c r="EZ56" s="749"/>
      <c r="FA56" s="749"/>
      <c r="FB56" s="749"/>
      <c r="FC56" s="749"/>
      <c r="FD56" s="749"/>
      <c r="FE56" s="749"/>
      <c r="FF56" s="749"/>
      <c r="FG56" s="749"/>
      <c r="FH56" s="749"/>
      <c r="FI56" s="749"/>
      <c r="FJ56" s="749"/>
      <c r="FK56" s="749"/>
      <c r="FL56" s="749"/>
      <c r="FM56" s="749"/>
      <c r="FN56" s="749"/>
      <c r="FO56" s="749"/>
      <c r="FP56" s="749"/>
      <c r="FQ56" s="749"/>
      <c r="FR56" s="749"/>
      <c r="FS56" s="749"/>
      <c r="FT56" s="749"/>
      <c r="FU56" s="749"/>
      <c r="FV56" s="749"/>
      <c r="FW56" s="749"/>
      <c r="FX56" s="749"/>
      <c r="FY56" s="749"/>
      <c r="FZ56" s="749"/>
      <c r="GA56" s="749"/>
      <c r="GB56" s="749"/>
      <c r="GC56" s="749"/>
      <c r="GD56" s="749"/>
      <c r="GE56" s="749"/>
      <c r="GF56" s="749"/>
      <c r="GG56" s="749"/>
      <c r="GH56" s="749"/>
      <c r="GI56" s="749"/>
      <c r="GJ56" s="749"/>
      <c r="GK56" s="749"/>
      <c r="GL56" s="749"/>
      <c r="GM56" s="749"/>
      <c r="GN56" s="749"/>
      <c r="GO56" s="749"/>
      <c r="GP56" s="749"/>
      <c r="GQ56" s="749"/>
      <c r="GR56" s="749"/>
      <c r="GS56" s="749"/>
      <c r="GT56" s="749"/>
      <c r="GU56" s="749"/>
      <c r="GV56" s="749"/>
      <c r="GW56" s="749"/>
      <c r="GX56" s="749"/>
      <c r="GY56" s="749"/>
      <c r="GZ56" s="749"/>
      <c r="HA56" s="749"/>
      <c r="HB56" s="749"/>
      <c r="HC56" s="749"/>
      <c r="HD56" s="749"/>
      <c r="HE56" s="749"/>
      <c r="HF56" s="749"/>
      <c r="HG56" s="749"/>
      <c r="HH56" s="749"/>
      <c r="HI56" s="749"/>
      <c r="HJ56" s="749"/>
      <c r="HK56" s="749"/>
      <c r="HL56" s="749"/>
      <c r="HM56" s="749"/>
    </row>
    <row r="57" spans="1:221" ht="12.75" customHeight="1">
      <c r="A57" s="3"/>
      <c r="B57" s="849"/>
      <c r="C57" s="838"/>
      <c r="D57" s="836"/>
      <c r="E57" s="838"/>
      <c r="F57" s="872"/>
      <c r="G57" s="838"/>
      <c r="H57" s="872"/>
      <c r="I57" s="838"/>
      <c r="J57" s="872"/>
      <c r="K57" s="838"/>
      <c r="L57" s="872"/>
      <c r="M57" s="838"/>
      <c r="N57" s="836"/>
      <c r="O57" s="844"/>
      <c r="P57" s="920"/>
      <c r="Q57" s="921"/>
      <c r="R57" s="922"/>
      <c r="S57" s="998"/>
      <c r="T57" s="999"/>
      <c r="U57" s="999"/>
      <c r="V57" s="1000"/>
      <c r="W57" s="749"/>
      <c r="X57" s="749"/>
      <c r="Y57" s="749"/>
      <c r="Z57" s="749"/>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49"/>
      <c r="AW57" s="749"/>
      <c r="AX57" s="749"/>
      <c r="AY57" s="749"/>
      <c r="AZ57" s="749"/>
      <c r="BA57" s="749"/>
      <c r="BB57" s="749"/>
      <c r="BC57" s="749"/>
      <c r="BD57" s="749"/>
      <c r="BE57" s="749"/>
      <c r="BF57" s="749"/>
      <c r="BG57" s="749"/>
      <c r="BH57" s="749"/>
      <c r="BI57" s="749"/>
      <c r="BJ57" s="749"/>
      <c r="BK57" s="749"/>
      <c r="BL57" s="749"/>
      <c r="BM57" s="749"/>
      <c r="BN57" s="749"/>
      <c r="BO57" s="749"/>
      <c r="BP57" s="749"/>
      <c r="BQ57" s="749"/>
      <c r="BR57" s="749"/>
      <c r="BS57" s="749"/>
      <c r="BT57" s="749"/>
      <c r="BU57" s="749"/>
      <c r="BV57" s="749"/>
      <c r="BW57" s="749"/>
      <c r="BX57" s="749"/>
      <c r="BY57" s="749"/>
      <c r="BZ57" s="749"/>
      <c r="CA57" s="749"/>
      <c r="CB57" s="749"/>
      <c r="CC57" s="749"/>
      <c r="CD57" s="749"/>
      <c r="CE57" s="749"/>
      <c r="CF57" s="749"/>
      <c r="CG57" s="749"/>
      <c r="CH57" s="749"/>
      <c r="CI57" s="749"/>
      <c r="CJ57" s="749"/>
      <c r="CK57" s="749"/>
      <c r="CL57" s="749"/>
      <c r="CM57" s="749"/>
      <c r="CN57" s="749"/>
      <c r="CO57" s="749"/>
      <c r="CP57" s="749"/>
      <c r="CQ57" s="749"/>
      <c r="CR57" s="749"/>
      <c r="CS57" s="749"/>
      <c r="CT57" s="749"/>
      <c r="CU57" s="749"/>
      <c r="CV57" s="749"/>
      <c r="CW57" s="749"/>
      <c r="CX57" s="749"/>
      <c r="CY57" s="749"/>
      <c r="CZ57" s="749"/>
      <c r="DA57" s="749"/>
      <c r="DB57" s="749"/>
      <c r="DC57" s="749"/>
      <c r="DD57" s="749"/>
      <c r="DE57" s="749"/>
      <c r="DF57" s="749"/>
      <c r="DG57" s="749"/>
      <c r="DH57" s="749"/>
      <c r="DI57" s="749"/>
      <c r="DJ57" s="749"/>
      <c r="DK57" s="749"/>
      <c r="DL57" s="749"/>
      <c r="DM57" s="749"/>
      <c r="DN57" s="749"/>
      <c r="DO57" s="749"/>
      <c r="DP57" s="749"/>
      <c r="DQ57" s="749"/>
      <c r="DR57" s="749"/>
      <c r="DS57" s="749"/>
      <c r="DT57" s="749"/>
      <c r="DU57" s="749"/>
      <c r="DV57" s="749"/>
      <c r="DW57" s="749"/>
      <c r="DX57" s="749"/>
      <c r="DY57" s="749"/>
      <c r="DZ57" s="749"/>
      <c r="EA57" s="749"/>
      <c r="EB57" s="749"/>
      <c r="EC57" s="749"/>
      <c r="ED57" s="749"/>
      <c r="EE57" s="749"/>
      <c r="EF57" s="749"/>
      <c r="EG57" s="749"/>
      <c r="EH57" s="749"/>
      <c r="EI57" s="749"/>
      <c r="EJ57" s="749"/>
      <c r="EK57" s="749"/>
      <c r="EL57" s="749"/>
      <c r="EM57" s="749"/>
      <c r="EN57" s="749"/>
      <c r="EO57" s="749"/>
      <c r="EP57" s="749"/>
      <c r="EQ57" s="749"/>
      <c r="ER57" s="749"/>
      <c r="ES57" s="749"/>
      <c r="ET57" s="749"/>
      <c r="EU57" s="749"/>
      <c r="EV57" s="749"/>
      <c r="EW57" s="749"/>
      <c r="EX57" s="749"/>
      <c r="EY57" s="749"/>
      <c r="EZ57" s="749"/>
      <c r="FA57" s="749"/>
      <c r="FB57" s="749"/>
      <c r="FC57" s="749"/>
      <c r="FD57" s="749"/>
      <c r="FE57" s="749"/>
      <c r="FF57" s="749"/>
      <c r="FG57" s="749"/>
      <c r="FH57" s="749"/>
      <c r="FI57" s="749"/>
      <c r="FJ57" s="749"/>
      <c r="FK57" s="749"/>
      <c r="FL57" s="749"/>
      <c r="FM57" s="749"/>
      <c r="FN57" s="749"/>
      <c r="FO57" s="749"/>
      <c r="FP57" s="749"/>
      <c r="FQ57" s="749"/>
      <c r="FR57" s="749"/>
      <c r="FS57" s="749"/>
      <c r="FT57" s="749"/>
      <c r="FU57" s="749"/>
      <c r="FV57" s="749"/>
      <c r="FW57" s="749"/>
      <c r="FX57" s="749"/>
      <c r="FY57" s="749"/>
      <c r="FZ57" s="749"/>
      <c r="GA57" s="749"/>
      <c r="GB57" s="749"/>
      <c r="GC57" s="749"/>
      <c r="GD57" s="749"/>
      <c r="GE57" s="749"/>
      <c r="GF57" s="749"/>
      <c r="GG57" s="749"/>
      <c r="GH57" s="749"/>
      <c r="GI57" s="749"/>
      <c r="GJ57" s="749"/>
      <c r="GK57" s="749"/>
      <c r="GL57" s="749"/>
      <c r="GM57" s="749"/>
      <c r="GN57" s="749"/>
      <c r="GO57" s="749"/>
      <c r="GP57" s="749"/>
      <c r="GQ57" s="749"/>
      <c r="GR57" s="749"/>
      <c r="GS57" s="749"/>
      <c r="GT57" s="749"/>
      <c r="GU57" s="749"/>
      <c r="GV57" s="749"/>
      <c r="GW57" s="749"/>
      <c r="GX57" s="749"/>
      <c r="GY57" s="749"/>
      <c r="GZ57" s="749"/>
      <c r="HA57" s="749"/>
      <c r="HB57" s="749"/>
      <c r="HC57" s="749"/>
      <c r="HD57" s="749"/>
      <c r="HE57" s="749"/>
      <c r="HF57" s="749"/>
      <c r="HG57" s="749"/>
      <c r="HH57" s="749"/>
      <c r="HI57" s="749"/>
      <c r="HJ57" s="749"/>
      <c r="HK57" s="749"/>
      <c r="HL57" s="749"/>
      <c r="HM57" s="749"/>
    </row>
    <row r="58" spans="1:221" ht="12.75" customHeight="1">
      <c r="A58"/>
      <c r="B58" s="849"/>
      <c r="C58" s="838"/>
      <c r="D58" s="836"/>
      <c r="E58" s="838"/>
      <c r="F58" s="872"/>
      <c r="G58" s="838"/>
      <c r="H58" s="872"/>
      <c r="I58" s="838"/>
      <c r="J58" s="872"/>
      <c r="K58" s="838"/>
      <c r="L58" s="872"/>
      <c r="M58" s="838"/>
      <c r="N58" s="836"/>
      <c r="O58" s="844"/>
      <c r="P58" s="920"/>
      <c r="Q58" s="921"/>
      <c r="R58" s="922"/>
      <c r="S58" s="998"/>
      <c r="T58" s="999"/>
      <c r="U58" s="999"/>
      <c r="V58" s="1000"/>
      <c r="W58" s="747"/>
      <c r="X58" s="749"/>
      <c r="Y58" s="749"/>
      <c r="Z58" s="749"/>
      <c r="AA58" s="749"/>
      <c r="AB58" s="749"/>
      <c r="AC58" s="749"/>
      <c r="AD58" s="749"/>
      <c r="AE58" s="749"/>
      <c r="AF58" s="749"/>
      <c r="AG58" s="749"/>
      <c r="AH58" s="749"/>
      <c r="AI58" s="749"/>
      <c r="AJ58" s="749"/>
      <c r="AK58" s="749"/>
      <c r="AL58" s="749"/>
      <c r="AM58" s="749"/>
      <c r="AN58" s="749"/>
      <c r="AO58" s="749"/>
      <c r="AP58" s="749"/>
      <c r="AQ58" s="749"/>
      <c r="AR58" s="749"/>
      <c r="AS58" s="749"/>
      <c r="AT58" s="749"/>
      <c r="AU58" s="749"/>
      <c r="AV58" s="749"/>
      <c r="AW58" s="749"/>
      <c r="AX58" s="749"/>
      <c r="AY58" s="749"/>
      <c r="AZ58" s="749"/>
      <c r="BA58" s="749"/>
      <c r="BB58" s="749"/>
      <c r="BC58" s="749"/>
      <c r="BD58" s="749"/>
      <c r="BE58" s="749"/>
      <c r="BF58" s="749"/>
      <c r="BG58" s="749"/>
      <c r="BH58" s="749"/>
      <c r="BI58" s="749"/>
      <c r="BJ58" s="749"/>
      <c r="BK58" s="749"/>
      <c r="BL58" s="749"/>
      <c r="BM58" s="749"/>
      <c r="BN58" s="749"/>
      <c r="BO58" s="749"/>
      <c r="BP58" s="749"/>
      <c r="BQ58" s="749"/>
      <c r="BR58" s="749"/>
      <c r="BS58" s="749"/>
      <c r="BT58" s="749"/>
      <c r="BU58" s="749"/>
      <c r="BV58" s="749"/>
      <c r="BW58" s="749"/>
      <c r="BX58" s="749"/>
      <c r="BY58" s="749"/>
      <c r="BZ58" s="749"/>
      <c r="CA58" s="749"/>
      <c r="CB58" s="749"/>
      <c r="CC58" s="749"/>
      <c r="CD58" s="749"/>
      <c r="CE58" s="749"/>
      <c r="CF58" s="749"/>
      <c r="CG58" s="749"/>
      <c r="CH58" s="749"/>
      <c r="CI58" s="749"/>
      <c r="CJ58" s="749"/>
      <c r="CK58" s="749"/>
      <c r="CL58" s="749"/>
      <c r="CM58" s="749"/>
      <c r="CN58" s="749"/>
      <c r="CO58" s="749"/>
      <c r="CP58" s="749"/>
      <c r="CQ58" s="749"/>
      <c r="CR58" s="749"/>
      <c r="CS58" s="749"/>
      <c r="CT58" s="749"/>
      <c r="CU58" s="749"/>
      <c r="CV58" s="749"/>
      <c r="CW58" s="749"/>
      <c r="CX58" s="749"/>
      <c r="CY58" s="749"/>
      <c r="CZ58" s="749"/>
      <c r="DA58" s="749"/>
      <c r="DB58" s="749"/>
      <c r="DC58" s="749"/>
      <c r="DD58" s="749"/>
      <c r="DE58" s="749"/>
      <c r="DF58" s="749"/>
      <c r="DG58" s="749"/>
      <c r="DH58" s="749"/>
      <c r="DI58" s="749"/>
      <c r="DJ58" s="749"/>
      <c r="DK58" s="749"/>
      <c r="DL58" s="749"/>
      <c r="DM58" s="749"/>
      <c r="DN58" s="749"/>
      <c r="DO58" s="749"/>
      <c r="DP58" s="749"/>
      <c r="DQ58" s="749"/>
      <c r="DR58" s="749"/>
      <c r="DS58" s="749"/>
      <c r="DT58" s="749"/>
      <c r="DU58" s="749"/>
      <c r="DV58" s="749"/>
      <c r="DW58" s="749"/>
      <c r="DX58" s="749"/>
      <c r="DY58" s="749"/>
      <c r="DZ58" s="749"/>
      <c r="EA58" s="749"/>
      <c r="EB58" s="749"/>
      <c r="EC58" s="749"/>
      <c r="ED58" s="749"/>
      <c r="EE58" s="749"/>
      <c r="EF58" s="749"/>
      <c r="EG58" s="749"/>
      <c r="EH58" s="749"/>
      <c r="EI58" s="749"/>
      <c r="EJ58" s="749"/>
      <c r="EK58" s="749"/>
      <c r="EL58" s="749"/>
      <c r="EM58" s="749"/>
      <c r="EN58" s="749"/>
      <c r="EO58" s="749"/>
      <c r="EP58" s="749"/>
      <c r="EQ58" s="749"/>
      <c r="ER58" s="749"/>
      <c r="ES58" s="749"/>
      <c r="ET58" s="749"/>
      <c r="EU58" s="749"/>
      <c r="EV58" s="749"/>
      <c r="EW58" s="749"/>
      <c r="EX58" s="749"/>
      <c r="EY58" s="749"/>
      <c r="EZ58" s="749"/>
      <c r="FA58" s="749"/>
      <c r="FB58" s="749"/>
      <c r="FC58" s="749"/>
      <c r="FD58" s="749"/>
      <c r="FE58" s="749"/>
      <c r="FF58" s="749"/>
      <c r="FG58" s="749"/>
      <c r="FH58" s="749"/>
      <c r="FI58" s="749"/>
      <c r="FJ58" s="749"/>
      <c r="FK58" s="749"/>
      <c r="FL58" s="749"/>
      <c r="FM58" s="749"/>
      <c r="FN58" s="749"/>
      <c r="FO58" s="749"/>
      <c r="FP58" s="749"/>
      <c r="FQ58" s="749"/>
      <c r="FR58" s="749"/>
      <c r="FS58" s="749"/>
      <c r="FT58" s="749"/>
      <c r="FU58" s="749"/>
      <c r="FV58" s="749"/>
      <c r="FW58" s="749"/>
      <c r="FX58" s="749"/>
      <c r="FY58" s="749"/>
      <c r="FZ58" s="749"/>
      <c r="GA58" s="749"/>
      <c r="GB58" s="749"/>
      <c r="GC58" s="749"/>
      <c r="GD58" s="749"/>
      <c r="GE58" s="749"/>
      <c r="GF58" s="749"/>
      <c r="GG58" s="749"/>
      <c r="GH58" s="749"/>
      <c r="GI58" s="749"/>
      <c r="GJ58" s="749"/>
      <c r="GK58" s="749"/>
      <c r="GL58" s="749"/>
      <c r="GM58" s="749"/>
      <c r="GN58" s="749"/>
      <c r="GO58" s="749"/>
      <c r="GP58" s="749"/>
      <c r="GQ58" s="749"/>
      <c r="GR58" s="749"/>
      <c r="GS58" s="749"/>
      <c r="GT58" s="749"/>
      <c r="GU58" s="749"/>
      <c r="GV58" s="749"/>
      <c r="GW58" s="749"/>
      <c r="GX58" s="749"/>
      <c r="GY58" s="749"/>
      <c r="GZ58" s="749"/>
      <c r="HA58" s="749"/>
      <c r="HB58" s="749"/>
      <c r="HC58" s="749"/>
      <c r="HD58" s="749"/>
      <c r="HE58" s="749"/>
      <c r="HF58" s="749"/>
      <c r="HG58" s="749"/>
      <c r="HH58" s="749"/>
      <c r="HI58" s="749"/>
      <c r="HJ58" s="749"/>
      <c r="HK58" s="749"/>
      <c r="HL58" s="749"/>
      <c r="HM58" s="749"/>
    </row>
    <row r="59" spans="1:221" ht="12.75">
      <c r="A59" s="3"/>
      <c r="B59" s="849"/>
      <c r="C59" s="838"/>
      <c r="D59" s="836"/>
      <c r="E59" s="838"/>
      <c r="F59" s="872"/>
      <c r="G59" s="838"/>
      <c r="H59" s="872"/>
      <c r="I59" s="838"/>
      <c r="J59" s="872"/>
      <c r="K59" s="838"/>
      <c r="L59" s="872"/>
      <c r="M59" s="838"/>
      <c r="N59" s="836"/>
      <c r="O59" s="844"/>
      <c r="P59" s="920"/>
      <c r="Q59" s="921"/>
      <c r="R59" s="922"/>
      <c r="S59" s="998"/>
      <c r="T59" s="999"/>
      <c r="U59" s="999"/>
      <c r="V59" s="1000"/>
      <c r="W59" s="749"/>
      <c r="X59" s="749"/>
      <c r="Y59" s="749"/>
      <c r="Z59" s="749"/>
      <c r="AA59" s="749"/>
      <c r="AB59" s="749"/>
      <c r="AC59" s="749"/>
      <c r="AD59" s="749"/>
      <c r="AE59" s="749"/>
      <c r="AF59" s="749"/>
      <c r="AG59" s="749"/>
      <c r="AH59" s="749"/>
      <c r="AI59" s="749"/>
      <c r="AJ59" s="749"/>
      <c r="AK59" s="749"/>
      <c r="AL59" s="749"/>
      <c r="AM59" s="749"/>
      <c r="AN59" s="749"/>
      <c r="AO59" s="749"/>
      <c r="AP59" s="749"/>
      <c r="AQ59" s="749"/>
      <c r="AR59" s="749"/>
      <c r="AS59" s="749"/>
      <c r="AT59" s="749"/>
      <c r="AU59" s="749"/>
      <c r="AV59" s="749"/>
      <c r="AW59" s="749"/>
      <c r="AX59" s="749"/>
      <c r="AY59" s="749"/>
      <c r="AZ59" s="749"/>
      <c r="BA59" s="749"/>
      <c r="BB59" s="749"/>
      <c r="BC59" s="749"/>
      <c r="BD59" s="749"/>
      <c r="BE59" s="749"/>
      <c r="BF59" s="749"/>
      <c r="BG59" s="749"/>
      <c r="BH59" s="749"/>
      <c r="BI59" s="749"/>
      <c r="BJ59" s="749"/>
      <c r="BK59" s="749"/>
      <c r="BL59" s="749"/>
      <c r="BM59" s="749"/>
      <c r="BN59" s="749"/>
      <c r="BO59" s="749"/>
      <c r="BP59" s="749"/>
      <c r="BQ59" s="749"/>
      <c r="BR59" s="749"/>
      <c r="BS59" s="749"/>
      <c r="BT59" s="749"/>
      <c r="BU59" s="749"/>
      <c r="BV59" s="749"/>
      <c r="BW59" s="749"/>
      <c r="BX59" s="749"/>
      <c r="BY59" s="749"/>
      <c r="BZ59" s="749"/>
      <c r="CA59" s="749"/>
      <c r="CB59" s="749"/>
      <c r="CC59" s="749"/>
      <c r="CD59" s="749"/>
      <c r="CE59" s="749"/>
      <c r="CF59" s="749"/>
      <c r="CG59" s="749"/>
      <c r="CH59" s="749"/>
      <c r="CI59" s="749"/>
      <c r="CJ59" s="749"/>
      <c r="CK59" s="749"/>
      <c r="CL59" s="749"/>
      <c r="CM59" s="749"/>
      <c r="CN59" s="749"/>
      <c r="CO59" s="749"/>
      <c r="CP59" s="749"/>
      <c r="CQ59" s="749"/>
      <c r="CR59" s="749"/>
      <c r="CS59" s="749"/>
      <c r="CT59" s="749"/>
      <c r="CU59" s="749"/>
      <c r="CV59" s="749"/>
      <c r="CW59" s="749"/>
      <c r="CX59" s="749"/>
      <c r="CY59" s="749"/>
      <c r="CZ59" s="749"/>
      <c r="DA59" s="749"/>
      <c r="DB59" s="749"/>
      <c r="DC59" s="749"/>
      <c r="DD59" s="749"/>
      <c r="DE59" s="749"/>
      <c r="DF59" s="749"/>
      <c r="DG59" s="749"/>
      <c r="DH59" s="749"/>
      <c r="DI59" s="749"/>
      <c r="DJ59" s="749"/>
      <c r="DK59" s="749"/>
      <c r="DL59" s="749"/>
      <c r="DM59" s="749"/>
      <c r="DN59" s="749"/>
      <c r="DO59" s="749"/>
      <c r="DP59" s="749"/>
      <c r="DQ59" s="749"/>
      <c r="DR59" s="749"/>
      <c r="DS59" s="749"/>
      <c r="DT59" s="749"/>
      <c r="DU59" s="749"/>
      <c r="DV59" s="749"/>
      <c r="DW59" s="749"/>
      <c r="DX59" s="749"/>
      <c r="DY59" s="749"/>
      <c r="DZ59" s="749"/>
      <c r="EA59" s="749"/>
      <c r="EB59" s="749"/>
      <c r="EC59" s="749"/>
      <c r="ED59" s="749"/>
      <c r="EE59" s="749"/>
      <c r="EF59" s="749"/>
      <c r="EG59" s="749"/>
      <c r="EH59" s="749"/>
      <c r="EI59" s="749"/>
      <c r="EJ59" s="749"/>
      <c r="EK59" s="749"/>
      <c r="EL59" s="749"/>
      <c r="EM59" s="749"/>
      <c r="EN59" s="749"/>
      <c r="EO59" s="749"/>
      <c r="EP59" s="749"/>
      <c r="EQ59" s="749"/>
      <c r="ER59" s="749"/>
      <c r="ES59" s="749"/>
      <c r="ET59" s="749"/>
      <c r="EU59" s="749"/>
      <c r="EV59" s="749"/>
      <c r="EW59" s="749"/>
      <c r="EX59" s="749"/>
      <c r="EY59" s="749"/>
      <c r="EZ59" s="749"/>
      <c r="FA59" s="749"/>
      <c r="FB59" s="749"/>
      <c r="FC59" s="749"/>
      <c r="FD59" s="749"/>
      <c r="FE59" s="749"/>
      <c r="FF59" s="749"/>
      <c r="FG59" s="749"/>
      <c r="FH59" s="749"/>
      <c r="FI59" s="749"/>
      <c r="FJ59" s="749"/>
      <c r="FK59" s="749"/>
      <c r="FL59" s="749"/>
      <c r="FM59" s="749"/>
      <c r="FN59" s="749"/>
      <c r="FO59" s="749"/>
      <c r="FP59" s="749"/>
      <c r="FQ59" s="749"/>
      <c r="FR59" s="749"/>
      <c r="FS59" s="749"/>
      <c r="FT59" s="749"/>
      <c r="FU59" s="749"/>
      <c r="FV59" s="749"/>
      <c r="FW59" s="749"/>
      <c r="FX59" s="749"/>
      <c r="FY59" s="749"/>
      <c r="FZ59" s="749"/>
      <c r="GA59" s="749"/>
      <c r="GB59" s="749"/>
      <c r="GC59" s="749"/>
      <c r="GD59" s="749"/>
      <c r="GE59" s="749"/>
      <c r="GF59" s="749"/>
      <c r="GG59" s="749"/>
      <c r="GH59" s="749"/>
      <c r="GI59" s="749"/>
      <c r="GJ59" s="749"/>
      <c r="GK59" s="749"/>
      <c r="GL59" s="749"/>
      <c r="GM59" s="749"/>
      <c r="GN59" s="749"/>
      <c r="GO59" s="749"/>
      <c r="GP59" s="749"/>
      <c r="GQ59" s="749"/>
      <c r="GR59" s="749"/>
      <c r="GS59" s="749"/>
      <c r="GT59" s="749"/>
      <c r="GU59" s="749"/>
      <c r="GV59" s="749"/>
      <c r="GW59" s="749"/>
      <c r="GX59" s="749"/>
      <c r="GY59" s="749"/>
      <c r="GZ59" s="749"/>
      <c r="HA59" s="749"/>
      <c r="HB59" s="749"/>
      <c r="HC59" s="749"/>
      <c r="HD59" s="749"/>
      <c r="HE59" s="749"/>
      <c r="HF59" s="749"/>
      <c r="HG59" s="749"/>
      <c r="HH59" s="749"/>
      <c r="HI59" s="749"/>
      <c r="HJ59" s="749"/>
      <c r="HK59" s="749"/>
      <c r="HL59" s="749"/>
      <c r="HM59" s="749"/>
    </row>
    <row r="60" spans="1:221" ht="12.75" customHeight="1">
      <c r="A60" s="3"/>
      <c r="B60" s="849"/>
      <c r="C60" s="838"/>
      <c r="D60" s="836"/>
      <c r="E60" s="838"/>
      <c r="F60" s="872"/>
      <c r="G60" s="838"/>
      <c r="H60" s="872"/>
      <c r="I60" s="838"/>
      <c r="J60" s="872"/>
      <c r="K60" s="838"/>
      <c r="L60" s="872"/>
      <c r="M60" s="838"/>
      <c r="N60" s="836"/>
      <c r="O60" s="844"/>
      <c r="P60" s="920"/>
      <c r="Q60" s="921"/>
      <c r="R60" s="922"/>
      <c r="S60" s="998"/>
      <c r="T60" s="999"/>
      <c r="U60" s="999"/>
      <c r="V60" s="1000"/>
      <c r="W60" s="749"/>
      <c r="X60" s="749"/>
      <c r="Y60" s="749"/>
      <c r="Z60" s="749"/>
      <c r="AA60" s="749"/>
      <c r="AB60" s="749"/>
      <c r="AC60" s="749"/>
      <c r="AD60" s="749"/>
      <c r="AE60" s="749"/>
      <c r="AF60" s="749"/>
      <c r="AG60" s="749"/>
      <c r="AH60" s="749"/>
      <c r="AI60" s="749"/>
      <c r="AJ60" s="749"/>
      <c r="AK60" s="749"/>
      <c r="AL60" s="749"/>
      <c r="AM60" s="749"/>
      <c r="AN60" s="749"/>
      <c r="AO60" s="749"/>
      <c r="AP60" s="749"/>
      <c r="AQ60" s="749"/>
      <c r="AR60" s="749"/>
      <c r="AS60" s="749"/>
      <c r="AT60" s="749"/>
      <c r="AU60" s="749"/>
      <c r="AV60" s="749"/>
      <c r="AW60" s="749"/>
      <c r="AX60" s="749"/>
      <c r="AY60" s="749"/>
      <c r="AZ60" s="749"/>
      <c r="BA60" s="749"/>
      <c r="BB60" s="749"/>
      <c r="BC60" s="749"/>
      <c r="BD60" s="749"/>
      <c r="BE60" s="749"/>
      <c r="BF60" s="749"/>
      <c r="BG60" s="749"/>
      <c r="BH60" s="749"/>
      <c r="BI60" s="749"/>
      <c r="BJ60" s="749"/>
      <c r="BK60" s="749"/>
      <c r="BL60" s="749"/>
      <c r="BM60" s="749"/>
      <c r="BN60" s="749"/>
      <c r="BO60" s="749"/>
      <c r="BP60" s="749"/>
      <c r="BQ60" s="749"/>
      <c r="BR60" s="749"/>
      <c r="BS60" s="749"/>
      <c r="BT60" s="749"/>
      <c r="BU60" s="749"/>
      <c r="BV60" s="749"/>
      <c r="BW60" s="749"/>
      <c r="BX60" s="749"/>
      <c r="BY60" s="749"/>
      <c r="BZ60" s="749"/>
      <c r="CA60" s="749"/>
      <c r="CB60" s="749"/>
      <c r="CC60" s="749"/>
      <c r="CD60" s="749"/>
      <c r="CE60" s="749"/>
      <c r="CF60" s="749"/>
      <c r="CG60" s="749"/>
      <c r="CH60" s="749"/>
      <c r="CI60" s="749"/>
      <c r="CJ60" s="749"/>
      <c r="CK60" s="749"/>
      <c r="CL60" s="749"/>
      <c r="CM60" s="749"/>
      <c r="CN60" s="749"/>
      <c r="CO60" s="749"/>
      <c r="CP60" s="749"/>
      <c r="CQ60" s="749"/>
      <c r="CR60" s="749"/>
      <c r="CS60" s="749"/>
      <c r="CT60" s="749"/>
      <c r="CU60" s="749"/>
      <c r="CV60" s="749"/>
      <c r="CW60" s="749"/>
      <c r="CX60" s="749"/>
      <c r="CY60" s="749"/>
      <c r="CZ60" s="749"/>
      <c r="DA60" s="749"/>
      <c r="DB60" s="749"/>
      <c r="DC60" s="749"/>
      <c r="DD60" s="749"/>
      <c r="DE60" s="749"/>
      <c r="DF60" s="749"/>
      <c r="DG60" s="749"/>
      <c r="DH60" s="749"/>
      <c r="DI60" s="749"/>
      <c r="DJ60" s="749"/>
      <c r="DK60" s="749"/>
      <c r="DL60" s="749"/>
      <c r="DM60" s="749"/>
      <c r="DN60" s="749"/>
      <c r="DO60" s="749"/>
      <c r="DP60" s="749"/>
      <c r="DQ60" s="749"/>
      <c r="DR60" s="749"/>
      <c r="DS60" s="749"/>
      <c r="DT60" s="749"/>
      <c r="DU60" s="749"/>
      <c r="DV60" s="749"/>
      <c r="DW60" s="749"/>
      <c r="DX60" s="749"/>
      <c r="DY60" s="749"/>
      <c r="DZ60" s="749"/>
      <c r="EA60" s="749"/>
      <c r="EB60" s="749"/>
      <c r="EC60" s="749"/>
      <c r="ED60" s="749"/>
      <c r="EE60" s="749"/>
      <c r="EF60" s="749"/>
      <c r="EG60" s="749"/>
      <c r="EH60" s="749"/>
      <c r="EI60" s="749"/>
      <c r="EJ60" s="749"/>
      <c r="EK60" s="749"/>
      <c r="EL60" s="749"/>
      <c r="EM60" s="749"/>
      <c r="EN60" s="749"/>
      <c r="EO60" s="749"/>
      <c r="EP60" s="749"/>
      <c r="EQ60" s="749"/>
      <c r="ER60" s="749"/>
      <c r="ES60" s="749"/>
      <c r="ET60" s="749"/>
      <c r="EU60" s="749"/>
      <c r="EV60" s="749"/>
      <c r="EW60" s="749"/>
      <c r="EX60" s="749"/>
      <c r="EY60" s="749"/>
      <c r="EZ60" s="749"/>
      <c r="FA60" s="749"/>
      <c r="FB60" s="749"/>
      <c r="FC60" s="749"/>
      <c r="FD60" s="749"/>
      <c r="FE60" s="749"/>
      <c r="FF60" s="749"/>
      <c r="FG60" s="749"/>
      <c r="FH60" s="749"/>
      <c r="FI60" s="749"/>
      <c r="FJ60" s="749"/>
      <c r="FK60" s="749"/>
      <c r="FL60" s="749"/>
      <c r="FM60" s="749"/>
      <c r="FN60" s="749"/>
      <c r="FO60" s="749"/>
      <c r="FP60" s="749"/>
      <c r="FQ60" s="749"/>
      <c r="FR60" s="749"/>
      <c r="FS60" s="749"/>
      <c r="FT60" s="749"/>
      <c r="FU60" s="749"/>
      <c r="FV60" s="749"/>
      <c r="FW60" s="749"/>
      <c r="FX60" s="749"/>
      <c r="FY60" s="749"/>
      <c r="FZ60" s="749"/>
      <c r="GA60" s="749"/>
      <c r="GB60" s="749"/>
      <c r="GC60" s="749"/>
      <c r="GD60" s="749"/>
      <c r="GE60" s="749"/>
      <c r="GF60" s="749"/>
      <c r="GG60" s="749"/>
      <c r="GH60" s="749"/>
      <c r="GI60" s="749"/>
      <c r="GJ60" s="749"/>
      <c r="GK60" s="749"/>
      <c r="GL60" s="749"/>
      <c r="GM60" s="749"/>
      <c r="GN60" s="749"/>
      <c r="GO60" s="749"/>
      <c r="GP60" s="749"/>
      <c r="GQ60" s="749"/>
      <c r="GR60" s="749"/>
      <c r="GS60" s="749"/>
      <c r="GT60" s="749"/>
      <c r="GU60" s="749"/>
      <c r="GV60" s="749"/>
      <c r="GW60" s="749"/>
      <c r="GX60" s="749"/>
      <c r="GY60" s="749"/>
      <c r="GZ60" s="749"/>
      <c r="HA60" s="749"/>
      <c r="HB60" s="749"/>
      <c r="HC60" s="749"/>
      <c r="HD60" s="749"/>
      <c r="HE60" s="749"/>
      <c r="HF60" s="749"/>
      <c r="HG60" s="749"/>
      <c r="HH60" s="749"/>
      <c r="HI60" s="749"/>
      <c r="HJ60" s="749"/>
      <c r="HK60" s="749"/>
      <c r="HL60" s="749"/>
      <c r="HM60" s="749"/>
    </row>
    <row r="61" spans="1:221" ht="12.75" customHeight="1">
      <c r="A61" s="3"/>
      <c r="B61" s="849"/>
      <c r="C61" s="838"/>
      <c r="D61" s="836"/>
      <c r="E61" s="838"/>
      <c r="F61" s="872"/>
      <c r="G61" s="838"/>
      <c r="H61" s="872"/>
      <c r="I61" s="838"/>
      <c r="J61" s="872"/>
      <c r="K61" s="838"/>
      <c r="L61" s="872"/>
      <c r="M61" s="838"/>
      <c r="N61" s="836"/>
      <c r="O61" s="844"/>
      <c r="P61" s="920"/>
      <c r="Q61" s="921"/>
      <c r="R61" s="922"/>
      <c r="S61" s="998"/>
      <c r="T61" s="999"/>
      <c r="U61" s="999"/>
      <c r="V61" s="1000"/>
      <c r="W61" s="749"/>
      <c r="X61" s="749"/>
      <c r="Y61" s="749"/>
      <c r="Z61" s="749"/>
      <c r="AA61" s="749"/>
      <c r="AB61" s="749"/>
      <c r="AC61" s="749"/>
      <c r="AD61" s="749"/>
      <c r="AE61" s="749"/>
      <c r="AF61" s="749"/>
      <c r="AG61" s="749"/>
      <c r="AH61" s="749"/>
      <c r="AI61" s="749"/>
      <c r="AJ61" s="749"/>
      <c r="AK61" s="749"/>
      <c r="AL61" s="749"/>
      <c r="AM61" s="749"/>
      <c r="AN61" s="749"/>
      <c r="AO61" s="749"/>
      <c r="AP61" s="749"/>
      <c r="AQ61" s="749"/>
      <c r="AR61" s="749"/>
      <c r="AS61" s="749"/>
      <c r="AT61" s="749"/>
      <c r="AU61" s="749"/>
      <c r="AV61" s="749"/>
      <c r="AW61" s="749"/>
      <c r="AX61" s="749"/>
      <c r="AY61" s="749"/>
      <c r="AZ61" s="749"/>
      <c r="BA61" s="749"/>
      <c r="BB61" s="749"/>
      <c r="BC61" s="749"/>
      <c r="BD61" s="749"/>
      <c r="BE61" s="749"/>
      <c r="BF61" s="749"/>
      <c r="BG61" s="749"/>
      <c r="BH61" s="749"/>
      <c r="BI61" s="749"/>
      <c r="BJ61" s="749"/>
      <c r="BK61" s="749"/>
      <c r="BL61" s="749"/>
      <c r="BM61" s="749"/>
      <c r="BN61" s="749"/>
      <c r="BO61" s="749"/>
      <c r="BP61" s="749"/>
      <c r="BQ61" s="749"/>
      <c r="BR61" s="749"/>
      <c r="BS61" s="749"/>
      <c r="BT61" s="749"/>
      <c r="BU61" s="749"/>
      <c r="BV61" s="749"/>
      <c r="BW61" s="749"/>
      <c r="BX61" s="749"/>
      <c r="BY61" s="749"/>
      <c r="BZ61" s="749"/>
      <c r="CA61" s="749"/>
      <c r="CB61" s="749"/>
      <c r="CC61" s="749"/>
      <c r="CD61" s="749"/>
      <c r="CE61" s="749"/>
      <c r="CF61" s="749"/>
      <c r="CG61" s="749"/>
      <c r="CH61" s="749"/>
      <c r="CI61" s="749"/>
      <c r="CJ61" s="749"/>
      <c r="CK61" s="749"/>
      <c r="CL61" s="749"/>
      <c r="CM61" s="749"/>
      <c r="CN61" s="749"/>
      <c r="CO61" s="749"/>
      <c r="CP61" s="749"/>
      <c r="CQ61" s="749"/>
      <c r="CR61" s="749"/>
      <c r="CS61" s="749"/>
      <c r="CT61" s="749"/>
      <c r="CU61" s="749"/>
      <c r="CV61" s="749"/>
      <c r="CW61" s="749"/>
      <c r="CX61" s="749"/>
      <c r="CY61" s="749"/>
      <c r="CZ61" s="749"/>
      <c r="DA61" s="749"/>
      <c r="DB61" s="749"/>
      <c r="DC61" s="749"/>
      <c r="DD61" s="749"/>
      <c r="DE61" s="749"/>
      <c r="DF61" s="749"/>
      <c r="DG61" s="749"/>
      <c r="DH61" s="749"/>
      <c r="DI61" s="749"/>
      <c r="DJ61" s="749"/>
      <c r="DK61" s="749"/>
      <c r="DL61" s="749"/>
      <c r="DM61" s="749"/>
      <c r="DN61" s="749"/>
      <c r="DO61" s="749"/>
      <c r="DP61" s="749"/>
      <c r="DQ61" s="749"/>
      <c r="DR61" s="749"/>
      <c r="DS61" s="749"/>
      <c r="DT61" s="749"/>
      <c r="DU61" s="749"/>
      <c r="DV61" s="749"/>
      <c r="DW61" s="749"/>
      <c r="DX61" s="749"/>
      <c r="DY61" s="749"/>
      <c r="DZ61" s="749"/>
      <c r="EA61" s="749"/>
      <c r="EB61" s="749"/>
      <c r="EC61" s="749"/>
      <c r="ED61" s="749"/>
      <c r="EE61" s="749"/>
      <c r="EF61" s="749"/>
      <c r="EG61" s="749"/>
      <c r="EH61" s="749"/>
      <c r="EI61" s="749"/>
      <c r="EJ61" s="749"/>
      <c r="EK61" s="749"/>
      <c r="EL61" s="749"/>
      <c r="EM61" s="749"/>
      <c r="EN61" s="749"/>
      <c r="EO61" s="749"/>
      <c r="EP61" s="749"/>
      <c r="EQ61" s="749"/>
      <c r="ER61" s="749"/>
      <c r="ES61" s="749"/>
      <c r="ET61" s="749"/>
      <c r="EU61" s="749"/>
      <c r="EV61" s="749"/>
      <c r="EW61" s="749"/>
      <c r="EX61" s="749"/>
      <c r="EY61" s="749"/>
      <c r="EZ61" s="749"/>
      <c r="FA61" s="749"/>
      <c r="FB61" s="749"/>
      <c r="FC61" s="749"/>
      <c r="FD61" s="749"/>
      <c r="FE61" s="749"/>
      <c r="FF61" s="749"/>
      <c r="FG61" s="749"/>
      <c r="FH61" s="749"/>
      <c r="FI61" s="749"/>
      <c r="FJ61" s="749"/>
      <c r="FK61" s="749"/>
      <c r="FL61" s="749"/>
      <c r="FM61" s="749"/>
      <c r="FN61" s="749"/>
      <c r="FO61" s="749"/>
      <c r="FP61" s="749"/>
      <c r="FQ61" s="749"/>
      <c r="FR61" s="749"/>
      <c r="FS61" s="749"/>
      <c r="FT61" s="749"/>
      <c r="FU61" s="749"/>
      <c r="FV61" s="749"/>
      <c r="FW61" s="749"/>
      <c r="FX61" s="749"/>
      <c r="FY61" s="749"/>
      <c r="FZ61" s="749"/>
      <c r="GA61" s="749"/>
      <c r="GB61" s="749"/>
      <c r="GC61" s="749"/>
      <c r="GD61" s="749"/>
      <c r="GE61" s="749"/>
      <c r="GF61" s="749"/>
      <c r="GG61" s="749"/>
      <c r="GH61" s="749"/>
      <c r="GI61" s="749"/>
      <c r="GJ61" s="749"/>
      <c r="GK61" s="749"/>
      <c r="GL61" s="749"/>
      <c r="GM61" s="749"/>
      <c r="GN61" s="749"/>
      <c r="GO61" s="749"/>
      <c r="GP61" s="749"/>
      <c r="GQ61" s="749"/>
      <c r="GR61" s="749"/>
      <c r="GS61" s="749"/>
      <c r="GT61" s="749"/>
      <c r="GU61" s="749"/>
      <c r="GV61" s="749"/>
      <c r="GW61" s="749"/>
      <c r="GX61" s="749"/>
      <c r="GY61" s="749"/>
      <c r="GZ61" s="749"/>
      <c r="HA61" s="749"/>
      <c r="HB61" s="749"/>
      <c r="HC61" s="749"/>
      <c r="HD61" s="749"/>
      <c r="HE61" s="749"/>
      <c r="HF61" s="749"/>
      <c r="HG61" s="749"/>
      <c r="HH61" s="749"/>
      <c r="HI61" s="749"/>
      <c r="HJ61" s="749"/>
      <c r="HK61" s="749"/>
      <c r="HL61" s="749"/>
      <c r="HM61" s="749"/>
    </row>
    <row r="62" spans="1:221" ht="12.75">
      <c r="A62" s="3"/>
      <c r="B62" s="849"/>
      <c r="C62" s="838"/>
      <c r="D62" s="836"/>
      <c r="E62" s="838"/>
      <c r="F62" s="872"/>
      <c r="G62" s="838"/>
      <c r="H62" s="872"/>
      <c r="I62" s="838"/>
      <c r="J62" s="872"/>
      <c r="K62" s="838"/>
      <c r="L62" s="872"/>
      <c r="M62" s="838"/>
      <c r="N62" s="836"/>
      <c r="O62" s="844"/>
      <c r="P62" s="920"/>
      <c r="Q62" s="921"/>
      <c r="R62" s="922"/>
      <c r="S62" s="998"/>
      <c r="T62" s="999"/>
      <c r="U62" s="999"/>
      <c r="V62" s="1000"/>
      <c r="W62" s="749"/>
      <c r="X62" s="749"/>
      <c r="Y62" s="749"/>
      <c r="Z62" s="749"/>
      <c r="AA62" s="749"/>
      <c r="AB62" s="749"/>
      <c r="AC62" s="749"/>
      <c r="AD62" s="749"/>
      <c r="AE62" s="749"/>
      <c r="AF62" s="749"/>
      <c r="AG62" s="749"/>
      <c r="AH62" s="749"/>
      <c r="AI62" s="749"/>
      <c r="AJ62" s="749"/>
      <c r="AK62" s="749"/>
      <c r="AL62" s="749"/>
      <c r="AM62" s="749"/>
      <c r="AN62" s="749"/>
      <c r="AO62" s="749"/>
      <c r="AP62" s="749"/>
      <c r="AQ62" s="749"/>
      <c r="AR62" s="749"/>
      <c r="AS62" s="749"/>
      <c r="AT62" s="749"/>
      <c r="AU62" s="749"/>
      <c r="AV62" s="749"/>
      <c r="AW62" s="749"/>
      <c r="AX62" s="749"/>
      <c r="AY62" s="749"/>
      <c r="AZ62" s="749"/>
      <c r="BA62" s="749"/>
      <c r="BB62" s="749"/>
      <c r="BC62" s="749"/>
      <c r="BD62" s="749"/>
      <c r="BE62" s="749"/>
      <c r="BF62" s="749"/>
      <c r="BG62" s="749"/>
      <c r="BH62" s="749"/>
      <c r="BI62" s="749"/>
      <c r="BJ62" s="749"/>
      <c r="BK62" s="749"/>
      <c r="BL62" s="749"/>
      <c r="BM62" s="749"/>
      <c r="BN62" s="749"/>
      <c r="BO62" s="749"/>
      <c r="BP62" s="749"/>
      <c r="BQ62" s="749"/>
      <c r="BR62" s="749"/>
      <c r="BS62" s="749"/>
      <c r="BT62" s="749"/>
      <c r="BU62" s="749"/>
      <c r="BV62" s="749"/>
      <c r="BW62" s="749"/>
      <c r="BX62" s="749"/>
      <c r="BY62" s="749"/>
      <c r="BZ62" s="749"/>
      <c r="CA62" s="749"/>
      <c r="CB62" s="749"/>
      <c r="CC62" s="749"/>
      <c r="CD62" s="749"/>
      <c r="CE62" s="749"/>
      <c r="CF62" s="749"/>
      <c r="CG62" s="749"/>
      <c r="CH62" s="749"/>
      <c r="CI62" s="749"/>
      <c r="CJ62" s="749"/>
      <c r="CK62" s="749"/>
      <c r="CL62" s="749"/>
      <c r="CM62" s="749"/>
      <c r="CN62" s="749"/>
      <c r="CO62" s="749"/>
      <c r="CP62" s="749"/>
      <c r="CQ62" s="749"/>
      <c r="CR62" s="749"/>
      <c r="CS62" s="749"/>
      <c r="CT62" s="749"/>
      <c r="CU62" s="749"/>
      <c r="CV62" s="749"/>
      <c r="CW62" s="749"/>
      <c r="CX62" s="749"/>
      <c r="CY62" s="749"/>
      <c r="CZ62" s="749"/>
      <c r="DA62" s="749"/>
      <c r="DB62" s="749"/>
      <c r="DC62" s="749"/>
      <c r="DD62" s="749"/>
      <c r="DE62" s="749"/>
      <c r="DF62" s="749"/>
      <c r="DG62" s="749"/>
      <c r="DH62" s="749"/>
      <c r="DI62" s="749"/>
      <c r="DJ62" s="749"/>
      <c r="DK62" s="749"/>
      <c r="DL62" s="749"/>
      <c r="DM62" s="749"/>
      <c r="DN62" s="749"/>
      <c r="DO62" s="749"/>
      <c r="DP62" s="749"/>
      <c r="DQ62" s="749"/>
      <c r="DR62" s="749"/>
      <c r="DS62" s="749"/>
      <c r="DT62" s="749"/>
      <c r="DU62" s="749"/>
      <c r="DV62" s="749"/>
      <c r="DW62" s="749"/>
      <c r="DX62" s="749"/>
      <c r="DY62" s="749"/>
      <c r="DZ62" s="749"/>
      <c r="EA62" s="749"/>
      <c r="EB62" s="749"/>
      <c r="EC62" s="749"/>
      <c r="ED62" s="749"/>
      <c r="EE62" s="749"/>
      <c r="EF62" s="749"/>
      <c r="EG62" s="749"/>
      <c r="EH62" s="749"/>
      <c r="EI62" s="749"/>
      <c r="EJ62" s="749"/>
      <c r="EK62" s="749"/>
      <c r="EL62" s="749"/>
      <c r="EM62" s="749"/>
      <c r="EN62" s="749"/>
      <c r="EO62" s="749"/>
      <c r="EP62" s="749"/>
      <c r="EQ62" s="749"/>
      <c r="ER62" s="749"/>
      <c r="ES62" s="749"/>
      <c r="ET62" s="749"/>
      <c r="EU62" s="749"/>
      <c r="EV62" s="749"/>
      <c r="EW62" s="749"/>
      <c r="EX62" s="749"/>
      <c r="EY62" s="749"/>
      <c r="EZ62" s="749"/>
      <c r="FA62" s="749"/>
      <c r="FB62" s="749"/>
      <c r="FC62" s="749"/>
      <c r="FD62" s="749"/>
      <c r="FE62" s="749"/>
      <c r="FF62" s="749"/>
      <c r="FG62" s="749"/>
      <c r="FH62" s="749"/>
      <c r="FI62" s="749"/>
      <c r="FJ62" s="749"/>
      <c r="FK62" s="749"/>
      <c r="FL62" s="749"/>
      <c r="FM62" s="749"/>
      <c r="FN62" s="749"/>
      <c r="FO62" s="749"/>
      <c r="FP62" s="749"/>
      <c r="FQ62" s="749"/>
      <c r="FR62" s="749"/>
      <c r="FS62" s="749"/>
      <c r="FT62" s="749"/>
      <c r="FU62" s="749"/>
      <c r="FV62" s="749"/>
      <c r="FW62" s="749"/>
      <c r="FX62" s="749"/>
      <c r="FY62" s="749"/>
      <c r="FZ62" s="749"/>
      <c r="GA62" s="749"/>
      <c r="GB62" s="749"/>
      <c r="GC62" s="749"/>
      <c r="GD62" s="749"/>
      <c r="GE62" s="749"/>
      <c r="GF62" s="749"/>
      <c r="GG62" s="749"/>
      <c r="GH62" s="749"/>
      <c r="GI62" s="749"/>
      <c r="GJ62" s="749"/>
      <c r="GK62" s="749"/>
      <c r="GL62" s="749"/>
      <c r="GM62" s="749"/>
      <c r="GN62" s="749"/>
      <c r="GO62" s="749"/>
      <c r="GP62" s="749"/>
      <c r="GQ62" s="749"/>
      <c r="GR62" s="749"/>
      <c r="GS62" s="749"/>
      <c r="GT62" s="749"/>
      <c r="GU62" s="749"/>
      <c r="GV62" s="749"/>
      <c r="GW62" s="749"/>
      <c r="GX62" s="749"/>
      <c r="GY62" s="749"/>
      <c r="GZ62" s="749"/>
      <c r="HA62" s="749"/>
      <c r="HB62" s="749"/>
      <c r="HC62" s="749"/>
      <c r="HD62" s="749"/>
      <c r="HE62" s="749"/>
      <c r="HF62" s="749"/>
      <c r="HG62" s="749"/>
      <c r="HH62" s="749"/>
      <c r="HI62" s="749"/>
      <c r="HJ62" s="749"/>
      <c r="HK62" s="749"/>
      <c r="HL62" s="749"/>
      <c r="HM62" s="749"/>
    </row>
    <row r="63" spans="1:221" ht="12.75" customHeight="1">
      <c r="A63" s="3"/>
      <c r="B63" s="857" t="s">
        <v>14</v>
      </c>
      <c r="C63" s="879"/>
      <c r="D63" s="885" t="e">
        <f>E63/$E$27</f>
        <v>#DIV/0!</v>
      </c>
      <c r="E63" s="879">
        <f>G63+M63+N63+O63</f>
        <v>0</v>
      </c>
      <c r="F63" s="876" t="e">
        <f t="shared" ref="F63" si="22">G63/$G$27</f>
        <v>#DIV/0!</v>
      </c>
      <c r="G63" s="879">
        <f t="shared" ref="G63" si="23">I63+K63</f>
        <v>0</v>
      </c>
      <c r="H63" s="876">
        <f>'TAB 3 Project Cost'!F29</f>
        <v>5.0000000000000001E-3</v>
      </c>
      <c r="I63" s="879">
        <f>'TAB 3 Project Cost'!G29</f>
        <v>0</v>
      </c>
      <c r="J63" s="876">
        <f>'TAB 3 Project Cost'!F60</f>
        <v>0.01</v>
      </c>
      <c r="K63" s="879">
        <f>'TAB 3 Project Cost'!G60</f>
        <v>0</v>
      </c>
      <c r="L63" s="876">
        <f>'TAB 3 Project Cost'!F100</f>
        <v>1.4999999999999999E-2</v>
      </c>
      <c r="M63" s="879">
        <f>'TAB 3 Project Cost'!G100</f>
        <v>0</v>
      </c>
      <c r="N63" s="868"/>
      <c r="O63" s="851"/>
      <c r="P63" s="923">
        <f>'TAB 3 Project Cost'!AC60</f>
        <v>0</v>
      </c>
      <c r="Q63" s="924">
        <f>'TAB 3 Project Cost'!AD60</f>
        <v>0</v>
      </c>
      <c r="R63" s="925">
        <f>'TAB 3 Project Cost'!AE60</f>
        <v>0</v>
      </c>
      <c r="S63" s="995">
        <f>'TAB 3 Project Cost'!AA100</f>
        <v>0</v>
      </c>
      <c r="T63" s="996">
        <f>'TAB 3 Project Cost'!AB100</f>
        <v>0</v>
      </c>
      <c r="U63" s="996">
        <f>'TAB 3 Project Cost'!AC100</f>
        <v>0</v>
      </c>
      <c r="V63" s="997">
        <f>'TAB 3 Project Cost'!AD100</f>
        <v>0</v>
      </c>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49"/>
      <c r="AY63" s="749"/>
      <c r="AZ63" s="749"/>
      <c r="BA63" s="749"/>
      <c r="BB63" s="749"/>
      <c r="BC63" s="749"/>
      <c r="BD63" s="749"/>
      <c r="BE63" s="749"/>
      <c r="BF63" s="749"/>
      <c r="BG63" s="749"/>
      <c r="BH63" s="749"/>
      <c r="BI63" s="749"/>
      <c r="BJ63" s="749"/>
      <c r="BK63" s="749"/>
      <c r="BL63" s="749"/>
      <c r="BM63" s="749"/>
      <c r="BN63" s="749"/>
      <c r="BO63" s="749"/>
      <c r="BP63" s="749"/>
      <c r="BQ63" s="749"/>
      <c r="BR63" s="749"/>
      <c r="BS63" s="749"/>
      <c r="BT63" s="749"/>
      <c r="BU63" s="749"/>
      <c r="BV63" s="749"/>
      <c r="BW63" s="749"/>
      <c r="BX63" s="749"/>
      <c r="BY63" s="749"/>
      <c r="BZ63" s="749"/>
      <c r="CA63" s="749"/>
      <c r="CB63" s="749"/>
      <c r="CC63" s="749"/>
      <c r="CD63" s="749"/>
      <c r="CE63" s="749"/>
      <c r="CF63" s="749"/>
      <c r="CG63" s="749"/>
      <c r="CH63" s="749"/>
      <c r="CI63" s="749"/>
      <c r="CJ63" s="749"/>
      <c r="CK63" s="749"/>
      <c r="CL63" s="749"/>
      <c r="CM63" s="749"/>
      <c r="CN63" s="749"/>
      <c r="CO63" s="749"/>
      <c r="CP63" s="749"/>
      <c r="CQ63" s="749"/>
      <c r="CR63" s="749"/>
      <c r="CS63" s="749"/>
      <c r="CT63" s="749"/>
      <c r="CU63" s="749"/>
      <c r="CV63" s="749"/>
      <c r="CW63" s="749"/>
      <c r="CX63" s="749"/>
      <c r="CY63" s="749"/>
      <c r="CZ63" s="749"/>
      <c r="DA63" s="749"/>
      <c r="DB63" s="749"/>
      <c r="DC63" s="749"/>
      <c r="DD63" s="749"/>
      <c r="DE63" s="749"/>
      <c r="DF63" s="749"/>
      <c r="DG63" s="749"/>
      <c r="DH63" s="749"/>
      <c r="DI63" s="749"/>
      <c r="DJ63" s="749"/>
      <c r="DK63" s="749"/>
      <c r="DL63" s="749"/>
      <c r="DM63" s="749"/>
      <c r="DN63" s="749"/>
      <c r="DO63" s="749"/>
      <c r="DP63" s="749"/>
      <c r="DQ63" s="749"/>
      <c r="DR63" s="749"/>
      <c r="DS63" s="749"/>
      <c r="DT63" s="749"/>
      <c r="DU63" s="749"/>
      <c r="DV63" s="749"/>
      <c r="DW63" s="749"/>
      <c r="DX63" s="749"/>
      <c r="DY63" s="749"/>
      <c r="DZ63" s="749"/>
      <c r="EA63" s="749"/>
      <c r="EB63" s="749"/>
      <c r="EC63" s="749"/>
      <c r="ED63" s="749"/>
      <c r="EE63" s="749"/>
      <c r="EF63" s="749"/>
      <c r="EG63" s="749"/>
      <c r="EH63" s="749"/>
      <c r="EI63" s="749"/>
      <c r="EJ63" s="749"/>
      <c r="EK63" s="749"/>
      <c r="EL63" s="749"/>
      <c r="EM63" s="749"/>
      <c r="EN63" s="749"/>
      <c r="EO63" s="749"/>
      <c r="EP63" s="749"/>
      <c r="EQ63" s="749"/>
      <c r="ER63" s="749"/>
      <c r="ES63" s="749"/>
      <c r="ET63" s="749"/>
      <c r="EU63" s="749"/>
      <c r="EV63" s="749"/>
      <c r="EW63" s="749"/>
      <c r="EX63" s="749"/>
      <c r="EY63" s="749"/>
      <c r="EZ63" s="749"/>
      <c r="FA63" s="749"/>
      <c r="FB63" s="749"/>
      <c r="FC63" s="749"/>
      <c r="FD63" s="749"/>
      <c r="FE63" s="749"/>
      <c r="FF63" s="749"/>
      <c r="FG63" s="749"/>
      <c r="FH63" s="749"/>
      <c r="FI63" s="749"/>
      <c r="FJ63" s="749"/>
      <c r="FK63" s="749"/>
      <c r="FL63" s="749"/>
      <c r="FM63" s="749"/>
      <c r="FN63" s="749"/>
      <c r="FO63" s="749"/>
      <c r="FP63" s="749"/>
      <c r="FQ63" s="749"/>
      <c r="FR63" s="749"/>
      <c r="FS63" s="749"/>
      <c r="FT63" s="749"/>
      <c r="FU63" s="749"/>
      <c r="FV63" s="749"/>
      <c r="FW63" s="749"/>
      <c r="FX63" s="749"/>
      <c r="FY63" s="749"/>
      <c r="FZ63" s="749"/>
      <c r="GA63" s="749"/>
      <c r="GB63" s="749"/>
      <c r="GC63" s="749"/>
      <c r="GD63" s="749"/>
      <c r="GE63" s="749"/>
      <c r="GF63" s="749"/>
      <c r="GG63" s="749"/>
      <c r="GH63" s="749"/>
      <c r="GI63" s="749"/>
      <c r="GJ63" s="749"/>
      <c r="GK63" s="749"/>
      <c r="GL63" s="749"/>
      <c r="GM63" s="749"/>
      <c r="GN63" s="749"/>
      <c r="GO63" s="749"/>
      <c r="GP63" s="749"/>
      <c r="GQ63" s="749"/>
      <c r="GR63" s="749"/>
      <c r="GS63" s="749"/>
      <c r="GT63" s="749"/>
      <c r="GU63" s="749"/>
      <c r="GV63" s="749"/>
      <c r="GW63" s="749"/>
      <c r="GX63" s="749"/>
      <c r="GY63" s="749"/>
      <c r="GZ63" s="749"/>
      <c r="HA63" s="749"/>
      <c r="HB63" s="749"/>
      <c r="HC63" s="749"/>
      <c r="HD63" s="749"/>
      <c r="HE63" s="749"/>
      <c r="HF63" s="749"/>
      <c r="HG63" s="749"/>
      <c r="HH63" s="749"/>
      <c r="HI63" s="749"/>
      <c r="HJ63" s="749"/>
      <c r="HK63" s="749"/>
      <c r="HL63" s="749"/>
      <c r="HM63" s="749"/>
    </row>
    <row r="64" spans="1:221" ht="12.75" customHeight="1">
      <c r="A64" s="3"/>
      <c r="B64" s="849"/>
      <c r="C64" s="838"/>
      <c r="D64" s="836"/>
      <c r="E64" s="838"/>
      <c r="F64" s="872"/>
      <c r="G64" s="838"/>
      <c r="H64" s="872"/>
      <c r="I64" s="838"/>
      <c r="J64" s="872"/>
      <c r="K64" s="838"/>
      <c r="L64" s="872"/>
      <c r="M64" s="838"/>
      <c r="N64" s="836"/>
      <c r="O64" s="844"/>
      <c r="P64" s="920"/>
      <c r="Q64" s="921"/>
      <c r="R64" s="922"/>
      <c r="S64" s="998"/>
      <c r="T64" s="999"/>
      <c r="U64" s="999"/>
      <c r="V64" s="1000"/>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49"/>
      <c r="AY64" s="749"/>
      <c r="AZ64" s="749"/>
      <c r="BA64" s="749"/>
      <c r="BB64" s="749"/>
      <c r="BC64" s="749"/>
      <c r="BD64" s="749"/>
      <c r="BE64" s="749"/>
      <c r="BF64" s="749"/>
      <c r="BG64" s="749"/>
      <c r="BH64" s="749"/>
      <c r="BI64" s="749"/>
      <c r="BJ64" s="749"/>
      <c r="BK64" s="749"/>
      <c r="BL64" s="749"/>
      <c r="BM64" s="749"/>
      <c r="BN64" s="749"/>
      <c r="BO64" s="749"/>
      <c r="BP64" s="749"/>
      <c r="BQ64" s="749"/>
      <c r="BR64" s="749"/>
      <c r="BS64" s="749"/>
      <c r="BT64" s="749"/>
      <c r="BU64" s="749"/>
      <c r="BV64" s="749"/>
      <c r="BW64" s="749"/>
      <c r="BX64" s="749"/>
      <c r="BY64" s="749"/>
      <c r="BZ64" s="749"/>
      <c r="CA64" s="749"/>
      <c r="CB64" s="749"/>
      <c r="CC64" s="749"/>
      <c r="CD64" s="749"/>
      <c r="CE64" s="749"/>
      <c r="CF64" s="749"/>
      <c r="CG64" s="749"/>
      <c r="CH64" s="749"/>
      <c r="CI64" s="749"/>
      <c r="CJ64" s="749"/>
      <c r="CK64" s="749"/>
      <c r="CL64" s="749"/>
      <c r="CM64" s="749"/>
      <c r="CN64" s="749"/>
      <c r="CO64" s="749"/>
      <c r="CP64" s="749"/>
      <c r="CQ64" s="749"/>
      <c r="CR64" s="749"/>
      <c r="CS64" s="749"/>
      <c r="CT64" s="749"/>
      <c r="CU64" s="749"/>
      <c r="CV64" s="749"/>
      <c r="CW64" s="749"/>
      <c r="CX64" s="749"/>
      <c r="CY64" s="749"/>
      <c r="CZ64" s="749"/>
      <c r="DA64" s="749"/>
      <c r="DB64" s="749"/>
      <c r="DC64" s="749"/>
      <c r="DD64" s="749"/>
      <c r="DE64" s="749"/>
      <c r="DF64" s="749"/>
      <c r="DG64" s="749"/>
      <c r="DH64" s="749"/>
      <c r="DI64" s="749"/>
      <c r="DJ64" s="749"/>
      <c r="DK64" s="749"/>
      <c r="DL64" s="749"/>
      <c r="DM64" s="749"/>
      <c r="DN64" s="749"/>
      <c r="DO64" s="749"/>
      <c r="DP64" s="749"/>
      <c r="DQ64" s="749"/>
      <c r="DR64" s="749"/>
      <c r="DS64" s="749"/>
      <c r="DT64" s="749"/>
      <c r="DU64" s="749"/>
      <c r="DV64" s="749"/>
      <c r="DW64" s="749"/>
      <c r="DX64" s="749"/>
      <c r="DY64" s="749"/>
      <c r="DZ64" s="749"/>
      <c r="EA64" s="749"/>
      <c r="EB64" s="749"/>
      <c r="EC64" s="749"/>
      <c r="ED64" s="749"/>
      <c r="EE64" s="749"/>
      <c r="EF64" s="749"/>
      <c r="EG64" s="749"/>
      <c r="EH64" s="749"/>
      <c r="EI64" s="749"/>
      <c r="EJ64" s="749"/>
      <c r="EK64" s="749"/>
      <c r="EL64" s="749"/>
      <c r="EM64" s="749"/>
      <c r="EN64" s="749"/>
      <c r="EO64" s="749"/>
      <c r="EP64" s="749"/>
      <c r="EQ64" s="749"/>
      <c r="ER64" s="749"/>
      <c r="ES64" s="749"/>
      <c r="ET64" s="749"/>
      <c r="EU64" s="749"/>
      <c r="EV64" s="749"/>
      <c r="EW64" s="749"/>
      <c r="EX64" s="749"/>
      <c r="EY64" s="749"/>
      <c r="EZ64" s="749"/>
      <c r="FA64" s="749"/>
      <c r="FB64" s="749"/>
      <c r="FC64" s="749"/>
      <c r="FD64" s="749"/>
      <c r="FE64" s="749"/>
      <c r="FF64" s="749"/>
      <c r="FG64" s="749"/>
      <c r="FH64" s="749"/>
      <c r="FI64" s="749"/>
      <c r="FJ64" s="749"/>
      <c r="FK64" s="749"/>
      <c r="FL64" s="749"/>
      <c r="FM64" s="749"/>
      <c r="FN64" s="749"/>
      <c r="FO64" s="749"/>
      <c r="FP64" s="749"/>
      <c r="FQ64" s="749"/>
      <c r="FR64" s="749"/>
      <c r="FS64" s="749"/>
      <c r="FT64" s="749"/>
      <c r="FU64" s="749"/>
      <c r="FV64" s="749"/>
      <c r="FW64" s="749"/>
      <c r="FX64" s="749"/>
      <c r="FY64" s="749"/>
      <c r="FZ64" s="749"/>
      <c r="GA64" s="749"/>
      <c r="GB64" s="749"/>
      <c r="GC64" s="749"/>
      <c r="GD64" s="749"/>
      <c r="GE64" s="749"/>
      <c r="GF64" s="749"/>
      <c r="GG64" s="749"/>
      <c r="GH64" s="749"/>
      <c r="GI64" s="749"/>
      <c r="GJ64" s="749"/>
      <c r="GK64" s="749"/>
      <c r="GL64" s="749"/>
      <c r="GM64" s="749"/>
      <c r="GN64" s="749"/>
      <c r="GO64" s="749"/>
      <c r="GP64" s="749"/>
      <c r="GQ64" s="749"/>
      <c r="GR64" s="749"/>
      <c r="GS64" s="749"/>
      <c r="GT64" s="749"/>
      <c r="GU64" s="749"/>
      <c r="GV64" s="749"/>
      <c r="GW64" s="749"/>
      <c r="GX64" s="749"/>
      <c r="GY64" s="749"/>
      <c r="GZ64" s="749"/>
      <c r="HA64" s="749"/>
      <c r="HB64" s="749"/>
      <c r="HC64" s="749"/>
      <c r="HD64" s="749"/>
      <c r="HE64" s="749"/>
      <c r="HF64" s="749"/>
      <c r="HG64" s="749"/>
      <c r="HH64" s="749"/>
      <c r="HI64" s="749"/>
      <c r="HJ64" s="749"/>
      <c r="HK64" s="749"/>
      <c r="HL64" s="749"/>
      <c r="HM64" s="749"/>
    </row>
    <row r="65" spans="1:221" ht="12.75">
      <c r="A65" s="3"/>
      <c r="B65" s="849"/>
      <c r="C65" s="838"/>
      <c r="D65" s="836"/>
      <c r="E65" s="838"/>
      <c r="F65" s="872"/>
      <c r="G65" s="838"/>
      <c r="H65" s="872"/>
      <c r="I65" s="838"/>
      <c r="J65" s="872"/>
      <c r="K65" s="838"/>
      <c r="L65" s="872"/>
      <c r="M65" s="838"/>
      <c r="N65" s="836"/>
      <c r="O65" s="844"/>
      <c r="P65" s="920"/>
      <c r="Q65" s="921"/>
      <c r="R65" s="922"/>
      <c r="S65" s="998"/>
      <c r="T65" s="999"/>
      <c r="U65" s="999"/>
      <c r="V65" s="1000"/>
      <c r="W65" s="749"/>
      <c r="X65" s="749"/>
      <c r="Y65" s="749"/>
      <c r="Z65" s="749"/>
      <c r="AA65" s="749"/>
      <c r="AB65" s="749"/>
      <c r="AC65" s="749"/>
      <c r="AD65" s="749"/>
      <c r="AE65" s="749"/>
      <c r="AF65" s="749"/>
      <c r="AG65" s="749"/>
      <c r="AH65" s="749"/>
      <c r="AI65" s="749"/>
      <c r="AJ65" s="749"/>
      <c r="AK65" s="749"/>
      <c r="AL65" s="749"/>
      <c r="AM65" s="749"/>
      <c r="AN65" s="749"/>
      <c r="AO65" s="749"/>
      <c r="AP65" s="749"/>
      <c r="AQ65" s="749"/>
      <c r="AR65" s="749"/>
      <c r="AS65" s="749"/>
      <c r="AT65" s="749"/>
      <c r="AU65" s="749"/>
      <c r="AV65" s="749"/>
      <c r="AW65" s="749"/>
      <c r="AX65" s="749"/>
      <c r="AY65" s="749"/>
      <c r="AZ65" s="749"/>
      <c r="BA65" s="749"/>
      <c r="BB65" s="749"/>
      <c r="BC65" s="749"/>
      <c r="BD65" s="749"/>
      <c r="BE65" s="749"/>
      <c r="BF65" s="749"/>
      <c r="BG65" s="749"/>
      <c r="BH65" s="749"/>
      <c r="BI65" s="749"/>
      <c r="BJ65" s="749"/>
      <c r="BK65" s="749"/>
      <c r="BL65" s="749"/>
      <c r="BM65" s="749"/>
      <c r="BN65" s="749"/>
      <c r="BO65" s="749"/>
      <c r="BP65" s="749"/>
      <c r="BQ65" s="749"/>
      <c r="BR65" s="749"/>
      <c r="BS65" s="749"/>
      <c r="BT65" s="749"/>
      <c r="BU65" s="749"/>
      <c r="BV65" s="749"/>
      <c r="BW65" s="749"/>
      <c r="BX65" s="749"/>
      <c r="BY65" s="749"/>
      <c r="BZ65" s="749"/>
      <c r="CA65" s="749"/>
      <c r="CB65" s="749"/>
      <c r="CC65" s="749"/>
      <c r="CD65" s="749"/>
      <c r="CE65" s="749"/>
      <c r="CF65" s="749"/>
      <c r="CG65" s="749"/>
      <c r="CH65" s="749"/>
      <c r="CI65" s="749"/>
      <c r="CJ65" s="749"/>
      <c r="CK65" s="749"/>
      <c r="CL65" s="749"/>
      <c r="CM65" s="749"/>
      <c r="CN65" s="749"/>
      <c r="CO65" s="749"/>
      <c r="CP65" s="749"/>
      <c r="CQ65" s="749"/>
      <c r="CR65" s="749"/>
      <c r="CS65" s="749"/>
      <c r="CT65" s="749"/>
      <c r="CU65" s="749"/>
      <c r="CV65" s="749"/>
      <c r="CW65" s="749"/>
      <c r="CX65" s="749"/>
      <c r="CY65" s="749"/>
      <c r="CZ65" s="749"/>
      <c r="DA65" s="749"/>
      <c r="DB65" s="749"/>
      <c r="DC65" s="749"/>
      <c r="DD65" s="749"/>
      <c r="DE65" s="749"/>
      <c r="DF65" s="749"/>
      <c r="DG65" s="749"/>
      <c r="DH65" s="749"/>
      <c r="DI65" s="749"/>
      <c r="DJ65" s="749"/>
      <c r="DK65" s="749"/>
      <c r="DL65" s="749"/>
      <c r="DM65" s="749"/>
      <c r="DN65" s="749"/>
      <c r="DO65" s="749"/>
      <c r="DP65" s="749"/>
      <c r="DQ65" s="749"/>
      <c r="DR65" s="749"/>
      <c r="DS65" s="749"/>
      <c r="DT65" s="749"/>
      <c r="DU65" s="749"/>
      <c r="DV65" s="749"/>
      <c r="DW65" s="749"/>
      <c r="DX65" s="749"/>
      <c r="DY65" s="749"/>
      <c r="DZ65" s="749"/>
      <c r="EA65" s="749"/>
      <c r="EB65" s="749"/>
      <c r="EC65" s="749"/>
      <c r="ED65" s="749"/>
      <c r="EE65" s="749"/>
      <c r="EF65" s="749"/>
      <c r="EG65" s="749"/>
      <c r="EH65" s="749"/>
      <c r="EI65" s="749"/>
      <c r="EJ65" s="749"/>
      <c r="EK65" s="749"/>
      <c r="EL65" s="749"/>
      <c r="EM65" s="749"/>
      <c r="EN65" s="749"/>
      <c r="EO65" s="749"/>
      <c r="EP65" s="749"/>
      <c r="EQ65" s="749"/>
      <c r="ER65" s="749"/>
      <c r="ES65" s="749"/>
      <c r="ET65" s="749"/>
      <c r="EU65" s="749"/>
      <c r="EV65" s="749"/>
      <c r="EW65" s="749"/>
      <c r="EX65" s="749"/>
      <c r="EY65" s="749"/>
      <c r="EZ65" s="749"/>
      <c r="FA65" s="749"/>
      <c r="FB65" s="749"/>
      <c r="FC65" s="749"/>
      <c r="FD65" s="749"/>
      <c r="FE65" s="749"/>
      <c r="FF65" s="749"/>
      <c r="FG65" s="749"/>
      <c r="FH65" s="749"/>
      <c r="FI65" s="749"/>
      <c r="FJ65" s="749"/>
      <c r="FK65" s="749"/>
      <c r="FL65" s="749"/>
      <c r="FM65" s="749"/>
      <c r="FN65" s="749"/>
      <c r="FO65" s="749"/>
      <c r="FP65" s="749"/>
      <c r="FQ65" s="749"/>
      <c r="FR65" s="749"/>
      <c r="FS65" s="749"/>
      <c r="FT65" s="749"/>
      <c r="FU65" s="749"/>
      <c r="FV65" s="749"/>
      <c r="FW65" s="749"/>
      <c r="FX65" s="749"/>
      <c r="FY65" s="749"/>
      <c r="FZ65" s="749"/>
      <c r="GA65" s="749"/>
      <c r="GB65" s="749"/>
      <c r="GC65" s="749"/>
      <c r="GD65" s="749"/>
      <c r="GE65" s="749"/>
      <c r="GF65" s="749"/>
      <c r="GG65" s="749"/>
      <c r="GH65" s="749"/>
      <c r="GI65" s="749"/>
      <c r="GJ65" s="749"/>
      <c r="GK65" s="749"/>
      <c r="GL65" s="749"/>
      <c r="GM65" s="749"/>
      <c r="GN65" s="749"/>
      <c r="GO65" s="749"/>
      <c r="GP65" s="749"/>
      <c r="GQ65" s="749"/>
      <c r="GR65" s="749"/>
      <c r="GS65" s="749"/>
      <c r="GT65" s="749"/>
      <c r="GU65" s="749"/>
      <c r="GV65" s="749"/>
      <c r="GW65" s="749"/>
      <c r="GX65" s="749"/>
      <c r="GY65" s="749"/>
      <c r="GZ65" s="749"/>
      <c r="HA65" s="749"/>
      <c r="HB65" s="749"/>
      <c r="HC65" s="749"/>
      <c r="HD65" s="749"/>
      <c r="HE65" s="749"/>
      <c r="HF65" s="749"/>
      <c r="HG65" s="749"/>
      <c r="HH65" s="749"/>
      <c r="HI65" s="749"/>
      <c r="HJ65" s="749"/>
      <c r="HK65" s="749"/>
      <c r="HL65" s="749"/>
      <c r="HM65" s="749"/>
    </row>
    <row r="66" spans="1:221" ht="12.75">
      <c r="A66" s="3"/>
      <c r="B66" s="849"/>
      <c r="C66" s="838"/>
      <c r="D66" s="836"/>
      <c r="E66" s="838"/>
      <c r="F66" s="872"/>
      <c r="G66" s="838"/>
      <c r="H66" s="872"/>
      <c r="I66" s="838"/>
      <c r="J66" s="872"/>
      <c r="K66" s="838"/>
      <c r="L66" s="872"/>
      <c r="M66" s="838"/>
      <c r="N66" s="836"/>
      <c r="O66" s="844"/>
      <c r="P66" s="920"/>
      <c r="Q66" s="921"/>
      <c r="R66" s="922"/>
      <c r="S66" s="998"/>
      <c r="T66" s="999"/>
      <c r="U66" s="999"/>
      <c r="V66" s="1000"/>
      <c r="W66" s="749"/>
      <c r="X66" s="749"/>
      <c r="Y66" s="749"/>
      <c r="Z66" s="749"/>
      <c r="AA66" s="749"/>
      <c r="AB66" s="749"/>
      <c r="AC66" s="749"/>
      <c r="AD66" s="749"/>
      <c r="AE66" s="749"/>
      <c r="AF66" s="749"/>
      <c r="AG66" s="749"/>
      <c r="AH66" s="749"/>
      <c r="AI66" s="749"/>
      <c r="AJ66" s="749"/>
      <c r="AK66" s="749"/>
      <c r="AL66" s="749"/>
      <c r="AM66" s="749"/>
      <c r="AN66" s="749"/>
      <c r="AO66" s="749"/>
      <c r="AP66" s="749"/>
      <c r="AQ66" s="749"/>
      <c r="AR66" s="749"/>
      <c r="AS66" s="749"/>
      <c r="AT66" s="749"/>
      <c r="AU66" s="749"/>
      <c r="AV66" s="749"/>
      <c r="AW66" s="749"/>
      <c r="AX66" s="749"/>
      <c r="AY66" s="749"/>
      <c r="AZ66" s="749"/>
      <c r="BA66" s="749"/>
      <c r="BB66" s="749"/>
      <c r="BC66" s="749"/>
      <c r="BD66" s="749"/>
      <c r="BE66" s="749"/>
      <c r="BF66" s="749"/>
      <c r="BG66" s="749"/>
      <c r="BH66" s="749"/>
      <c r="BI66" s="749"/>
      <c r="BJ66" s="749"/>
      <c r="BK66" s="749"/>
      <c r="BL66" s="749"/>
      <c r="BM66" s="749"/>
      <c r="BN66" s="749"/>
      <c r="BO66" s="749"/>
      <c r="BP66" s="749"/>
      <c r="BQ66" s="749"/>
      <c r="BR66" s="749"/>
      <c r="BS66" s="749"/>
      <c r="BT66" s="749"/>
      <c r="BU66" s="749"/>
      <c r="BV66" s="749"/>
      <c r="BW66" s="749"/>
      <c r="BX66" s="749"/>
      <c r="BY66" s="749"/>
      <c r="BZ66" s="749"/>
      <c r="CA66" s="749"/>
      <c r="CB66" s="749"/>
      <c r="CC66" s="749"/>
      <c r="CD66" s="749"/>
      <c r="CE66" s="749"/>
      <c r="CF66" s="749"/>
      <c r="CG66" s="749"/>
      <c r="CH66" s="749"/>
      <c r="CI66" s="749"/>
      <c r="CJ66" s="749"/>
      <c r="CK66" s="749"/>
      <c r="CL66" s="749"/>
      <c r="CM66" s="749"/>
      <c r="CN66" s="749"/>
      <c r="CO66" s="749"/>
      <c r="CP66" s="749"/>
      <c r="CQ66" s="749"/>
      <c r="CR66" s="749"/>
      <c r="CS66" s="749"/>
      <c r="CT66" s="749"/>
      <c r="CU66" s="749"/>
      <c r="CV66" s="749"/>
      <c r="CW66" s="749"/>
      <c r="CX66" s="749"/>
      <c r="CY66" s="749"/>
      <c r="CZ66" s="749"/>
      <c r="DA66" s="749"/>
      <c r="DB66" s="749"/>
      <c r="DC66" s="749"/>
      <c r="DD66" s="749"/>
      <c r="DE66" s="749"/>
      <c r="DF66" s="749"/>
      <c r="DG66" s="749"/>
      <c r="DH66" s="749"/>
      <c r="DI66" s="749"/>
      <c r="DJ66" s="749"/>
      <c r="DK66" s="749"/>
      <c r="DL66" s="749"/>
      <c r="DM66" s="749"/>
      <c r="DN66" s="749"/>
      <c r="DO66" s="749"/>
      <c r="DP66" s="749"/>
      <c r="DQ66" s="749"/>
      <c r="DR66" s="749"/>
      <c r="DS66" s="749"/>
      <c r="DT66" s="749"/>
      <c r="DU66" s="749"/>
      <c r="DV66" s="749"/>
      <c r="DW66" s="749"/>
      <c r="DX66" s="749"/>
      <c r="DY66" s="749"/>
      <c r="DZ66" s="749"/>
      <c r="EA66" s="749"/>
      <c r="EB66" s="749"/>
      <c r="EC66" s="749"/>
      <c r="ED66" s="749"/>
      <c r="EE66" s="749"/>
      <c r="EF66" s="749"/>
      <c r="EG66" s="749"/>
      <c r="EH66" s="749"/>
      <c r="EI66" s="749"/>
      <c r="EJ66" s="749"/>
      <c r="EK66" s="749"/>
      <c r="EL66" s="749"/>
      <c r="EM66" s="749"/>
      <c r="EN66" s="749"/>
      <c r="EO66" s="749"/>
      <c r="EP66" s="749"/>
      <c r="EQ66" s="749"/>
      <c r="ER66" s="749"/>
      <c r="ES66" s="749"/>
      <c r="ET66" s="749"/>
      <c r="EU66" s="749"/>
      <c r="EV66" s="749"/>
      <c r="EW66" s="749"/>
      <c r="EX66" s="749"/>
      <c r="EY66" s="749"/>
      <c r="EZ66" s="749"/>
      <c r="FA66" s="749"/>
      <c r="FB66" s="749"/>
      <c r="FC66" s="749"/>
      <c r="FD66" s="749"/>
      <c r="FE66" s="749"/>
      <c r="FF66" s="749"/>
      <c r="FG66" s="749"/>
      <c r="FH66" s="749"/>
      <c r="FI66" s="749"/>
      <c r="FJ66" s="749"/>
      <c r="FK66" s="749"/>
      <c r="FL66" s="749"/>
      <c r="FM66" s="749"/>
      <c r="FN66" s="749"/>
      <c r="FO66" s="749"/>
      <c r="FP66" s="749"/>
      <c r="FQ66" s="749"/>
      <c r="FR66" s="749"/>
      <c r="FS66" s="749"/>
      <c r="FT66" s="749"/>
      <c r="FU66" s="749"/>
      <c r="FV66" s="749"/>
      <c r="FW66" s="749"/>
      <c r="FX66" s="749"/>
      <c r="FY66" s="749"/>
      <c r="FZ66" s="749"/>
      <c r="GA66" s="749"/>
      <c r="GB66" s="749"/>
      <c r="GC66" s="749"/>
      <c r="GD66" s="749"/>
      <c r="GE66" s="749"/>
      <c r="GF66" s="749"/>
      <c r="GG66" s="749"/>
      <c r="GH66" s="749"/>
      <c r="GI66" s="749"/>
      <c r="GJ66" s="749"/>
      <c r="GK66" s="749"/>
      <c r="GL66" s="749"/>
      <c r="GM66" s="749"/>
      <c r="GN66" s="749"/>
      <c r="GO66" s="749"/>
      <c r="GP66" s="749"/>
      <c r="GQ66" s="749"/>
      <c r="GR66" s="749"/>
      <c r="GS66" s="749"/>
      <c r="GT66" s="749"/>
      <c r="GU66" s="749"/>
      <c r="GV66" s="749"/>
      <c r="GW66" s="749"/>
      <c r="GX66" s="749"/>
      <c r="GY66" s="749"/>
      <c r="GZ66" s="749"/>
      <c r="HA66" s="749"/>
      <c r="HB66" s="749"/>
      <c r="HC66" s="749"/>
      <c r="HD66" s="749"/>
      <c r="HE66" s="749"/>
      <c r="HF66" s="749"/>
      <c r="HG66" s="749"/>
      <c r="HH66" s="749"/>
      <c r="HI66" s="749"/>
      <c r="HJ66" s="749"/>
      <c r="HK66" s="749"/>
      <c r="HL66" s="749"/>
      <c r="HM66" s="749"/>
    </row>
    <row r="67" spans="1:221" ht="12.75">
      <c r="A67" s="3"/>
      <c r="B67" s="850" t="s">
        <v>6942</v>
      </c>
      <c r="C67" s="879"/>
      <c r="D67" s="885"/>
      <c r="E67" s="879">
        <f>G67+M67+N67+O67</f>
        <v>0</v>
      </c>
      <c r="F67" s="876"/>
      <c r="G67" s="879">
        <f t="shared" ref="G67" si="24">I67+K67</f>
        <v>0</v>
      </c>
      <c r="H67" s="876">
        <f>'TAB 3 Project Cost'!F31</f>
        <v>0.05</v>
      </c>
      <c r="I67" s="879">
        <f>'TAB 3 Project Cost'!G31</f>
        <v>0</v>
      </c>
      <c r="J67" s="876">
        <f>'TAB 3 Project Cost'!F62</f>
        <v>0.1</v>
      </c>
      <c r="K67" s="879">
        <f>'TAB 3 Project Cost'!G62</f>
        <v>0</v>
      </c>
      <c r="L67" s="876">
        <f>'TAB 3 Project Cost'!F102</f>
        <v>0.1</v>
      </c>
      <c r="M67" s="879">
        <f>'TAB 3 Project Cost'!G102</f>
        <v>0</v>
      </c>
      <c r="N67" s="868"/>
      <c r="O67" s="851"/>
      <c r="P67" s="923">
        <f>'TAB 3 Project Cost'!AC62</f>
        <v>0</v>
      </c>
      <c r="Q67" s="924">
        <f>'TAB 3 Project Cost'!AD62</f>
        <v>0</v>
      </c>
      <c r="R67" s="925">
        <f>'TAB 3 Project Cost'!AE62</f>
        <v>0</v>
      </c>
      <c r="S67" s="995">
        <f>'TAB 3 Project Cost'!AA102</f>
        <v>0</v>
      </c>
      <c r="T67" s="996">
        <f>'TAB 3 Project Cost'!AB102</f>
        <v>0</v>
      </c>
      <c r="U67" s="996">
        <f>'TAB 3 Project Cost'!AC102</f>
        <v>0</v>
      </c>
      <c r="V67" s="997">
        <f>'TAB 3 Project Cost'!AD102</f>
        <v>0</v>
      </c>
      <c r="W67" s="749"/>
      <c r="X67" s="749"/>
      <c r="Y67" s="749"/>
      <c r="Z67" s="749"/>
      <c r="AA67" s="749"/>
      <c r="AB67" s="749"/>
      <c r="AC67" s="749"/>
      <c r="AD67" s="749"/>
      <c r="AE67" s="749"/>
      <c r="AF67" s="749"/>
      <c r="AG67" s="749"/>
      <c r="AH67" s="749"/>
      <c r="AI67" s="749"/>
      <c r="AJ67" s="749"/>
      <c r="AK67" s="749"/>
      <c r="AL67" s="749"/>
      <c r="AM67" s="749"/>
      <c r="AN67" s="749"/>
      <c r="AO67" s="749"/>
      <c r="AP67" s="749"/>
      <c r="AQ67" s="749"/>
      <c r="AR67" s="749"/>
      <c r="AS67" s="749"/>
      <c r="AT67" s="749"/>
      <c r="AU67" s="749"/>
      <c r="AV67" s="749"/>
      <c r="AW67" s="749"/>
      <c r="AX67" s="749"/>
      <c r="AY67" s="749"/>
      <c r="AZ67" s="749"/>
      <c r="BA67" s="749"/>
      <c r="BB67" s="749"/>
      <c r="BC67" s="749"/>
      <c r="BD67" s="749"/>
      <c r="BE67" s="749"/>
      <c r="BF67" s="749"/>
      <c r="BG67" s="749"/>
      <c r="BH67" s="749"/>
      <c r="BI67" s="749"/>
      <c r="BJ67" s="749"/>
      <c r="BK67" s="749"/>
      <c r="BL67" s="749"/>
      <c r="BM67" s="749"/>
      <c r="BN67" s="749"/>
      <c r="BO67" s="749"/>
      <c r="BP67" s="749"/>
      <c r="BQ67" s="749"/>
      <c r="BR67" s="749"/>
      <c r="BS67" s="749"/>
      <c r="BT67" s="749"/>
      <c r="BU67" s="749"/>
      <c r="BV67" s="749"/>
      <c r="BW67" s="749"/>
      <c r="BX67" s="749"/>
      <c r="BY67" s="749"/>
      <c r="BZ67" s="749"/>
      <c r="CA67" s="749"/>
      <c r="CB67" s="749"/>
      <c r="CC67" s="749"/>
      <c r="CD67" s="749"/>
      <c r="CE67" s="749"/>
      <c r="CF67" s="749"/>
      <c r="CG67" s="749"/>
      <c r="CH67" s="749"/>
      <c r="CI67" s="749"/>
      <c r="CJ67" s="749"/>
      <c r="CK67" s="749"/>
      <c r="CL67" s="749"/>
      <c r="CM67" s="749"/>
      <c r="CN67" s="749"/>
      <c r="CO67" s="749"/>
      <c r="CP67" s="749"/>
      <c r="CQ67" s="749"/>
      <c r="CR67" s="749"/>
      <c r="CS67" s="749"/>
      <c r="CT67" s="749"/>
      <c r="CU67" s="749"/>
      <c r="CV67" s="749"/>
      <c r="CW67" s="749"/>
      <c r="CX67" s="749"/>
      <c r="CY67" s="749"/>
      <c r="CZ67" s="749"/>
      <c r="DA67" s="749"/>
      <c r="DB67" s="749"/>
      <c r="DC67" s="749"/>
      <c r="DD67" s="749"/>
      <c r="DE67" s="749"/>
      <c r="DF67" s="749"/>
      <c r="DG67" s="749"/>
      <c r="DH67" s="749"/>
      <c r="DI67" s="749"/>
      <c r="DJ67" s="749"/>
      <c r="DK67" s="749"/>
      <c r="DL67" s="749"/>
      <c r="DM67" s="749"/>
      <c r="DN67" s="749"/>
      <c r="DO67" s="749"/>
      <c r="DP67" s="749"/>
      <c r="DQ67" s="749"/>
      <c r="DR67" s="749"/>
      <c r="DS67" s="749"/>
      <c r="DT67" s="749"/>
      <c r="DU67" s="749"/>
      <c r="DV67" s="749"/>
      <c r="DW67" s="749"/>
      <c r="DX67" s="749"/>
      <c r="DY67" s="749"/>
      <c r="DZ67" s="749"/>
      <c r="EA67" s="749"/>
      <c r="EB67" s="749"/>
      <c r="EC67" s="749"/>
      <c r="ED67" s="749"/>
      <c r="EE67" s="749"/>
      <c r="EF67" s="749"/>
      <c r="EG67" s="749"/>
      <c r="EH67" s="749"/>
      <c r="EI67" s="749"/>
      <c r="EJ67" s="749"/>
      <c r="EK67" s="749"/>
      <c r="EL67" s="749"/>
      <c r="EM67" s="749"/>
      <c r="EN67" s="749"/>
      <c r="EO67" s="749"/>
      <c r="EP67" s="749"/>
      <c r="EQ67" s="749"/>
      <c r="ER67" s="749"/>
      <c r="ES67" s="749"/>
      <c r="ET67" s="749"/>
      <c r="EU67" s="749"/>
      <c r="EV67" s="749"/>
      <c r="EW67" s="749"/>
      <c r="EX67" s="749"/>
      <c r="EY67" s="749"/>
      <c r="EZ67" s="749"/>
      <c r="FA67" s="749"/>
      <c r="FB67" s="749"/>
      <c r="FC67" s="749"/>
      <c r="FD67" s="749"/>
      <c r="FE67" s="749"/>
      <c r="FF67" s="749"/>
      <c r="FG67" s="749"/>
      <c r="FH67" s="749"/>
      <c r="FI67" s="749"/>
      <c r="FJ67" s="749"/>
      <c r="FK67" s="749"/>
      <c r="FL67" s="749"/>
      <c r="FM67" s="749"/>
      <c r="FN67" s="749"/>
      <c r="FO67" s="749"/>
      <c r="FP67" s="749"/>
      <c r="FQ67" s="749"/>
      <c r="FR67" s="749"/>
      <c r="FS67" s="749"/>
      <c r="FT67" s="749"/>
      <c r="FU67" s="749"/>
      <c r="FV67" s="749"/>
      <c r="FW67" s="749"/>
      <c r="FX67" s="749"/>
      <c r="FY67" s="749"/>
      <c r="FZ67" s="749"/>
      <c r="GA67" s="749"/>
      <c r="GB67" s="749"/>
      <c r="GC67" s="749"/>
      <c r="GD67" s="749"/>
      <c r="GE67" s="749"/>
      <c r="GF67" s="749"/>
      <c r="GG67" s="749"/>
      <c r="GH67" s="749"/>
      <c r="GI67" s="749"/>
      <c r="GJ67" s="749"/>
      <c r="GK67" s="749"/>
      <c r="GL67" s="749"/>
      <c r="GM67" s="749"/>
      <c r="GN67" s="749"/>
      <c r="GO67" s="749"/>
      <c r="GP67" s="749"/>
      <c r="GQ67" s="749"/>
      <c r="GR67" s="749"/>
      <c r="GS67" s="749"/>
      <c r="GT67" s="749"/>
      <c r="GU67" s="749"/>
      <c r="GV67" s="749"/>
      <c r="GW67" s="749"/>
      <c r="GX67" s="749"/>
      <c r="GY67" s="749"/>
      <c r="GZ67" s="749"/>
      <c r="HA67" s="749"/>
      <c r="HB67" s="749"/>
      <c r="HC67" s="749"/>
      <c r="HD67" s="749"/>
      <c r="HE67" s="749"/>
      <c r="HF67" s="749"/>
      <c r="HG67" s="749"/>
      <c r="HH67" s="749"/>
      <c r="HI67" s="749"/>
      <c r="HJ67" s="749"/>
      <c r="HK67" s="749"/>
      <c r="HL67" s="749"/>
      <c r="HM67" s="749"/>
    </row>
    <row r="68" spans="1:221" ht="12.75" customHeight="1">
      <c r="A68" s="3"/>
      <c r="B68" s="850" t="s">
        <v>7384</v>
      </c>
      <c r="C68" s="904"/>
      <c r="D68" s="905"/>
      <c r="E68" s="994">
        <f>'TAB 3 Project Cost'!E5</f>
        <v>0</v>
      </c>
      <c r="F68" s="878"/>
      <c r="G68" s="904"/>
      <c r="H68" s="878"/>
      <c r="I68" s="877"/>
      <c r="J68" s="878"/>
      <c r="K68" s="877"/>
      <c r="L68" s="878"/>
      <c r="M68" s="877"/>
      <c r="N68" s="868"/>
      <c r="O68" s="851"/>
      <c r="P68" s="923"/>
      <c r="Q68" s="924"/>
      <c r="R68" s="925"/>
      <c r="S68" s="995"/>
      <c r="T68" s="996"/>
      <c r="U68" s="996"/>
      <c r="V68" s="997"/>
      <c r="W68" s="749"/>
      <c r="X68" s="749"/>
      <c r="Y68" s="749"/>
      <c r="Z68" s="749"/>
      <c r="AA68" s="749"/>
      <c r="AB68" s="749"/>
      <c r="AC68" s="749"/>
      <c r="AD68" s="749"/>
      <c r="AE68" s="749"/>
      <c r="AF68" s="749"/>
      <c r="AG68" s="749"/>
      <c r="AH68" s="749"/>
      <c r="AI68" s="749"/>
      <c r="AJ68" s="749"/>
      <c r="AK68" s="749"/>
      <c r="AL68" s="749"/>
      <c r="AM68" s="749"/>
      <c r="AN68" s="749"/>
      <c r="AO68" s="749"/>
      <c r="AP68" s="749"/>
      <c r="AQ68" s="749"/>
      <c r="AR68" s="749"/>
      <c r="AS68" s="749"/>
      <c r="AT68" s="749"/>
      <c r="AU68" s="749"/>
      <c r="AV68" s="749"/>
      <c r="AW68" s="749"/>
      <c r="AX68" s="749"/>
      <c r="AY68" s="749"/>
      <c r="AZ68" s="749"/>
      <c r="BA68" s="749"/>
      <c r="BB68" s="749"/>
      <c r="BC68" s="749"/>
      <c r="BD68" s="749"/>
      <c r="BE68" s="749"/>
      <c r="BF68" s="749"/>
      <c r="BG68" s="749"/>
      <c r="BH68" s="749"/>
      <c r="BI68" s="749"/>
      <c r="BJ68" s="749"/>
      <c r="BK68" s="749"/>
      <c r="BL68" s="749"/>
      <c r="BM68" s="749"/>
      <c r="BN68" s="749"/>
      <c r="BO68" s="749"/>
      <c r="BP68" s="749"/>
      <c r="BQ68" s="749"/>
      <c r="BR68" s="749"/>
      <c r="BS68" s="749"/>
      <c r="BT68" s="749"/>
      <c r="BU68" s="749"/>
      <c r="BV68" s="749"/>
      <c r="BW68" s="749"/>
      <c r="BX68" s="749"/>
      <c r="BY68" s="749"/>
      <c r="BZ68" s="749"/>
      <c r="CA68" s="749"/>
      <c r="CB68" s="749"/>
      <c r="CC68" s="749"/>
      <c r="CD68" s="749"/>
      <c r="CE68" s="749"/>
      <c r="CF68" s="749"/>
      <c r="CG68" s="749"/>
      <c r="CH68" s="749"/>
      <c r="CI68" s="749"/>
      <c r="CJ68" s="749"/>
      <c r="CK68" s="749"/>
      <c r="CL68" s="749"/>
      <c r="CM68" s="749"/>
      <c r="CN68" s="749"/>
      <c r="CO68" s="749"/>
      <c r="CP68" s="749"/>
      <c r="CQ68" s="749"/>
      <c r="CR68" s="749"/>
      <c r="CS68" s="749"/>
      <c r="CT68" s="749"/>
      <c r="CU68" s="749"/>
      <c r="CV68" s="749"/>
      <c r="CW68" s="749"/>
      <c r="CX68" s="749"/>
      <c r="CY68" s="749"/>
      <c r="CZ68" s="749"/>
      <c r="DA68" s="749"/>
      <c r="DB68" s="749"/>
      <c r="DC68" s="749"/>
      <c r="DD68" s="749"/>
      <c r="DE68" s="749"/>
      <c r="DF68" s="749"/>
      <c r="DG68" s="749"/>
      <c r="DH68" s="749"/>
      <c r="DI68" s="749"/>
      <c r="DJ68" s="749"/>
      <c r="DK68" s="749"/>
      <c r="DL68" s="749"/>
      <c r="DM68" s="749"/>
      <c r="DN68" s="749"/>
      <c r="DO68" s="749"/>
      <c r="DP68" s="749"/>
      <c r="DQ68" s="749"/>
      <c r="DR68" s="749"/>
      <c r="DS68" s="749"/>
      <c r="DT68" s="749"/>
      <c r="DU68" s="749"/>
      <c r="DV68" s="749"/>
      <c r="DW68" s="749"/>
      <c r="DX68" s="749"/>
      <c r="DY68" s="749"/>
      <c r="DZ68" s="749"/>
      <c r="EA68" s="749"/>
      <c r="EB68" s="749"/>
      <c r="EC68" s="749"/>
      <c r="ED68" s="749"/>
      <c r="EE68" s="749"/>
      <c r="EF68" s="749"/>
      <c r="EG68" s="749"/>
      <c r="EH68" s="749"/>
      <c r="EI68" s="749"/>
      <c r="EJ68" s="749"/>
      <c r="EK68" s="749"/>
      <c r="EL68" s="749"/>
      <c r="EM68" s="749"/>
      <c r="EN68" s="749"/>
      <c r="EO68" s="749"/>
      <c r="EP68" s="749"/>
      <c r="EQ68" s="749"/>
      <c r="ER68" s="749"/>
      <c r="ES68" s="749"/>
      <c r="ET68" s="749"/>
      <c r="EU68" s="749"/>
      <c r="EV68" s="749"/>
      <c r="EW68" s="749"/>
      <c r="EX68" s="749"/>
      <c r="EY68" s="749"/>
      <c r="EZ68" s="749"/>
      <c r="FA68" s="749"/>
      <c r="FB68" s="749"/>
      <c r="FC68" s="749"/>
      <c r="FD68" s="749"/>
      <c r="FE68" s="749"/>
      <c r="FF68" s="749"/>
      <c r="FG68" s="749"/>
      <c r="FH68" s="749"/>
      <c r="FI68" s="749"/>
      <c r="FJ68" s="749"/>
      <c r="FK68" s="749"/>
      <c r="FL68" s="749"/>
      <c r="FM68" s="749"/>
      <c r="FN68" s="749"/>
      <c r="FO68" s="749"/>
      <c r="FP68" s="749"/>
      <c r="FQ68" s="749"/>
      <c r="FR68" s="749"/>
      <c r="FS68" s="749"/>
      <c r="FT68" s="749"/>
      <c r="FU68" s="749"/>
      <c r="FV68" s="749"/>
      <c r="FW68" s="749"/>
      <c r="FX68" s="749"/>
      <c r="FY68" s="749"/>
      <c r="FZ68" s="749"/>
      <c r="GA68" s="749"/>
      <c r="GB68" s="749"/>
      <c r="GC68" s="749"/>
      <c r="GD68" s="749"/>
      <c r="GE68" s="749"/>
      <c r="GF68" s="749"/>
      <c r="GG68" s="749"/>
      <c r="GH68" s="749"/>
      <c r="GI68" s="749"/>
      <c r="GJ68" s="749"/>
      <c r="GK68" s="749"/>
      <c r="GL68" s="749"/>
      <c r="GM68" s="749"/>
      <c r="GN68" s="749"/>
      <c r="GO68" s="749"/>
      <c r="GP68" s="749"/>
      <c r="GQ68" s="749"/>
      <c r="GR68" s="749"/>
      <c r="GS68" s="749"/>
      <c r="GT68" s="749"/>
      <c r="GU68" s="749"/>
      <c r="GV68" s="749"/>
      <c r="GW68" s="749"/>
      <c r="GX68" s="749"/>
      <c r="GY68" s="749"/>
      <c r="GZ68" s="749"/>
      <c r="HA68" s="749"/>
      <c r="HB68" s="749"/>
      <c r="HC68" s="749"/>
      <c r="HD68" s="749"/>
      <c r="HE68" s="749"/>
      <c r="HF68" s="749"/>
      <c r="HG68" s="749"/>
      <c r="HH68" s="749"/>
      <c r="HI68" s="749"/>
      <c r="HJ68" s="749"/>
      <c r="HK68" s="749"/>
      <c r="HL68" s="749"/>
      <c r="HM68" s="749"/>
    </row>
    <row r="69" spans="1:221" ht="12.75">
      <c r="A69" s="3"/>
      <c r="B69" s="849"/>
      <c r="C69" s="838"/>
      <c r="D69" s="836"/>
      <c r="E69" s="838"/>
      <c r="F69" s="872"/>
      <c r="G69" s="838"/>
      <c r="H69" s="872"/>
      <c r="I69" s="838"/>
      <c r="J69" s="872"/>
      <c r="K69" s="838"/>
      <c r="L69" s="872"/>
      <c r="M69" s="838"/>
      <c r="N69" s="836"/>
      <c r="O69" s="844"/>
      <c r="P69" s="920"/>
      <c r="Q69" s="921"/>
      <c r="R69" s="922"/>
      <c r="S69" s="998"/>
      <c r="T69" s="999"/>
      <c r="U69" s="999"/>
      <c r="V69" s="1000"/>
      <c r="W69" s="749"/>
      <c r="X69" s="749"/>
      <c r="Y69" s="749"/>
      <c r="Z69" s="749"/>
      <c r="AA69" s="749"/>
      <c r="AB69" s="749"/>
      <c r="AC69" s="749"/>
      <c r="AD69" s="749"/>
      <c r="AE69" s="749"/>
      <c r="AF69" s="749"/>
      <c r="AG69" s="749"/>
      <c r="AH69" s="749"/>
      <c r="AI69" s="749"/>
      <c r="AJ69" s="749"/>
      <c r="AK69" s="749"/>
      <c r="AL69" s="749"/>
      <c r="AM69" s="749"/>
      <c r="AN69" s="749"/>
      <c r="AO69" s="749"/>
      <c r="AP69" s="749"/>
      <c r="AQ69" s="749"/>
      <c r="AR69" s="749"/>
      <c r="AS69" s="749"/>
      <c r="AT69" s="749"/>
      <c r="AU69" s="749"/>
      <c r="AV69" s="749"/>
      <c r="AW69" s="749"/>
      <c r="AX69" s="749"/>
      <c r="AY69" s="749"/>
      <c r="AZ69" s="749"/>
      <c r="BA69" s="749"/>
      <c r="BB69" s="749"/>
      <c r="BC69" s="749"/>
      <c r="BD69" s="749"/>
      <c r="BE69" s="749"/>
      <c r="BF69" s="749"/>
      <c r="BG69" s="749"/>
      <c r="BH69" s="749"/>
      <c r="BI69" s="749"/>
      <c r="BJ69" s="749"/>
      <c r="BK69" s="749"/>
      <c r="BL69" s="749"/>
      <c r="BM69" s="749"/>
      <c r="BN69" s="749"/>
      <c r="BO69" s="749"/>
      <c r="BP69" s="749"/>
      <c r="BQ69" s="749"/>
      <c r="BR69" s="749"/>
      <c r="BS69" s="749"/>
      <c r="BT69" s="749"/>
      <c r="BU69" s="749"/>
      <c r="BV69" s="749"/>
      <c r="BW69" s="749"/>
      <c r="BX69" s="749"/>
      <c r="BY69" s="749"/>
      <c r="BZ69" s="749"/>
      <c r="CA69" s="749"/>
      <c r="CB69" s="749"/>
      <c r="CC69" s="749"/>
      <c r="CD69" s="749"/>
      <c r="CE69" s="749"/>
      <c r="CF69" s="749"/>
      <c r="CG69" s="749"/>
      <c r="CH69" s="749"/>
      <c r="CI69" s="749"/>
      <c r="CJ69" s="749"/>
      <c r="CK69" s="749"/>
      <c r="CL69" s="749"/>
      <c r="CM69" s="749"/>
      <c r="CN69" s="749"/>
      <c r="CO69" s="749"/>
      <c r="CP69" s="749"/>
      <c r="CQ69" s="749"/>
      <c r="CR69" s="749"/>
      <c r="CS69" s="749"/>
      <c r="CT69" s="749"/>
      <c r="CU69" s="749"/>
      <c r="CV69" s="749"/>
      <c r="CW69" s="749"/>
      <c r="CX69" s="749"/>
      <c r="CY69" s="749"/>
      <c r="CZ69" s="749"/>
      <c r="DA69" s="749"/>
      <c r="DB69" s="749"/>
      <c r="DC69" s="749"/>
      <c r="DD69" s="749"/>
      <c r="DE69" s="749"/>
      <c r="DF69" s="749"/>
      <c r="DG69" s="749"/>
      <c r="DH69" s="749"/>
      <c r="DI69" s="749"/>
      <c r="DJ69" s="749"/>
      <c r="DK69" s="749"/>
      <c r="DL69" s="749"/>
      <c r="DM69" s="749"/>
      <c r="DN69" s="749"/>
      <c r="DO69" s="749"/>
      <c r="DP69" s="749"/>
      <c r="DQ69" s="749"/>
      <c r="DR69" s="749"/>
      <c r="DS69" s="749"/>
      <c r="DT69" s="749"/>
      <c r="DU69" s="749"/>
      <c r="DV69" s="749"/>
      <c r="DW69" s="749"/>
      <c r="DX69" s="749"/>
      <c r="DY69" s="749"/>
      <c r="DZ69" s="749"/>
      <c r="EA69" s="749"/>
      <c r="EB69" s="749"/>
      <c r="EC69" s="749"/>
      <c r="ED69" s="749"/>
      <c r="EE69" s="749"/>
      <c r="EF69" s="749"/>
      <c r="EG69" s="749"/>
      <c r="EH69" s="749"/>
      <c r="EI69" s="749"/>
      <c r="EJ69" s="749"/>
      <c r="EK69" s="749"/>
      <c r="EL69" s="749"/>
      <c r="EM69" s="749"/>
      <c r="EN69" s="749"/>
      <c r="EO69" s="749"/>
      <c r="EP69" s="749"/>
      <c r="EQ69" s="749"/>
      <c r="ER69" s="749"/>
      <c r="ES69" s="749"/>
      <c r="ET69" s="749"/>
      <c r="EU69" s="749"/>
      <c r="EV69" s="749"/>
      <c r="EW69" s="749"/>
      <c r="EX69" s="749"/>
      <c r="EY69" s="749"/>
      <c r="EZ69" s="749"/>
      <c r="FA69" s="749"/>
      <c r="FB69" s="749"/>
      <c r="FC69" s="749"/>
      <c r="FD69" s="749"/>
      <c r="FE69" s="749"/>
      <c r="FF69" s="749"/>
      <c r="FG69" s="749"/>
      <c r="FH69" s="749"/>
      <c r="FI69" s="749"/>
      <c r="FJ69" s="749"/>
      <c r="FK69" s="749"/>
      <c r="FL69" s="749"/>
      <c r="FM69" s="749"/>
      <c r="FN69" s="749"/>
      <c r="FO69" s="749"/>
      <c r="FP69" s="749"/>
      <c r="FQ69" s="749"/>
      <c r="FR69" s="749"/>
      <c r="FS69" s="749"/>
      <c r="FT69" s="749"/>
      <c r="FU69" s="749"/>
      <c r="FV69" s="749"/>
      <c r="FW69" s="749"/>
      <c r="FX69" s="749"/>
      <c r="FY69" s="749"/>
      <c r="FZ69" s="749"/>
      <c r="GA69" s="749"/>
      <c r="GB69" s="749"/>
      <c r="GC69" s="749"/>
      <c r="GD69" s="749"/>
      <c r="GE69" s="749"/>
      <c r="GF69" s="749"/>
      <c r="GG69" s="749"/>
      <c r="GH69" s="749"/>
      <c r="GI69" s="749"/>
      <c r="GJ69" s="749"/>
      <c r="GK69" s="749"/>
      <c r="GL69" s="749"/>
      <c r="GM69" s="749"/>
      <c r="GN69" s="749"/>
      <c r="GO69" s="749"/>
      <c r="GP69" s="749"/>
      <c r="GQ69" s="749"/>
      <c r="GR69" s="749"/>
      <c r="GS69" s="749"/>
      <c r="GT69" s="749"/>
      <c r="GU69" s="749"/>
      <c r="GV69" s="749"/>
      <c r="GW69" s="749"/>
      <c r="GX69" s="749"/>
      <c r="GY69" s="749"/>
      <c r="GZ69" s="749"/>
      <c r="HA69" s="749"/>
      <c r="HB69" s="749"/>
      <c r="HC69" s="749"/>
      <c r="HD69" s="749"/>
      <c r="HE69" s="749"/>
      <c r="HF69" s="749"/>
      <c r="HG69" s="749"/>
      <c r="HH69" s="749"/>
      <c r="HI69" s="749"/>
      <c r="HJ69" s="749"/>
      <c r="HK69" s="749"/>
      <c r="HL69" s="749"/>
      <c r="HM69" s="749"/>
    </row>
    <row r="70" spans="1:221" ht="12.75">
      <c r="A70" s="3"/>
      <c r="B70" s="849"/>
      <c r="C70" s="838"/>
      <c r="D70" s="836"/>
      <c r="E70" s="838"/>
      <c r="F70" s="872"/>
      <c r="G70" s="838"/>
      <c r="H70" s="872"/>
      <c r="I70" s="838"/>
      <c r="J70" s="872"/>
      <c r="K70" s="838"/>
      <c r="L70" s="872"/>
      <c r="M70" s="838"/>
      <c r="N70" s="836"/>
      <c r="O70" s="844"/>
      <c r="P70" s="920"/>
      <c r="Q70" s="921"/>
      <c r="R70" s="922"/>
      <c r="S70" s="998"/>
      <c r="T70" s="999"/>
      <c r="U70" s="999"/>
      <c r="V70" s="1000"/>
      <c r="W70" s="749"/>
      <c r="X70" s="749"/>
      <c r="Y70" s="749"/>
      <c r="Z70" s="749"/>
      <c r="AA70" s="749"/>
      <c r="AB70" s="749"/>
      <c r="AC70" s="749"/>
      <c r="AD70" s="749"/>
      <c r="AE70" s="749"/>
      <c r="AF70" s="749"/>
      <c r="AG70" s="749"/>
      <c r="AH70" s="749"/>
      <c r="AI70" s="749"/>
      <c r="AJ70" s="749"/>
      <c r="AK70" s="749"/>
      <c r="AL70" s="749"/>
      <c r="AM70" s="749"/>
      <c r="AN70" s="749"/>
      <c r="AO70" s="749"/>
      <c r="AP70" s="749"/>
      <c r="AQ70" s="749"/>
      <c r="AR70" s="749"/>
      <c r="AS70" s="749"/>
      <c r="AT70" s="749"/>
      <c r="AU70" s="749"/>
      <c r="AV70" s="749"/>
      <c r="AW70" s="749"/>
      <c r="AX70" s="749"/>
      <c r="AY70" s="749"/>
      <c r="AZ70" s="749"/>
      <c r="BA70" s="749"/>
      <c r="BB70" s="749"/>
      <c r="BC70" s="749"/>
      <c r="BD70" s="749"/>
      <c r="BE70" s="749"/>
      <c r="BF70" s="749"/>
      <c r="BG70" s="749"/>
      <c r="BH70" s="749"/>
      <c r="BI70" s="749"/>
      <c r="BJ70" s="749"/>
      <c r="BK70" s="749"/>
      <c r="BL70" s="749"/>
      <c r="BM70" s="749"/>
      <c r="BN70" s="749"/>
      <c r="BO70" s="749"/>
      <c r="BP70" s="749"/>
      <c r="BQ70" s="749"/>
      <c r="BR70" s="749"/>
      <c r="BS70" s="749"/>
      <c r="BT70" s="749"/>
      <c r="BU70" s="749"/>
      <c r="BV70" s="749"/>
      <c r="BW70" s="749"/>
      <c r="BX70" s="749"/>
      <c r="BY70" s="749"/>
      <c r="BZ70" s="749"/>
      <c r="CA70" s="749"/>
      <c r="CB70" s="749"/>
      <c r="CC70" s="749"/>
      <c r="CD70" s="749"/>
      <c r="CE70" s="749"/>
      <c r="CF70" s="749"/>
      <c r="CG70" s="749"/>
      <c r="CH70" s="749"/>
      <c r="CI70" s="749"/>
      <c r="CJ70" s="749"/>
      <c r="CK70" s="749"/>
      <c r="CL70" s="749"/>
      <c r="CM70" s="749"/>
      <c r="CN70" s="749"/>
      <c r="CO70" s="749"/>
      <c r="CP70" s="749"/>
      <c r="CQ70" s="749"/>
      <c r="CR70" s="749"/>
      <c r="CS70" s="749"/>
      <c r="CT70" s="749"/>
      <c r="CU70" s="749"/>
      <c r="CV70" s="749"/>
      <c r="CW70" s="749"/>
      <c r="CX70" s="749"/>
      <c r="CY70" s="749"/>
      <c r="CZ70" s="749"/>
      <c r="DA70" s="749"/>
      <c r="DB70" s="749"/>
      <c r="DC70" s="749"/>
      <c r="DD70" s="749"/>
      <c r="DE70" s="749"/>
      <c r="DF70" s="749"/>
      <c r="DG70" s="749"/>
      <c r="DH70" s="749"/>
      <c r="DI70" s="749"/>
      <c r="DJ70" s="749"/>
      <c r="DK70" s="749"/>
      <c r="DL70" s="749"/>
      <c r="DM70" s="749"/>
      <c r="DN70" s="749"/>
      <c r="DO70" s="749"/>
      <c r="DP70" s="749"/>
      <c r="DQ70" s="749"/>
      <c r="DR70" s="749"/>
      <c r="DS70" s="749"/>
      <c r="DT70" s="749"/>
      <c r="DU70" s="749"/>
      <c r="DV70" s="749"/>
      <c r="DW70" s="749"/>
      <c r="DX70" s="749"/>
      <c r="DY70" s="749"/>
      <c r="DZ70" s="749"/>
      <c r="EA70" s="749"/>
      <c r="EB70" s="749"/>
      <c r="EC70" s="749"/>
      <c r="ED70" s="749"/>
      <c r="EE70" s="749"/>
      <c r="EF70" s="749"/>
      <c r="EG70" s="749"/>
      <c r="EH70" s="749"/>
      <c r="EI70" s="749"/>
      <c r="EJ70" s="749"/>
      <c r="EK70" s="749"/>
      <c r="EL70" s="749"/>
      <c r="EM70" s="749"/>
      <c r="EN70" s="749"/>
      <c r="EO70" s="749"/>
      <c r="EP70" s="749"/>
      <c r="EQ70" s="749"/>
      <c r="ER70" s="749"/>
      <c r="ES70" s="749"/>
      <c r="ET70" s="749"/>
      <c r="EU70" s="749"/>
      <c r="EV70" s="749"/>
      <c r="EW70" s="749"/>
      <c r="EX70" s="749"/>
      <c r="EY70" s="749"/>
      <c r="EZ70" s="749"/>
      <c r="FA70" s="749"/>
      <c r="FB70" s="749"/>
      <c r="FC70" s="749"/>
      <c r="FD70" s="749"/>
      <c r="FE70" s="749"/>
      <c r="FF70" s="749"/>
      <c r="FG70" s="749"/>
      <c r="FH70" s="749"/>
      <c r="FI70" s="749"/>
      <c r="FJ70" s="749"/>
      <c r="FK70" s="749"/>
      <c r="FL70" s="749"/>
      <c r="FM70" s="749"/>
      <c r="FN70" s="749"/>
      <c r="FO70" s="749"/>
      <c r="FP70" s="749"/>
      <c r="FQ70" s="749"/>
      <c r="FR70" s="749"/>
      <c r="FS70" s="749"/>
      <c r="FT70" s="749"/>
      <c r="FU70" s="749"/>
      <c r="FV70" s="749"/>
      <c r="FW70" s="749"/>
      <c r="FX70" s="749"/>
      <c r="FY70" s="749"/>
      <c r="FZ70" s="749"/>
      <c r="GA70" s="749"/>
      <c r="GB70" s="749"/>
      <c r="GC70" s="749"/>
      <c r="GD70" s="749"/>
      <c r="GE70" s="749"/>
      <c r="GF70" s="749"/>
      <c r="GG70" s="749"/>
      <c r="GH70" s="749"/>
      <c r="GI70" s="749"/>
      <c r="GJ70" s="749"/>
      <c r="GK70" s="749"/>
      <c r="GL70" s="749"/>
      <c r="GM70" s="749"/>
      <c r="GN70" s="749"/>
      <c r="GO70" s="749"/>
      <c r="GP70" s="749"/>
      <c r="GQ70" s="749"/>
      <c r="GR70" s="749"/>
      <c r="GS70" s="749"/>
      <c r="GT70" s="749"/>
      <c r="GU70" s="749"/>
      <c r="GV70" s="749"/>
      <c r="GW70" s="749"/>
      <c r="GX70" s="749"/>
      <c r="GY70" s="749"/>
      <c r="GZ70" s="749"/>
      <c r="HA70" s="749"/>
      <c r="HB70" s="749"/>
      <c r="HC70" s="749"/>
      <c r="HD70" s="749"/>
      <c r="HE70" s="749"/>
      <c r="HF70" s="749"/>
      <c r="HG70" s="749"/>
      <c r="HH70" s="749"/>
      <c r="HI70" s="749"/>
      <c r="HJ70" s="749"/>
      <c r="HK70" s="749"/>
      <c r="HL70" s="749"/>
      <c r="HM70" s="749"/>
    </row>
    <row r="71" spans="1:221" ht="12.75" customHeight="1">
      <c r="A71" s="3"/>
      <c r="B71" s="857" t="s">
        <v>376</v>
      </c>
      <c r="C71" s="879"/>
      <c r="D71" s="885"/>
      <c r="E71" s="879">
        <f>G71+M71+N71+O71</f>
        <v>0</v>
      </c>
      <c r="F71" s="876"/>
      <c r="G71" s="879">
        <f t="shared" ref="G71" si="25">I71+K71</f>
        <v>0</v>
      </c>
      <c r="H71" s="876">
        <f>'TAB 3 Project Cost'!F33</f>
        <v>5.0000000000000001E-3</v>
      </c>
      <c r="I71" s="879">
        <f>'TAB 3 Project Cost'!G33</f>
        <v>0</v>
      </c>
      <c r="J71" s="876">
        <f>'TAB 3 Project Cost'!F64</f>
        <v>5.0000000000000001E-3</v>
      </c>
      <c r="K71" s="879">
        <f>'TAB 3 Project Cost'!G64</f>
        <v>0</v>
      </c>
      <c r="L71" s="876"/>
      <c r="M71" s="877"/>
      <c r="N71" s="868"/>
      <c r="O71" s="851"/>
      <c r="P71" s="923">
        <f>'TAB 3 Project Cost'!AC64</f>
        <v>0</v>
      </c>
      <c r="Q71" s="924">
        <f>'TAB 3 Project Cost'!AD64</f>
        <v>0</v>
      </c>
      <c r="R71" s="925">
        <f>'TAB 3 Project Cost'!AE64</f>
        <v>0</v>
      </c>
      <c r="S71" s="995"/>
      <c r="T71" s="996"/>
      <c r="U71" s="996"/>
      <c r="V71" s="997"/>
      <c r="W71" s="749"/>
      <c r="X71" s="749"/>
      <c r="Y71" s="749"/>
      <c r="Z71" s="749"/>
      <c r="AA71" s="749"/>
      <c r="AB71" s="749"/>
      <c r="AC71" s="749"/>
      <c r="AD71" s="749"/>
      <c r="AE71" s="749"/>
      <c r="AF71" s="749"/>
      <c r="AG71" s="749"/>
      <c r="AH71" s="749"/>
      <c r="AI71" s="749"/>
      <c r="AJ71" s="749"/>
      <c r="AK71" s="749"/>
      <c r="AL71" s="749"/>
      <c r="AM71" s="749"/>
      <c r="AN71" s="749"/>
      <c r="AO71" s="749"/>
      <c r="AP71" s="749"/>
      <c r="AQ71" s="749"/>
      <c r="AR71" s="749"/>
      <c r="AS71" s="749"/>
      <c r="AT71" s="749"/>
      <c r="AU71" s="749"/>
      <c r="AV71" s="749"/>
      <c r="AW71" s="749"/>
      <c r="AX71" s="749"/>
      <c r="AY71" s="749"/>
      <c r="AZ71" s="749"/>
      <c r="BA71" s="749"/>
      <c r="BB71" s="749"/>
      <c r="BC71" s="749"/>
      <c r="BD71" s="749"/>
      <c r="BE71" s="749"/>
      <c r="BF71" s="749"/>
      <c r="BG71" s="749"/>
      <c r="BH71" s="749"/>
      <c r="BI71" s="749"/>
      <c r="BJ71" s="749"/>
      <c r="BK71" s="749"/>
      <c r="BL71" s="749"/>
      <c r="BM71" s="749"/>
      <c r="BN71" s="749"/>
      <c r="BO71" s="749"/>
      <c r="BP71" s="749"/>
      <c r="BQ71" s="749"/>
      <c r="BR71" s="749"/>
      <c r="BS71" s="749"/>
      <c r="BT71" s="749"/>
      <c r="BU71" s="749"/>
      <c r="BV71" s="749"/>
      <c r="BW71" s="749"/>
      <c r="BX71" s="749"/>
      <c r="BY71" s="749"/>
      <c r="BZ71" s="749"/>
      <c r="CA71" s="749"/>
      <c r="CB71" s="749"/>
      <c r="CC71" s="749"/>
      <c r="CD71" s="749"/>
      <c r="CE71" s="749"/>
      <c r="CF71" s="749"/>
      <c r="CG71" s="749"/>
      <c r="CH71" s="749"/>
      <c r="CI71" s="749"/>
      <c r="CJ71" s="749"/>
      <c r="CK71" s="749"/>
      <c r="CL71" s="749"/>
      <c r="CM71" s="749"/>
      <c r="CN71" s="749"/>
      <c r="CO71" s="749"/>
      <c r="CP71" s="749"/>
      <c r="CQ71" s="749"/>
      <c r="CR71" s="749"/>
      <c r="CS71" s="749"/>
      <c r="CT71" s="749"/>
      <c r="CU71" s="749"/>
      <c r="CV71" s="749"/>
      <c r="CW71" s="749"/>
      <c r="CX71" s="749"/>
      <c r="CY71" s="749"/>
      <c r="CZ71" s="749"/>
      <c r="DA71" s="749"/>
      <c r="DB71" s="749"/>
      <c r="DC71" s="749"/>
      <c r="DD71" s="749"/>
      <c r="DE71" s="749"/>
      <c r="DF71" s="749"/>
      <c r="DG71" s="749"/>
      <c r="DH71" s="749"/>
      <c r="DI71" s="749"/>
      <c r="DJ71" s="749"/>
      <c r="DK71" s="749"/>
      <c r="DL71" s="749"/>
      <c r="DM71" s="749"/>
      <c r="DN71" s="749"/>
      <c r="DO71" s="749"/>
      <c r="DP71" s="749"/>
      <c r="DQ71" s="749"/>
      <c r="DR71" s="749"/>
      <c r="DS71" s="749"/>
      <c r="DT71" s="749"/>
      <c r="DU71" s="749"/>
      <c r="DV71" s="749"/>
      <c r="DW71" s="749"/>
      <c r="DX71" s="749"/>
      <c r="DY71" s="749"/>
      <c r="DZ71" s="749"/>
      <c r="EA71" s="749"/>
      <c r="EB71" s="749"/>
      <c r="EC71" s="749"/>
      <c r="ED71" s="749"/>
      <c r="EE71" s="749"/>
      <c r="EF71" s="749"/>
      <c r="EG71" s="749"/>
      <c r="EH71" s="749"/>
      <c r="EI71" s="749"/>
      <c r="EJ71" s="749"/>
      <c r="EK71" s="749"/>
      <c r="EL71" s="749"/>
      <c r="EM71" s="749"/>
      <c r="EN71" s="749"/>
      <c r="EO71" s="749"/>
      <c r="EP71" s="749"/>
      <c r="EQ71" s="749"/>
      <c r="ER71" s="749"/>
      <c r="ES71" s="749"/>
      <c r="ET71" s="749"/>
      <c r="EU71" s="749"/>
      <c r="EV71" s="749"/>
      <c r="EW71" s="749"/>
      <c r="EX71" s="749"/>
      <c r="EY71" s="749"/>
      <c r="EZ71" s="749"/>
      <c r="FA71" s="749"/>
      <c r="FB71" s="749"/>
      <c r="FC71" s="749"/>
      <c r="FD71" s="749"/>
      <c r="FE71" s="749"/>
      <c r="FF71" s="749"/>
      <c r="FG71" s="749"/>
      <c r="FH71" s="749"/>
      <c r="FI71" s="749"/>
      <c r="FJ71" s="749"/>
      <c r="FK71" s="749"/>
      <c r="FL71" s="749"/>
      <c r="FM71" s="749"/>
      <c r="FN71" s="749"/>
      <c r="FO71" s="749"/>
      <c r="FP71" s="749"/>
      <c r="FQ71" s="749"/>
      <c r="FR71" s="749"/>
      <c r="FS71" s="749"/>
      <c r="FT71" s="749"/>
      <c r="FU71" s="749"/>
      <c r="FV71" s="749"/>
      <c r="FW71" s="749"/>
      <c r="FX71" s="749"/>
      <c r="FY71" s="749"/>
      <c r="FZ71" s="749"/>
      <c r="GA71" s="749"/>
      <c r="GB71" s="749"/>
      <c r="GC71" s="749"/>
      <c r="GD71" s="749"/>
      <c r="GE71" s="749"/>
      <c r="GF71" s="749"/>
      <c r="GG71" s="749"/>
      <c r="GH71" s="749"/>
      <c r="GI71" s="749"/>
      <c r="GJ71" s="749"/>
      <c r="GK71" s="749"/>
      <c r="GL71" s="749"/>
      <c r="GM71" s="749"/>
      <c r="GN71" s="749"/>
      <c r="GO71" s="749"/>
      <c r="GP71" s="749"/>
      <c r="GQ71" s="749"/>
      <c r="GR71" s="749"/>
      <c r="GS71" s="749"/>
      <c r="GT71" s="749"/>
      <c r="GU71" s="749"/>
      <c r="GV71" s="749"/>
      <c r="GW71" s="749"/>
      <c r="GX71" s="749"/>
      <c r="GY71" s="749"/>
      <c r="GZ71" s="749"/>
      <c r="HA71" s="749"/>
      <c r="HB71" s="749"/>
      <c r="HC71" s="749"/>
      <c r="HD71" s="749"/>
      <c r="HE71" s="749"/>
      <c r="HF71" s="749"/>
      <c r="HG71" s="749"/>
      <c r="HH71" s="749"/>
      <c r="HI71" s="749"/>
      <c r="HJ71" s="749"/>
      <c r="HK71" s="749"/>
      <c r="HL71" s="749"/>
      <c r="HM71" s="749"/>
    </row>
    <row r="72" spans="1:221" ht="12.75" customHeight="1">
      <c r="A72" s="767"/>
      <c r="B72" s="846"/>
      <c r="C72" s="838"/>
      <c r="D72" s="836"/>
      <c r="E72" s="838"/>
      <c r="F72" s="872"/>
      <c r="G72" s="838"/>
      <c r="H72" s="872"/>
      <c r="I72" s="838"/>
      <c r="J72" s="872"/>
      <c r="K72" s="838"/>
      <c r="L72" s="872"/>
      <c r="M72" s="838"/>
      <c r="N72" s="836"/>
      <c r="O72" s="844"/>
      <c r="P72" s="920"/>
      <c r="Q72" s="921"/>
      <c r="R72" s="922"/>
      <c r="S72" s="998"/>
      <c r="T72" s="999"/>
      <c r="U72" s="999"/>
      <c r="V72" s="1000"/>
      <c r="W72" s="749"/>
      <c r="X72" s="749"/>
      <c r="Y72" s="749"/>
      <c r="Z72" s="749"/>
      <c r="AA72" s="749"/>
      <c r="AB72" s="749"/>
      <c r="AC72" s="749"/>
      <c r="AD72" s="749"/>
      <c r="AE72" s="749"/>
      <c r="AF72" s="749"/>
      <c r="AG72" s="749"/>
      <c r="AH72" s="749"/>
      <c r="AI72" s="749"/>
      <c r="AJ72" s="749"/>
      <c r="AK72" s="749"/>
      <c r="AL72" s="749"/>
      <c r="AM72" s="749"/>
      <c r="AN72" s="749"/>
      <c r="AO72" s="749"/>
      <c r="AP72" s="749"/>
      <c r="AQ72" s="749"/>
      <c r="AR72" s="749"/>
      <c r="AS72" s="749"/>
      <c r="AT72" s="749"/>
      <c r="AU72" s="749"/>
      <c r="AV72" s="749"/>
      <c r="AW72" s="749"/>
      <c r="AX72" s="749"/>
      <c r="AY72" s="749"/>
      <c r="AZ72" s="749"/>
      <c r="BA72" s="749"/>
      <c r="BB72" s="749"/>
      <c r="BC72" s="749"/>
      <c r="BD72" s="749"/>
      <c r="BE72" s="749"/>
      <c r="BF72" s="749"/>
      <c r="BG72" s="749"/>
      <c r="BH72" s="749"/>
      <c r="BI72" s="749"/>
      <c r="BJ72" s="749"/>
      <c r="BK72" s="749"/>
      <c r="BL72" s="749"/>
      <c r="BM72" s="749"/>
      <c r="BN72" s="749"/>
      <c r="BO72" s="749"/>
      <c r="BP72" s="749"/>
      <c r="BQ72" s="749"/>
      <c r="BR72" s="749"/>
      <c r="BS72" s="749"/>
      <c r="BT72" s="749"/>
      <c r="BU72" s="749"/>
      <c r="BV72" s="749"/>
      <c r="BW72" s="749"/>
      <c r="BX72" s="749"/>
      <c r="BY72" s="749"/>
      <c r="BZ72" s="749"/>
      <c r="CA72" s="749"/>
      <c r="CB72" s="749"/>
      <c r="CC72" s="749"/>
      <c r="CD72" s="749"/>
      <c r="CE72" s="749"/>
      <c r="CF72" s="749"/>
      <c r="CG72" s="749"/>
      <c r="CH72" s="749"/>
      <c r="CI72" s="749"/>
      <c r="CJ72" s="749"/>
      <c r="CK72" s="749"/>
      <c r="CL72" s="749"/>
      <c r="CM72" s="749"/>
      <c r="CN72" s="749"/>
      <c r="CO72" s="749"/>
      <c r="CP72" s="749"/>
      <c r="CQ72" s="749"/>
      <c r="CR72" s="749"/>
      <c r="CS72" s="749"/>
      <c r="CT72" s="749"/>
      <c r="CU72" s="749"/>
      <c r="CV72" s="749"/>
      <c r="CW72" s="749"/>
      <c r="CX72" s="749"/>
      <c r="CY72" s="749"/>
      <c r="CZ72" s="749"/>
      <c r="DA72" s="749"/>
      <c r="DB72" s="749"/>
      <c r="DC72" s="749"/>
      <c r="DD72" s="749"/>
      <c r="DE72" s="749"/>
      <c r="DF72" s="749"/>
      <c r="DG72" s="749"/>
      <c r="DH72" s="749"/>
      <c r="DI72" s="749"/>
      <c r="DJ72" s="749"/>
      <c r="DK72" s="749"/>
      <c r="DL72" s="749"/>
      <c r="DM72" s="749"/>
      <c r="DN72" s="749"/>
      <c r="DO72" s="749"/>
      <c r="DP72" s="749"/>
      <c r="DQ72" s="749"/>
      <c r="DR72" s="749"/>
      <c r="DS72" s="749"/>
      <c r="DT72" s="749"/>
      <c r="DU72" s="749"/>
      <c r="DV72" s="749"/>
      <c r="DW72" s="749"/>
      <c r="DX72" s="749"/>
      <c r="DY72" s="749"/>
      <c r="DZ72" s="749"/>
      <c r="EA72" s="749"/>
      <c r="EB72" s="749"/>
      <c r="EC72" s="749"/>
      <c r="ED72" s="749"/>
      <c r="EE72" s="749"/>
      <c r="EF72" s="749"/>
      <c r="EG72" s="749"/>
      <c r="EH72" s="749"/>
      <c r="EI72" s="749"/>
      <c r="EJ72" s="749"/>
      <c r="EK72" s="749"/>
      <c r="EL72" s="749"/>
      <c r="EM72" s="749"/>
      <c r="EN72" s="749"/>
      <c r="EO72" s="749"/>
      <c r="EP72" s="749"/>
      <c r="EQ72" s="749"/>
      <c r="ER72" s="749"/>
      <c r="ES72" s="749"/>
      <c r="ET72" s="749"/>
      <c r="EU72" s="749"/>
      <c r="EV72" s="749"/>
      <c r="EW72" s="749"/>
      <c r="EX72" s="749"/>
      <c r="EY72" s="749"/>
      <c r="EZ72" s="749"/>
      <c r="FA72" s="749"/>
      <c r="FB72" s="749"/>
      <c r="FC72" s="749"/>
      <c r="FD72" s="749"/>
      <c r="FE72" s="749"/>
      <c r="FF72" s="749"/>
      <c r="FG72" s="749"/>
      <c r="FH72" s="749"/>
      <c r="FI72" s="749"/>
      <c r="FJ72" s="749"/>
      <c r="FK72" s="749"/>
      <c r="FL72" s="749"/>
      <c r="FM72" s="749"/>
      <c r="FN72" s="749"/>
      <c r="FO72" s="749"/>
      <c r="FP72" s="749"/>
      <c r="FQ72" s="749"/>
      <c r="FR72" s="749"/>
      <c r="FS72" s="749"/>
      <c r="FT72" s="749"/>
      <c r="FU72" s="749"/>
      <c r="FV72" s="749"/>
      <c r="FW72" s="749"/>
      <c r="FX72" s="749"/>
      <c r="FY72" s="749"/>
      <c r="FZ72" s="749"/>
      <c r="GA72" s="749"/>
      <c r="GB72" s="749"/>
      <c r="GC72" s="749"/>
      <c r="GD72" s="749"/>
      <c r="GE72" s="749"/>
      <c r="GF72" s="749"/>
      <c r="GG72" s="749"/>
      <c r="GH72" s="749"/>
      <c r="GI72" s="749"/>
      <c r="GJ72" s="749"/>
      <c r="GK72" s="749"/>
      <c r="GL72" s="749"/>
      <c r="GM72" s="749"/>
      <c r="GN72" s="749"/>
      <c r="GO72" s="749"/>
      <c r="GP72" s="749"/>
      <c r="GQ72" s="749"/>
      <c r="GR72" s="749"/>
      <c r="GS72" s="749"/>
      <c r="GT72" s="749"/>
      <c r="GU72" s="749"/>
      <c r="GV72" s="749"/>
      <c r="GW72" s="749"/>
      <c r="GX72" s="749"/>
      <c r="GY72" s="749"/>
      <c r="GZ72" s="749"/>
      <c r="HA72" s="749"/>
      <c r="HB72" s="749"/>
      <c r="HC72" s="749"/>
      <c r="HD72" s="749"/>
      <c r="HE72" s="749"/>
      <c r="HF72" s="749"/>
      <c r="HG72" s="749"/>
      <c r="HH72" s="749"/>
      <c r="HI72" s="749"/>
      <c r="HJ72" s="749"/>
      <c r="HK72" s="749"/>
      <c r="HL72" s="749"/>
      <c r="HM72" s="749"/>
    </row>
    <row r="73" spans="1:221" ht="12.75" customHeight="1">
      <c r="A73" s="767"/>
      <c r="B73" s="846"/>
      <c r="C73" s="838"/>
      <c r="D73" s="836"/>
      <c r="E73" s="838"/>
      <c r="F73" s="872"/>
      <c r="G73" s="838"/>
      <c r="H73" s="872"/>
      <c r="I73" s="838"/>
      <c r="J73" s="872"/>
      <c r="K73" s="838"/>
      <c r="L73" s="872"/>
      <c r="M73" s="838"/>
      <c r="N73" s="836"/>
      <c r="O73" s="844"/>
      <c r="P73" s="920"/>
      <c r="Q73" s="921"/>
      <c r="R73" s="922"/>
      <c r="S73" s="998"/>
      <c r="T73" s="999"/>
      <c r="U73" s="999"/>
      <c r="V73" s="1000"/>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49"/>
      <c r="AY73" s="749"/>
      <c r="AZ73" s="749"/>
      <c r="BA73" s="749"/>
      <c r="BB73" s="749"/>
      <c r="BC73" s="749"/>
      <c r="BD73" s="749"/>
      <c r="BE73" s="749"/>
      <c r="BF73" s="749"/>
      <c r="BG73" s="749"/>
      <c r="BH73" s="749"/>
      <c r="BI73" s="749"/>
      <c r="BJ73" s="749"/>
      <c r="BK73" s="749"/>
      <c r="BL73" s="749"/>
      <c r="BM73" s="749"/>
      <c r="BN73" s="749"/>
      <c r="BO73" s="749"/>
      <c r="BP73" s="749"/>
      <c r="BQ73" s="749"/>
      <c r="BR73" s="749"/>
      <c r="BS73" s="749"/>
      <c r="BT73" s="749"/>
      <c r="BU73" s="749"/>
      <c r="BV73" s="749"/>
      <c r="BW73" s="749"/>
      <c r="BX73" s="749"/>
      <c r="BY73" s="749"/>
      <c r="BZ73" s="749"/>
      <c r="CA73" s="749"/>
      <c r="CB73" s="749"/>
      <c r="CC73" s="749"/>
      <c r="CD73" s="749"/>
      <c r="CE73" s="749"/>
      <c r="CF73" s="749"/>
      <c r="CG73" s="749"/>
      <c r="CH73" s="749"/>
      <c r="CI73" s="749"/>
      <c r="CJ73" s="749"/>
      <c r="CK73" s="749"/>
      <c r="CL73" s="749"/>
      <c r="CM73" s="749"/>
      <c r="CN73" s="749"/>
      <c r="CO73" s="749"/>
      <c r="CP73" s="749"/>
      <c r="CQ73" s="749"/>
      <c r="CR73" s="749"/>
      <c r="CS73" s="749"/>
      <c r="CT73" s="749"/>
      <c r="CU73" s="749"/>
      <c r="CV73" s="749"/>
      <c r="CW73" s="749"/>
      <c r="CX73" s="749"/>
      <c r="CY73" s="749"/>
      <c r="CZ73" s="749"/>
      <c r="DA73" s="749"/>
      <c r="DB73" s="749"/>
      <c r="DC73" s="749"/>
      <c r="DD73" s="749"/>
      <c r="DE73" s="749"/>
      <c r="DF73" s="749"/>
      <c r="DG73" s="749"/>
      <c r="DH73" s="749"/>
      <c r="DI73" s="749"/>
      <c r="DJ73" s="749"/>
      <c r="DK73" s="749"/>
      <c r="DL73" s="749"/>
      <c r="DM73" s="749"/>
      <c r="DN73" s="749"/>
      <c r="DO73" s="749"/>
      <c r="DP73" s="749"/>
      <c r="DQ73" s="749"/>
      <c r="DR73" s="749"/>
      <c r="DS73" s="749"/>
      <c r="DT73" s="749"/>
      <c r="DU73" s="749"/>
      <c r="DV73" s="749"/>
      <c r="DW73" s="749"/>
      <c r="DX73" s="749"/>
      <c r="DY73" s="749"/>
      <c r="DZ73" s="749"/>
      <c r="EA73" s="749"/>
      <c r="EB73" s="749"/>
      <c r="EC73" s="749"/>
      <c r="ED73" s="749"/>
      <c r="EE73" s="749"/>
      <c r="EF73" s="749"/>
      <c r="EG73" s="749"/>
      <c r="EH73" s="749"/>
      <c r="EI73" s="749"/>
      <c r="EJ73" s="749"/>
      <c r="EK73" s="749"/>
      <c r="EL73" s="749"/>
      <c r="EM73" s="749"/>
      <c r="EN73" s="749"/>
      <c r="EO73" s="749"/>
      <c r="EP73" s="749"/>
      <c r="EQ73" s="749"/>
      <c r="ER73" s="749"/>
      <c r="ES73" s="749"/>
      <c r="ET73" s="749"/>
      <c r="EU73" s="749"/>
      <c r="EV73" s="749"/>
      <c r="EW73" s="749"/>
      <c r="EX73" s="749"/>
      <c r="EY73" s="749"/>
      <c r="EZ73" s="749"/>
      <c r="FA73" s="749"/>
      <c r="FB73" s="749"/>
      <c r="FC73" s="749"/>
      <c r="FD73" s="749"/>
      <c r="FE73" s="749"/>
      <c r="FF73" s="749"/>
      <c r="FG73" s="749"/>
      <c r="FH73" s="749"/>
      <c r="FI73" s="749"/>
      <c r="FJ73" s="749"/>
      <c r="FK73" s="749"/>
      <c r="FL73" s="749"/>
      <c r="FM73" s="749"/>
      <c r="FN73" s="749"/>
      <c r="FO73" s="749"/>
      <c r="FP73" s="749"/>
      <c r="FQ73" s="749"/>
      <c r="FR73" s="749"/>
      <c r="FS73" s="749"/>
      <c r="FT73" s="749"/>
      <c r="FU73" s="749"/>
      <c r="FV73" s="749"/>
      <c r="FW73" s="749"/>
      <c r="FX73" s="749"/>
      <c r="FY73" s="749"/>
      <c r="FZ73" s="749"/>
      <c r="GA73" s="749"/>
      <c r="GB73" s="749"/>
      <c r="GC73" s="749"/>
      <c r="GD73" s="749"/>
      <c r="GE73" s="749"/>
      <c r="GF73" s="749"/>
      <c r="GG73" s="749"/>
      <c r="GH73" s="749"/>
      <c r="GI73" s="749"/>
      <c r="GJ73" s="749"/>
      <c r="GK73" s="749"/>
      <c r="GL73" s="749"/>
      <c r="GM73" s="749"/>
      <c r="GN73" s="749"/>
      <c r="GO73" s="749"/>
      <c r="GP73" s="749"/>
      <c r="GQ73" s="749"/>
      <c r="GR73" s="749"/>
      <c r="GS73" s="749"/>
      <c r="GT73" s="749"/>
      <c r="GU73" s="749"/>
      <c r="GV73" s="749"/>
      <c r="GW73" s="749"/>
      <c r="GX73" s="749"/>
      <c r="GY73" s="749"/>
      <c r="GZ73" s="749"/>
      <c r="HA73" s="749"/>
      <c r="HB73" s="749"/>
      <c r="HC73" s="749"/>
      <c r="HD73" s="749"/>
      <c r="HE73" s="749"/>
      <c r="HF73" s="749"/>
      <c r="HG73" s="749"/>
      <c r="HH73" s="749"/>
      <c r="HI73" s="749"/>
      <c r="HJ73" s="749"/>
      <c r="HK73" s="749"/>
      <c r="HL73" s="749"/>
      <c r="HM73" s="749"/>
    </row>
    <row r="74" spans="1:221" ht="12.75" customHeight="1">
      <c r="A74" s="3"/>
      <c r="B74" s="857" t="s">
        <v>13</v>
      </c>
      <c r="C74" s="879"/>
      <c r="D74" s="885" t="e">
        <f>E74/$E$27</f>
        <v>#DIV/0!</v>
      </c>
      <c r="E74" s="879">
        <f t="shared" ref="E74:E75" si="26">G74+M74+N74+O74</f>
        <v>0</v>
      </c>
      <c r="F74" s="876" t="e">
        <f t="shared" ref="F74:F75" si="27">G74/$G$27</f>
        <v>#DIV/0!</v>
      </c>
      <c r="G74" s="879">
        <f t="shared" ref="G74:G76" si="28">I74+K74</f>
        <v>0</v>
      </c>
      <c r="H74" s="876">
        <f>'TAB 3 Project Cost'!F32</f>
        <v>0.01</v>
      </c>
      <c r="I74" s="879">
        <f>'TAB 3 Project Cost'!G32</f>
        <v>0</v>
      </c>
      <c r="J74" s="876">
        <f>'TAB 3 Project Cost'!F63</f>
        <v>0.01</v>
      </c>
      <c r="K74" s="879">
        <f>'TAB 3 Project Cost'!G63</f>
        <v>0</v>
      </c>
      <c r="L74" s="876">
        <f>'TAB 3 Project Cost'!F103</f>
        <v>0.01</v>
      </c>
      <c r="M74" s="879">
        <f>'TAB 3 Project Cost'!G103</f>
        <v>0</v>
      </c>
      <c r="N74" s="868"/>
      <c r="O74" s="851"/>
      <c r="P74" s="923">
        <f>'TAB 3 Project Cost'!AC63</f>
        <v>0</v>
      </c>
      <c r="Q74" s="924">
        <f>'TAB 3 Project Cost'!AD63</f>
        <v>0</v>
      </c>
      <c r="R74" s="925">
        <f>'TAB 3 Project Cost'!AE63</f>
        <v>0</v>
      </c>
      <c r="S74" s="995">
        <f>'TAB 3 Project Cost'!AA103</f>
        <v>0</v>
      </c>
      <c r="T74" s="996">
        <f>'TAB 3 Project Cost'!AB103</f>
        <v>0</v>
      </c>
      <c r="U74" s="996">
        <f>'TAB 3 Project Cost'!AC103</f>
        <v>0</v>
      </c>
      <c r="V74" s="997">
        <f>'TAB 3 Project Cost'!AD103</f>
        <v>0</v>
      </c>
      <c r="W74" s="749"/>
      <c r="X74" s="749"/>
      <c r="Y74" s="749"/>
      <c r="Z74" s="749"/>
      <c r="AA74" s="749"/>
      <c r="AB74" s="749"/>
      <c r="AC74" s="749"/>
      <c r="AD74" s="749"/>
      <c r="AE74" s="749"/>
      <c r="AF74" s="749"/>
      <c r="AG74" s="749"/>
      <c r="AH74" s="749"/>
      <c r="AI74" s="749"/>
      <c r="AJ74" s="749"/>
      <c r="AK74" s="749"/>
      <c r="AL74" s="749"/>
      <c r="AM74" s="749"/>
      <c r="AN74" s="749"/>
      <c r="AO74" s="749"/>
      <c r="AP74" s="749"/>
      <c r="AQ74" s="749"/>
      <c r="AR74" s="749"/>
      <c r="AS74" s="749"/>
      <c r="AT74" s="749"/>
      <c r="AU74" s="749"/>
      <c r="AV74" s="749"/>
      <c r="AW74" s="749"/>
      <c r="AX74" s="749"/>
      <c r="AY74" s="749"/>
      <c r="AZ74" s="749"/>
      <c r="BA74" s="749"/>
      <c r="BB74" s="749"/>
      <c r="BC74" s="749"/>
      <c r="BD74" s="749"/>
      <c r="BE74" s="749"/>
      <c r="BF74" s="749"/>
      <c r="BG74" s="749"/>
      <c r="BH74" s="749"/>
      <c r="BI74" s="749"/>
      <c r="BJ74" s="749"/>
      <c r="BK74" s="749"/>
      <c r="BL74" s="749"/>
      <c r="BM74" s="749"/>
      <c r="BN74" s="749"/>
      <c r="BO74" s="749"/>
      <c r="BP74" s="749"/>
      <c r="BQ74" s="749"/>
      <c r="BR74" s="749"/>
      <c r="BS74" s="749"/>
      <c r="BT74" s="749"/>
      <c r="BU74" s="749"/>
      <c r="BV74" s="749"/>
      <c r="BW74" s="749"/>
      <c r="BX74" s="749"/>
      <c r="BY74" s="749"/>
      <c r="BZ74" s="749"/>
      <c r="CA74" s="749"/>
      <c r="CB74" s="749"/>
      <c r="CC74" s="749"/>
      <c r="CD74" s="749"/>
      <c r="CE74" s="749"/>
      <c r="CF74" s="749"/>
      <c r="CG74" s="749"/>
      <c r="CH74" s="749"/>
      <c r="CI74" s="749"/>
      <c r="CJ74" s="749"/>
      <c r="CK74" s="749"/>
      <c r="CL74" s="749"/>
      <c r="CM74" s="749"/>
      <c r="CN74" s="749"/>
      <c r="CO74" s="749"/>
      <c r="CP74" s="749"/>
      <c r="CQ74" s="749"/>
      <c r="CR74" s="749"/>
      <c r="CS74" s="749"/>
      <c r="CT74" s="749"/>
      <c r="CU74" s="749"/>
      <c r="CV74" s="749"/>
      <c r="CW74" s="749"/>
      <c r="CX74" s="749"/>
      <c r="CY74" s="749"/>
      <c r="CZ74" s="749"/>
      <c r="DA74" s="749"/>
      <c r="DB74" s="749"/>
      <c r="DC74" s="749"/>
      <c r="DD74" s="749"/>
      <c r="DE74" s="749"/>
      <c r="DF74" s="749"/>
      <c r="DG74" s="749"/>
      <c r="DH74" s="749"/>
      <c r="DI74" s="749"/>
      <c r="DJ74" s="749"/>
      <c r="DK74" s="749"/>
      <c r="DL74" s="749"/>
      <c r="DM74" s="749"/>
      <c r="DN74" s="749"/>
      <c r="DO74" s="749"/>
      <c r="DP74" s="749"/>
      <c r="DQ74" s="749"/>
      <c r="DR74" s="749"/>
      <c r="DS74" s="749"/>
      <c r="DT74" s="749"/>
      <c r="DU74" s="749"/>
      <c r="DV74" s="749"/>
      <c r="DW74" s="749"/>
      <c r="DX74" s="749"/>
      <c r="DY74" s="749"/>
      <c r="DZ74" s="749"/>
      <c r="EA74" s="749"/>
      <c r="EB74" s="749"/>
      <c r="EC74" s="749"/>
      <c r="ED74" s="749"/>
      <c r="EE74" s="749"/>
      <c r="EF74" s="749"/>
      <c r="EG74" s="749"/>
      <c r="EH74" s="749"/>
      <c r="EI74" s="749"/>
      <c r="EJ74" s="749"/>
      <c r="EK74" s="749"/>
      <c r="EL74" s="749"/>
      <c r="EM74" s="749"/>
      <c r="EN74" s="749"/>
      <c r="EO74" s="749"/>
      <c r="EP74" s="749"/>
      <c r="EQ74" s="749"/>
      <c r="ER74" s="749"/>
      <c r="ES74" s="749"/>
      <c r="ET74" s="749"/>
      <c r="EU74" s="749"/>
      <c r="EV74" s="749"/>
      <c r="EW74" s="749"/>
      <c r="EX74" s="749"/>
      <c r="EY74" s="749"/>
      <c r="EZ74" s="749"/>
      <c r="FA74" s="749"/>
      <c r="FB74" s="749"/>
      <c r="FC74" s="749"/>
      <c r="FD74" s="749"/>
      <c r="FE74" s="749"/>
      <c r="FF74" s="749"/>
      <c r="FG74" s="749"/>
      <c r="FH74" s="749"/>
      <c r="FI74" s="749"/>
      <c r="FJ74" s="749"/>
      <c r="FK74" s="749"/>
      <c r="FL74" s="749"/>
      <c r="FM74" s="749"/>
      <c r="FN74" s="749"/>
      <c r="FO74" s="749"/>
      <c r="FP74" s="749"/>
      <c r="FQ74" s="749"/>
      <c r="FR74" s="749"/>
      <c r="FS74" s="749"/>
      <c r="FT74" s="749"/>
      <c r="FU74" s="749"/>
      <c r="FV74" s="749"/>
      <c r="FW74" s="749"/>
      <c r="FX74" s="749"/>
      <c r="FY74" s="749"/>
      <c r="FZ74" s="749"/>
      <c r="GA74" s="749"/>
      <c r="GB74" s="749"/>
      <c r="GC74" s="749"/>
      <c r="GD74" s="749"/>
      <c r="GE74" s="749"/>
      <c r="GF74" s="749"/>
      <c r="GG74" s="749"/>
      <c r="GH74" s="749"/>
      <c r="GI74" s="749"/>
      <c r="GJ74" s="749"/>
      <c r="GK74" s="749"/>
      <c r="GL74" s="749"/>
      <c r="GM74" s="749"/>
      <c r="GN74" s="749"/>
      <c r="GO74" s="749"/>
      <c r="GP74" s="749"/>
      <c r="GQ74" s="749"/>
      <c r="GR74" s="749"/>
      <c r="GS74" s="749"/>
      <c r="GT74" s="749"/>
      <c r="GU74" s="749"/>
      <c r="GV74" s="749"/>
      <c r="GW74" s="749"/>
      <c r="GX74" s="749"/>
      <c r="GY74" s="749"/>
      <c r="GZ74" s="749"/>
      <c r="HA74" s="749"/>
      <c r="HB74" s="749"/>
      <c r="HC74" s="749"/>
      <c r="HD74" s="749"/>
      <c r="HE74" s="749"/>
      <c r="HF74" s="749"/>
      <c r="HG74" s="749"/>
      <c r="HH74" s="749"/>
      <c r="HI74" s="749"/>
      <c r="HJ74" s="749"/>
      <c r="HK74" s="749"/>
      <c r="HL74" s="749"/>
      <c r="HM74" s="749"/>
    </row>
    <row r="75" spans="1:221" ht="13.5" thickBot="1">
      <c r="A75" s="3"/>
      <c r="B75" s="538" t="s">
        <v>7531</v>
      </c>
      <c r="C75" s="884"/>
      <c r="D75" s="869" t="e">
        <f>E75/$E$27</f>
        <v>#DIV/0!</v>
      </c>
      <c r="E75" s="884">
        <f t="shared" si="26"/>
        <v>0</v>
      </c>
      <c r="F75" s="883" t="e">
        <f t="shared" si="27"/>
        <v>#DIV/0!</v>
      </c>
      <c r="G75" s="884">
        <f t="shared" si="28"/>
        <v>0</v>
      </c>
      <c r="H75" s="883">
        <f>H71+H74</f>
        <v>1.4999999999999999E-2</v>
      </c>
      <c r="I75" s="884">
        <f>I71+I74</f>
        <v>0</v>
      </c>
      <c r="J75" s="883">
        <f>J71+J74</f>
        <v>1.4999999999999999E-2</v>
      </c>
      <c r="K75" s="884">
        <f>K71+K74</f>
        <v>0</v>
      </c>
      <c r="L75" s="883"/>
      <c r="M75" s="910"/>
      <c r="N75" s="911"/>
      <c r="O75" s="912"/>
      <c r="P75" s="929"/>
      <c r="Q75" s="930"/>
      <c r="R75" s="931"/>
      <c r="S75" s="1004"/>
      <c r="T75" s="1005"/>
      <c r="U75" s="1005"/>
      <c r="V75" s="1006"/>
      <c r="W75" s="749"/>
      <c r="X75" s="749"/>
      <c r="Y75" s="749"/>
      <c r="Z75" s="749"/>
      <c r="AA75" s="749"/>
      <c r="AB75" s="749"/>
      <c r="AC75" s="749"/>
      <c r="AD75" s="749"/>
      <c r="AE75" s="749"/>
      <c r="AF75" s="749"/>
      <c r="AG75" s="749"/>
      <c r="AH75" s="749"/>
      <c r="AI75" s="749"/>
      <c r="AJ75" s="749"/>
      <c r="AK75" s="749"/>
      <c r="AL75" s="749"/>
      <c r="AM75" s="749"/>
      <c r="AN75" s="749"/>
      <c r="AO75" s="749"/>
      <c r="AP75" s="749"/>
      <c r="AQ75" s="749"/>
      <c r="AR75" s="749"/>
      <c r="AS75" s="749"/>
      <c r="AT75" s="749"/>
      <c r="AU75" s="749"/>
      <c r="AV75" s="749"/>
      <c r="AW75" s="749"/>
      <c r="AX75" s="749"/>
      <c r="AY75" s="749"/>
      <c r="AZ75" s="749"/>
      <c r="BA75" s="749"/>
      <c r="BB75" s="749"/>
      <c r="BC75" s="749"/>
      <c r="BD75" s="749"/>
      <c r="BE75" s="749"/>
      <c r="BF75" s="749"/>
      <c r="BG75" s="749"/>
      <c r="BH75" s="749"/>
      <c r="BI75" s="749"/>
      <c r="BJ75" s="749"/>
      <c r="BK75" s="749"/>
      <c r="BL75" s="749"/>
      <c r="BM75" s="749"/>
      <c r="BN75" s="749"/>
      <c r="BO75" s="749"/>
      <c r="BP75" s="749"/>
      <c r="BQ75" s="749"/>
      <c r="BR75" s="749"/>
      <c r="BS75" s="749"/>
      <c r="BT75" s="749"/>
      <c r="BU75" s="749"/>
      <c r="BV75" s="749"/>
      <c r="BW75" s="749"/>
      <c r="BX75" s="749"/>
      <c r="BY75" s="749"/>
      <c r="BZ75" s="749"/>
      <c r="CA75" s="749"/>
      <c r="CB75" s="749"/>
      <c r="CC75" s="749"/>
      <c r="CD75" s="749"/>
      <c r="CE75" s="749"/>
      <c r="CF75" s="749"/>
      <c r="CG75" s="749"/>
      <c r="CH75" s="749"/>
      <c r="CI75" s="749"/>
      <c r="CJ75" s="749"/>
      <c r="CK75" s="749"/>
      <c r="CL75" s="749"/>
      <c r="CM75" s="749"/>
      <c r="CN75" s="749"/>
      <c r="CO75" s="749"/>
      <c r="CP75" s="749"/>
      <c r="CQ75" s="749"/>
      <c r="CR75" s="749"/>
      <c r="CS75" s="749"/>
      <c r="CT75" s="749"/>
      <c r="CU75" s="749"/>
      <c r="CV75" s="749"/>
      <c r="CW75" s="749"/>
      <c r="CX75" s="749"/>
      <c r="CY75" s="749"/>
      <c r="CZ75" s="749"/>
      <c r="DA75" s="749"/>
      <c r="DB75" s="749"/>
      <c r="DC75" s="749"/>
      <c r="DD75" s="749"/>
      <c r="DE75" s="749"/>
      <c r="DF75" s="749"/>
      <c r="DG75" s="749"/>
      <c r="DH75" s="749"/>
      <c r="DI75" s="749"/>
      <c r="DJ75" s="749"/>
      <c r="DK75" s="749"/>
      <c r="DL75" s="749"/>
      <c r="DM75" s="749"/>
      <c r="DN75" s="749"/>
      <c r="DO75" s="749"/>
      <c r="DP75" s="749"/>
      <c r="DQ75" s="749"/>
      <c r="DR75" s="749"/>
      <c r="DS75" s="749"/>
      <c r="DT75" s="749"/>
      <c r="DU75" s="749"/>
      <c r="DV75" s="749"/>
      <c r="DW75" s="749"/>
      <c r="DX75" s="749"/>
      <c r="DY75" s="749"/>
      <c r="DZ75" s="749"/>
      <c r="EA75" s="749"/>
      <c r="EB75" s="749"/>
      <c r="EC75" s="749"/>
      <c r="ED75" s="749"/>
      <c r="EE75" s="749"/>
      <c r="EF75" s="749"/>
      <c r="EG75" s="749"/>
      <c r="EH75" s="749"/>
      <c r="EI75" s="749"/>
      <c r="EJ75" s="749"/>
      <c r="EK75" s="749"/>
      <c r="EL75" s="749"/>
      <c r="EM75" s="749"/>
      <c r="EN75" s="749"/>
      <c r="EO75" s="749"/>
      <c r="EP75" s="749"/>
      <c r="EQ75" s="749"/>
      <c r="ER75" s="749"/>
      <c r="ES75" s="749"/>
      <c r="ET75" s="749"/>
      <c r="EU75" s="749"/>
      <c r="EV75" s="749"/>
      <c r="EW75" s="749"/>
      <c r="EX75" s="749"/>
      <c r="EY75" s="749"/>
      <c r="EZ75" s="749"/>
      <c r="FA75" s="749"/>
      <c r="FB75" s="749"/>
      <c r="FC75" s="749"/>
      <c r="FD75" s="749"/>
      <c r="FE75" s="749"/>
      <c r="FF75" s="749"/>
      <c r="FG75" s="749"/>
      <c r="FH75" s="749"/>
      <c r="FI75" s="749"/>
      <c r="FJ75" s="749"/>
      <c r="FK75" s="749"/>
      <c r="FL75" s="749"/>
      <c r="FM75" s="749"/>
      <c r="FN75" s="749"/>
      <c r="FO75" s="749"/>
      <c r="FP75" s="749"/>
      <c r="FQ75" s="749"/>
      <c r="FR75" s="749"/>
      <c r="FS75" s="749"/>
      <c r="FT75" s="749"/>
      <c r="FU75" s="749"/>
      <c r="FV75" s="749"/>
      <c r="FW75" s="749"/>
      <c r="FX75" s="749"/>
      <c r="FY75" s="749"/>
      <c r="FZ75" s="749"/>
      <c r="GA75" s="749"/>
      <c r="GB75" s="749"/>
      <c r="GC75" s="749"/>
      <c r="GD75" s="749"/>
      <c r="GE75" s="749"/>
      <c r="GF75" s="749"/>
      <c r="GG75" s="749"/>
      <c r="GH75" s="749"/>
      <c r="GI75" s="749"/>
      <c r="GJ75" s="749"/>
      <c r="GK75" s="749"/>
      <c r="GL75" s="749"/>
      <c r="GM75" s="749"/>
      <c r="GN75" s="749"/>
      <c r="GO75" s="749"/>
      <c r="GP75" s="749"/>
      <c r="GQ75" s="749"/>
      <c r="GR75" s="749"/>
      <c r="GS75" s="749"/>
      <c r="GT75" s="749"/>
      <c r="GU75" s="749"/>
      <c r="GV75" s="749"/>
      <c r="GW75" s="749"/>
      <c r="GX75" s="749"/>
      <c r="GY75" s="749"/>
      <c r="GZ75" s="749"/>
      <c r="HA75" s="749"/>
      <c r="HB75" s="749"/>
      <c r="HC75" s="749"/>
      <c r="HD75" s="749"/>
      <c r="HE75" s="749"/>
      <c r="HF75" s="749"/>
      <c r="HG75" s="749"/>
      <c r="HH75" s="749"/>
      <c r="HI75" s="749"/>
      <c r="HJ75" s="749"/>
      <c r="HK75" s="749"/>
      <c r="HL75" s="749"/>
      <c r="HM75" s="749"/>
    </row>
    <row r="76" spans="1:221" ht="13.5" thickBot="1">
      <c r="A76" s="3"/>
      <c r="B76" s="858" t="s">
        <v>7536</v>
      </c>
      <c r="C76" s="906"/>
      <c r="D76" s="907"/>
      <c r="E76" s="906"/>
      <c r="F76" s="908"/>
      <c r="G76" s="906">
        <f t="shared" si="28"/>
        <v>0</v>
      </c>
      <c r="H76" s="908"/>
      <c r="I76" s="906">
        <f>'TAB 3 Project Cost'!G34</f>
        <v>0</v>
      </c>
      <c r="J76" s="908"/>
      <c r="K76" s="906">
        <f>'TAB 3 Project Cost'!G65</f>
        <v>0</v>
      </c>
      <c r="L76" s="908"/>
      <c r="M76" s="906">
        <f>'TAB 3 Project Cost'!G104</f>
        <v>0</v>
      </c>
      <c r="N76" s="907">
        <f>'TAB 3 Project Cost'!G80</f>
        <v>0</v>
      </c>
      <c r="O76" s="909">
        <f>'TAB 3 Project Cost'!G112</f>
        <v>0</v>
      </c>
      <c r="P76" s="932">
        <f>SUM(P27:P74)</f>
        <v>0</v>
      </c>
      <c r="Q76" s="933">
        <f t="shared" ref="Q76:R76" si="29">SUM(Q27:Q74)</f>
        <v>0</v>
      </c>
      <c r="R76" s="934">
        <f t="shared" si="29"/>
        <v>0</v>
      </c>
      <c r="S76" s="1007">
        <f>SUM(S27:S74)</f>
        <v>0</v>
      </c>
      <c r="T76" s="1008">
        <f t="shared" ref="T76:V76" si="30">SUM(T27:T74)</f>
        <v>0</v>
      </c>
      <c r="U76" s="1008">
        <f t="shared" si="30"/>
        <v>0</v>
      </c>
      <c r="V76" s="1009">
        <f t="shared" si="30"/>
        <v>0</v>
      </c>
      <c r="W76" s="749"/>
      <c r="X76" s="749"/>
      <c r="Y76" s="749"/>
      <c r="Z76" s="749"/>
      <c r="AA76" s="749"/>
      <c r="AB76" s="749"/>
      <c r="AC76" s="749"/>
      <c r="AD76" s="749"/>
      <c r="AE76" s="749"/>
      <c r="AF76" s="749"/>
      <c r="AG76" s="749"/>
      <c r="AH76" s="749"/>
      <c r="AI76" s="749"/>
      <c r="AJ76" s="749"/>
      <c r="AK76" s="749"/>
      <c r="AL76" s="749"/>
      <c r="AM76" s="749"/>
      <c r="AN76" s="749"/>
      <c r="AO76" s="749"/>
      <c r="AP76" s="749"/>
      <c r="AQ76" s="749"/>
      <c r="AR76" s="749"/>
      <c r="AS76" s="749"/>
      <c r="AT76" s="749"/>
      <c r="AU76" s="749"/>
      <c r="AV76" s="749"/>
      <c r="AW76" s="749"/>
      <c r="AX76" s="749"/>
      <c r="AY76" s="749"/>
      <c r="AZ76" s="749"/>
      <c r="BA76" s="749"/>
      <c r="BB76" s="749"/>
      <c r="BC76" s="749"/>
      <c r="BD76" s="749"/>
      <c r="BE76" s="749"/>
      <c r="BF76" s="749"/>
      <c r="BG76" s="749"/>
      <c r="BH76" s="749"/>
      <c r="BI76" s="749"/>
      <c r="BJ76" s="749"/>
      <c r="BK76" s="749"/>
      <c r="BL76" s="749"/>
      <c r="BM76" s="749"/>
      <c r="BN76" s="749"/>
      <c r="BO76" s="749"/>
      <c r="BP76" s="749"/>
      <c r="BQ76" s="749"/>
      <c r="BR76" s="749"/>
      <c r="BS76" s="749"/>
      <c r="BT76" s="749"/>
      <c r="BU76" s="749"/>
      <c r="BV76" s="749"/>
      <c r="BW76" s="749"/>
      <c r="BX76" s="749"/>
      <c r="BY76" s="749"/>
      <c r="BZ76" s="749"/>
      <c r="CA76" s="749"/>
      <c r="CB76" s="749"/>
      <c r="CC76" s="749"/>
      <c r="CD76" s="749"/>
      <c r="CE76" s="749"/>
      <c r="CF76" s="749"/>
      <c r="CG76" s="749"/>
      <c r="CH76" s="749"/>
      <c r="CI76" s="749"/>
      <c r="CJ76" s="749"/>
      <c r="CK76" s="749"/>
      <c r="CL76" s="749"/>
      <c r="CM76" s="749"/>
      <c r="CN76" s="749"/>
      <c r="CO76" s="749"/>
      <c r="CP76" s="749"/>
      <c r="CQ76" s="749"/>
      <c r="CR76" s="749"/>
      <c r="CS76" s="749"/>
      <c r="CT76" s="749"/>
      <c r="CU76" s="749"/>
      <c r="CV76" s="749"/>
      <c r="CW76" s="749"/>
      <c r="CX76" s="749"/>
      <c r="CY76" s="749"/>
      <c r="CZ76" s="749"/>
      <c r="DA76" s="749"/>
      <c r="DB76" s="749"/>
      <c r="DC76" s="749"/>
      <c r="DD76" s="749"/>
      <c r="DE76" s="749"/>
      <c r="DF76" s="749"/>
      <c r="DG76" s="749"/>
      <c r="DH76" s="749"/>
      <c r="DI76" s="749"/>
      <c r="DJ76" s="749"/>
      <c r="DK76" s="749"/>
      <c r="DL76" s="749"/>
      <c r="DM76" s="749"/>
      <c r="DN76" s="749"/>
      <c r="DO76" s="749"/>
      <c r="DP76" s="749"/>
      <c r="DQ76" s="749"/>
      <c r="DR76" s="749"/>
      <c r="DS76" s="749"/>
      <c r="DT76" s="749"/>
      <c r="DU76" s="749"/>
      <c r="DV76" s="749"/>
      <c r="DW76" s="749"/>
      <c r="DX76" s="749"/>
      <c r="DY76" s="749"/>
      <c r="DZ76" s="749"/>
      <c r="EA76" s="749"/>
      <c r="EB76" s="749"/>
      <c r="EC76" s="749"/>
      <c r="ED76" s="749"/>
      <c r="EE76" s="749"/>
      <c r="EF76" s="749"/>
      <c r="EG76" s="749"/>
      <c r="EH76" s="749"/>
      <c r="EI76" s="749"/>
      <c r="EJ76" s="749"/>
      <c r="EK76" s="749"/>
      <c r="EL76" s="749"/>
      <c r="EM76" s="749"/>
      <c r="EN76" s="749"/>
      <c r="EO76" s="749"/>
      <c r="EP76" s="749"/>
      <c r="EQ76" s="749"/>
      <c r="ER76" s="749"/>
      <c r="ES76" s="749"/>
      <c r="ET76" s="749"/>
      <c r="EU76" s="749"/>
      <c r="EV76" s="749"/>
      <c r="EW76" s="749"/>
      <c r="EX76" s="749"/>
      <c r="EY76" s="749"/>
      <c r="EZ76" s="749"/>
      <c r="FA76" s="749"/>
      <c r="FB76" s="749"/>
      <c r="FC76" s="749"/>
      <c r="FD76" s="749"/>
      <c r="FE76" s="749"/>
      <c r="FF76" s="749"/>
      <c r="FG76" s="749"/>
      <c r="FH76" s="749"/>
      <c r="FI76" s="749"/>
      <c r="FJ76" s="749"/>
      <c r="FK76" s="749"/>
      <c r="FL76" s="749"/>
      <c r="FM76" s="749"/>
      <c r="FN76" s="749"/>
      <c r="FO76" s="749"/>
      <c r="FP76" s="749"/>
      <c r="FQ76" s="749"/>
      <c r="FR76" s="749"/>
      <c r="FS76" s="749"/>
      <c r="FT76" s="749"/>
      <c r="FU76" s="749"/>
      <c r="FV76" s="749"/>
      <c r="FW76" s="749"/>
      <c r="FX76" s="749"/>
      <c r="FY76" s="749"/>
      <c r="FZ76" s="749"/>
      <c r="GA76" s="749"/>
      <c r="GB76" s="749"/>
      <c r="GC76" s="749"/>
      <c r="GD76" s="749"/>
      <c r="GE76" s="749"/>
      <c r="GF76" s="749"/>
      <c r="GG76" s="749"/>
      <c r="GH76" s="749"/>
      <c r="GI76" s="749"/>
      <c r="GJ76" s="749"/>
      <c r="GK76" s="749"/>
      <c r="GL76" s="749"/>
      <c r="GM76" s="749"/>
      <c r="GN76" s="749"/>
      <c r="GO76" s="749"/>
      <c r="GP76" s="749"/>
      <c r="GQ76" s="749"/>
      <c r="GR76" s="749"/>
      <c r="GS76" s="749"/>
      <c r="GT76" s="749"/>
      <c r="GU76" s="749"/>
      <c r="GV76" s="749"/>
      <c r="GW76" s="749"/>
      <c r="GX76" s="749"/>
      <c r="GY76" s="749"/>
      <c r="GZ76" s="749"/>
      <c r="HA76" s="749"/>
      <c r="HB76" s="749"/>
      <c r="HC76" s="749"/>
      <c r="HD76" s="749"/>
      <c r="HE76" s="749"/>
      <c r="HF76" s="749"/>
      <c r="HG76" s="749"/>
      <c r="HH76" s="749"/>
      <c r="HI76" s="749"/>
      <c r="HJ76" s="749"/>
      <c r="HK76" s="749"/>
      <c r="HL76" s="749"/>
      <c r="HM76" s="749"/>
    </row>
    <row r="77" spans="1:221" ht="13.5" thickBot="1">
      <c r="A77" s="771"/>
      <c r="B77" s="832"/>
      <c r="C77" s="832"/>
      <c r="D77" s="832"/>
      <c r="E77" s="832"/>
      <c r="F77" s="832"/>
      <c r="G77" s="832"/>
      <c r="H77" s="832"/>
      <c r="I77" s="832"/>
      <c r="J77" s="832"/>
      <c r="K77" s="832"/>
      <c r="L77" s="832"/>
      <c r="M77" s="832"/>
      <c r="N77" s="832"/>
      <c r="O77" s="832"/>
      <c r="P77" s="831"/>
      <c r="Q77" s="831"/>
      <c r="R77" s="831"/>
      <c r="S77" s="831"/>
      <c r="T77" s="832"/>
      <c r="U77" s="832"/>
      <c r="V77" s="832"/>
      <c r="W77" s="749"/>
      <c r="X77" s="749"/>
      <c r="Y77" s="749"/>
      <c r="Z77" s="749"/>
      <c r="AA77" s="749"/>
      <c r="AB77" s="749"/>
      <c r="AC77" s="749"/>
      <c r="AD77" s="749"/>
      <c r="AE77" s="749"/>
      <c r="AF77" s="749"/>
      <c r="AG77" s="749"/>
      <c r="AH77" s="749"/>
      <c r="AI77" s="749"/>
      <c r="AJ77" s="749"/>
      <c r="AK77" s="749"/>
      <c r="AL77" s="749"/>
      <c r="AM77" s="749"/>
      <c r="AN77" s="749"/>
      <c r="AO77" s="749"/>
      <c r="AP77" s="749"/>
      <c r="AQ77" s="749"/>
      <c r="AR77" s="749"/>
      <c r="AS77" s="749"/>
      <c r="AT77" s="749"/>
      <c r="AU77" s="749"/>
      <c r="AV77" s="749"/>
      <c r="AW77" s="749"/>
      <c r="AX77" s="749"/>
      <c r="AY77" s="749"/>
      <c r="AZ77" s="749"/>
      <c r="BA77" s="749"/>
      <c r="BB77" s="749"/>
      <c r="BC77" s="749"/>
      <c r="BD77" s="749"/>
      <c r="BE77" s="749"/>
      <c r="BF77" s="749"/>
      <c r="BG77" s="749"/>
      <c r="BH77" s="749"/>
      <c r="BI77" s="749"/>
      <c r="BJ77" s="749"/>
      <c r="BK77" s="749"/>
      <c r="BL77" s="749"/>
      <c r="BM77" s="749"/>
      <c r="BN77" s="749"/>
      <c r="BO77" s="749"/>
      <c r="BP77" s="749"/>
      <c r="BQ77" s="749"/>
      <c r="BR77" s="749"/>
      <c r="BS77" s="749"/>
      <c r="BT77" s="749"/>
      <c r="BU77" s="749"/>
      <c r="BV77" s="749"/>
      <c r="BW77" s="749"/>
      <c r="BX77" s="749"/>
      <c r="BY77" s="749"/>
      <c r="BZ77" s="749"/>
      <c r="CA77" s="749"/>
      <c r="CB77" s="749"/>
      <c r="CC77" s="749"/>
      <c r="CD77" s="749"/>
      <c r="CE77" s="749"/>
      <c r="CF77" s="749"/>
      <c r="CG77" s="749"/>
      <c r="CH77" s="749"/>
      <c r="CI77" s="749"/>
      <c r="CJ77" s="749"/>
      <c r="CK77" s="749"/>
      <c r="CL77" s="749"/>
      <c r="CM77" s="749"/>
      <c r="CN77" s="749"/>
      <c r="CO77" s="749"/>
      <c r="CP77" s="749"/>
      <c r="CQ77" s="749"/>
      <c r="CR77" s="749"/>
      <c r="CS77" s="749"/>
      <c r="CT77" s="749"/>
      <c r="CU77" s="749"/>
      <c r="CV77" s="749"/>
      <c r="CW77" s="749"/>
      <c r="CX77" s="749"/>
      <c r="CY77" s="749"/>
      <c r="CZ77" s="749"/>
      <c r="DA77" s="749"/>
      <c r="DB77" s="749"/>
      <c r="DC77" s="749"/>
      <c r="DD77" s="749"/>
      <c r="DE77" s="749"/>
      <c r="DF77" s="749"/>
      <c r="DG77" s="749"/>
      <c r="DH77" s="749"/>
      <c r="DI77" s="749"/>
      <c r="DJ77" s="749"/>
      <c r="DK77" s="749"/>
      <c r="DL77" s="749"/>
      <c r="DM77" s="749"/>
      <c r="DN77" s="749"/>
      <c r="DO77" s="749"/>
      <c r="DP77" s="749"/>
      <c r="DQ77" s="749"/>
      <c r="DR77" s="749"/>
      <c r="DS77" s="749"/>
      <c r="DT77" s="749"/>
      <c r="DU77" s="749"/>
      <c r="DV77" s="749"/>
      <c r="DW77" s="749"/>
      <c r="DX77" s="749"/>
      <c r="DY77" s="749"/>
      <c r="DZ77" s="749"/>
      <c r="EA77" s="749"/>
      <c r="EB77" s="749"/>
      <c r="EC77" s="749"/>
      <c r="ED77" s="749"/>
      <c r="EE77" s="749"/>
      <c r="EF77" s="749"/>
      <c r="EG77" s="749"/>
      <c r="EH77" s="749"/>
      <c r="EI77" s="749"/>
      <c r="EJ77" s="749"/>
      <c r="EK77" s="749"/>
      <c r="EL77" s="749"/>
      <c r="EM77" s="749"/>
      <c r="EN77" s="749"/>
      <c r="EO77" s="749"/>
      <c r="EP77" s="749"/>
      <c r="EQ77" s="749"/>
      <c r="ER77" s="749"/>
      <c r="ES77" s="749"/>
      <c r="ET77" s="749"/>
      <c r="EU77" s="749"/>
      <c r="EV77" s="749"/>
      <c r="EW77" s="749"/>
      <c r="EX77" s="749"/>
      <c r="EY77" s="749"/>
      <c r="EZ77" s="749"/>
      <c r="FA77" s="749"/>
      <c r="FB77" s="749"/>
      <c r="FC77" s="749"/>
      <c r="FD77" s="749"/>
      <c r="FE77" s="749"/>
      <c r="FF77" s="749"/>
      <c r="FG77" s="749"/>
      <c r="FH77" s="749"/>
      <c r="FI77" s="749"/>
      <c r="FJ77" s="749"/>
      <c r="FK77" s="749"/>
      <c r="FL77" s="749"/>
      <c r="FM77" s="749"/>
      <c r="FN77" s="749"/>
      <c r="FO77" s="749"/>
      <c r="FP77" s="749"/>
      <c r="FQ77" s="749"/>
      <c r="FR77" s="749"/>
      <c r="FS77" s="749"/>
      <c r="FT77" s="749"/>
      <c r="FU77" s="749"/>
      <c r="FV77" s="749"/>
      <c r="FW77" s="749"/>
      <c r="FX77" s="749"/>
      <c r="FY77" s="749"/>
      <c r="FZ77" s="749"/>
      <c r="GA77" s="749"/>
      <c r="GB77" s="749"/>
      <c r="GC77" s="749"/>
      <c r="GD77" s="749"/>
      <c r="GE77" s="749"/>
      <c r="GF77" s="749"/>
      <c r="GG77" s="749"/>
      <c r="GH77" s="749"/>
      <c r="GI77" s="749"/>
      <c r="GJ77" s="749"/>
      <c r="GK77" s="749"/>
      <c r="GL77" s="749"/>
      <c r="GM77" s="749"/>
      <c r="GN77" s="749"/>
      <c r="GO77" s="749"/>
      <c r="GP77" s="749"/>
      <c r="GQ77" s="749"/>
      <c r="GR77" s="749"/>
      <c r="GS77" s="749"/>
      <c r="GT77" s="749"/>
      <c r="GU77" s="749"/>
      <c r="GV77" s="749"/>
      <c r="GW77" s="749"/>
      <c r="GX77" s="749"/>
      <c r="GY77" s="749"/>
      <c r="GZ77" s="749"/>
      <c r="HA77" s="749"/>
      <c r="HB77" s="749"/>
      <c r="HC77" s="749"/>
      <c r="HD77" s="749"/>
      <c r="HE77" s="749"/>
      <c r="HF77" s="749"/>
      <c r="HG77" s="749"/>
      <c r="HH77" s="749"/>
      <c r="HI77" s="749"/>
      <c r="HJ77" s="749"/>
      <c r="HK77" s="749"/>
      <c r="HL77" s="749"/>
      <c r="HM77" s="749"/>
    </row>
    <row r="78" spans="1:221" ht="13.5" thickBot="1">
      <c r="A78" s="3"/>
      <c r="B78" s="913" t="s">
        <v>400</v>
      </c>
      <c r="C78" s="938">
        <f>'TAB 3 Project Cost'!F5</f>
        <v>0</v>
      </c>
      <c r="D78" s="962"/>
      <c r="E78" s="963" t="s">
        <v>198</v>
      </c>
      <c r="F78" s="964"/>
      <c r="G78" s="1010"/>
      <c r="H78" s="966"/>
      <c r="I78" s="967" t="s">
        <v>7553</v>
      </c>
      <c r="J78" s="863"/>
      <c r="K78" s="832"/>
      <c r="L78" s="832"/>
      <c r="M78" s="832"/>
      <c r="N78" s="832"/>
      <c r="O78" s="832"/>
      <c r="P78" s="831"/>
      <c r="Q78" s="831"/>
      <c r="R78" s="831"/>
      <c r="S78" s="832"/>
      <c r="T78" s="832"/>
      <c r="U78" s="832"/>
      <c r="V78" s="832"/>
      <c r="W78" s="749"/>
      <c r="X78" s="749"/>
      <c r="Y78" s="749"/>
      <c r="Z78" s="749"/>
      <c r="AA78" s="749"/>
      <c r="AB78" s="749"/>
      <c r="AC78" s="749"/>
      <c r="AD78" s="749"/>
      <c r="AE78" s="749"/>
      <c r="AF78" s="749"/>
      <c r="AG78" s="749"/>
      <c r="AH78" s="749"/>
      <c r="AI78" s="749"/>
      <c r="AJ78" s="749"/>
      <c r="AK78" s="749"/>
      <c r="AL78" s="749"/>
      <c r="AM78" s="749"/>
      <c r="AN78" s="749"/>
      <c r="AO78" s="749"/>
      <c r="AP78" s="749"/>
      <c r="AQ78" s="749"/>
      <c r="AR78" s="749"/>
      <c r="AS78" s="749"/>
      <c r="AT78" s="749"/>
      <c r="AU78" s="749"/>
      <c r="AV78" s="749"/>
      <c r="AW78" s="749"/>
      <c r="AX78" s="749"/>
      <c r="AY78" s="749"/>
      <c r="AZ78" s="749"/>
      <c r="BA78" s="749"/>
      <c r="BB78" s="749"/>
      <c r="BC78" s="749"/>
      <c r="BD78" s="749"/>
      <c r="BE78" s="749"/>
      <c r="BF78" s="749"/>
      <c r="BG78" s="749"/>
      <c r="BH78" s="749"/>
      <c r="BI78" s="749"/>
      <c r="BJ78" s="749"/>
      <c r="BK78" s="749"/>
      <c r="BL78" s="749"/>
      <c r="BM78" s="749"/>
      <c r="BN78" s="749"/>
      <c r="BO78" s="749"/>
      <c r="BP78" s="749"/>
      <c r="BQ78" s="749"/>
      <c r="BR78" s="749"/>
      <c r="BS78" s="749"/>
      <c r="BT78" s="749"/>
      <c r="BU78" s="749"/>
      <c r="BV78" s="749"/>
      <c r="BW78" s="749"/>
      <c r="BX78" s="749"/>
      <c r="BY78" s="749"/>
      <c r="BZ78" s="749"/>
      <c r="CA78" s="749"/>
      <c r="CB78" s="749"/>
      <c r="CC78" s="749"/>
      <c r="CD78" s="749"/>
      <c r="CE78" s="749"/>
      <c r="CF78" s="749"/>
      <c r="CG78" s="749"/>
      <c r="CH78" s="749"/>
      <c r="CI78" s="749"/>
      <c r="CJ78" s="749"/>
      <c r="CK78" s="749"/>
      <c r="CL78" s="749"/>
      <c r="CM78" s="749"/>
      <c r="CN78" s="749"/>
      <c r="CO78" s="749"/>
      <c r="CP78" s="749"/>
      <c r="CQ78" s="749"/>
      <c r="CR78" s="749"/>
      <c r="CS78" s="749"/>
      <c r="CT78" s="749"/>
      <c r="CU78" s="749"/>
      <c r="CV78" s="749"/>
      <c r="CW78" s="749"/>
      <c r="CX78" s="749"/>
      <c r="CY78" s="749"/>
      <c r="CZ78" s="749"/>
      <c r="DA78" s="749"/>
      <c r="DB78" s="749"/>
      <c r="DC78" s="749"/>
      <c r="DD78" s="749"/>
      <c r="DE78" s="749"/>
      <c r="DF78" s="749"/>
      <c r="DG78" s="749"/>
      <c r="DH78" s="749"/>
      <c r="DI78" s="749"/>
      <c r="DJ78" s="749"/>
      <c r="DK78" s="749"/>
      <c r="DL78" s="749"/>
      <c r="DM78" s="749"/>
      <c r="DN78" s="749"/>
      <c r="DO78" s="749"/>
      <c r="DP78" s="749"/>
      <c r="DQ78" s="749"/>
      <c r="DR78" s="749"/>
      <c r="DS78" s="749"/>
      <c r="DT78" s="749"/>
      <c r="DU78" s="749"/>
      <c r="DV78" s="749"/>
      <c r="DW78" s="749"/>
      <c r="DX78" s="749"/>
      <c r="DY78" s="749"/>
      <c r="DZ78" s="749"/>
      <c r="EA78" s="749"/>
      <c r="EB78" s="749"/>
      <c r="EC78" s="749"/>
      <c r="ED78" s="749"/>
      <c r="EE78" s="749"/>
      <c r="EF78" s="749"/>
      <c r="EG78" s="749"/>
      <c r="EH78" s="749"/>
      <c r="EI78" s="749"/>
      <c r="EJ78" s="749"/>
      <c r="EK78" s="749"/>
      <c r="EL78" s="749"/>
      <c r="EM78" s="749"/>
      <c r="EN78" s="749"/>
      <c r="EO78" s="749"/>
      <c r="EP78" s="749"/>
      <c r="EQ78" s="749"/>
      <c r="ER78" s="749"/>
      <c r="ES78" s="749"/>
      <c r="ET78" s="749"/>
      <c r="EU78" s="749"/>
      <c r="EV78" s="749"/>
      <c r="EW78" s="749"/>
      <c r="EX78" s="749"/>
      <c r="EY78" s="749"/>
      <c r="EZ78" s="749"/>
      <c r="FA78" s="749"/>
      <c r="FB78" s="749"/>
      <c r="FC78" s="749"/>
      <c r="FD78" s="749"/>
      <c r="FE78" s="749"/>
      <c r="FF78" s="749"/>
      <c r="FG78" s="749"/>
      <c r="FH78" s="749"/>
      <c r="FI78" s="749"/>
      <c r="FJ78" s="749"/>
      <c r="FK78" s="749"/>
      <c r="FL78" s="749"/>
      <c r="FM78" s="749"/>
      <c r="FN78" s="749"/>
      <c r="FO78" s="749"/>
      <c r="FP78" s="749"/>
      <c r="FQ78" s="749"/>
      <c r="FR78" s="749"/>
      <c r="FS78" s="749"/>
      <c r="FT78" s="749"/>
      <c r="FU78" s="749"/>
      <c r="FV78" s="749"/>
      <c r="FW78" s="749"/>
      <c r="FX78" s="749"/>
      <c r="FY78" s="749"/>
      <c r="FZ78" s="749"/>
      <c r="GA78" s="749"/>
      <c r="GB78" s="749"/>
      <c r="GC78" s="749"/>
      <c r="GD78" s="749"/>
      <c r="GE78" s="749"/>
      <c r="GF78" s="749"/>
      <c r="GG78" s="749"/>
      <c r="GH78" s="749"/>
      <c r="GI78" s="749"/>
      <c r="GJ78" s="749"/>
      <c r="GK78" s="749"/>
      <c r="GL78" s="749"/>
      <c r="GM78" s="749"/>
      <c r="GN78" s="749"/>
      <c r="GO78" s="749"/>
      <c r="GP78" s="749"/>
      <c r="GQ78" s="749"/>
      <c r="GR78" s="749"/>
      <c r="GS78" s="749"/>
      <c r="GT78" s="749"/>
      <c r="GU78" s="749"/>
      <c r="GV78" s="749"/>
      <c r="GW78" s="749"/>
      <c r="GX78" s="749"/>
      <c r="GY78" s="749"/>
      <c r="GZ78" s="749"/>
      <c r="HA78" s="749"/>
      <c r="HB78" s="749"/>
      <c r="HC78" s="749"/>
      <c r="HD78" s="749"/>
      <c r="HE78" s="749"/>
      <c r="HF78" s="749"/>
      <c r="HG78" s="749"/>
      <c r="HH78" s="749"/>
      <c r="HI78" s="749"/>
      <c r="HJ78" s="749"/>
      <c r="HK78" s="749"/>
      <c r="HL78" s="749"/>
      <c r="HM78" s="749"/>
    </row>
    <row r="79" spans="1:221" ht="12.75">
      <c r="A79" s="3"/>
      <c r="B79" s="747"/>
      <c r="C79" s="747"/>
      <c r="D79" s="854"/>
      <c r="E79" s="946" t="s">
        <v>6703</v>
      </c>
      <c r="F79" s="947">
        <f>'TAB 4 Project Funding'!F19</f>
        <v>0</v>
      </c>
      <c r="G79" s="1011"/>
      <c r="H79" s="847"/>
      <c r="I79" s="949" t="str">
        <f>'TAB 4 Project Funding'!C11</f>
        <v>External - Gifts</v>
      </c>
      <c r="J79" s="950">
        <f>'TAB 4 Project Funding'!F11</f>
        <v>0</v>
      </c>
      <c r="K79" s="834"/>
      <c r="L79" s="834"/>
      <c r="M79" s="832"/>
      <c r="N79" s="832"/>
      <c r="O79" s="832"/>
      <c r="P79" s="831"/>
      <c r="Q79" s="831"/>
      <c r="R79" s="831"/>
      <c r="S79" s="832"/>
      <c r="T79" s="832"/>
      <c r="U79" s="832"/>
      <c r="V79" s="832"/>
      <c r="W79" s="749"/>
      <c r="X79" s="749"/>
      <c r="Y79" s="749"/>
      <c r="Z79" s="749"/>
      <c r="AA79" s="749"/>
      <c r="AB79" s="749"/>
      <c r="AC79" s="749"/>
      <c r="AD79" s="749"/>
      <c r="AE79" s="749"/>
      <c r="AF79" s="749"/>
      <c r="AG79" s="749"/>
      <c r="AH79" s="749"/>
      <c r="AI79" s="749"/>
      <c r="AJ79" s="749"/>
      <c r="AK79" s="749"/>
      <c r="AL79" s="749"/>
      <c r="AM79" s="749"/>
      <c r="AN79" s="749"/>
      <c r="AO79" s="749"/>
      <c r="AP79" s="749"/>
      <c r="AQ79" s="749"/>
      <c r="AR79" s="749"/>
      <c r="AS79" s="749"/>
      <c r="AT79" s="749"/>
      <c r="AU79" s="749"/>
      <c r="AV79" s="749"/>
      <c r="AW79" s="749"/>
      <c r="AX79" s="749"/>
      <c r="AY79" s="749"/>
      <c r="AZ79" s="749"/>
      <c r="BA79" s="749"/>
      <c r="BB79" s="749"/>
      <c r="BC79" s="749"/>
      <c r="BD79" s="749"/>
      <c r="BE79" s="749"/>
      <c r="BF79" s="749"/>
      <c r="BG79" s="749"/>
      <c r="BH79" s="749"/>
      <c r="BI79" s="749"/>
      <c r="BJ79" s="749"/>
      <c r="BK79" s="749"/>
      <c r="BL79" s="749"/>
      <c r="BM79" s="749"/>
      <c r="BN79" s="749"/>
      <c r="BO79" s="749"/>
      <c r="BP79" s="749"/>
      <c r="BQ79" s="749"/>
      <c r="BR79" s="749"/>
      <c r="BS79" s="749"/>
      <c r="BT79" s="749"/>
      <c r="BU79" s="749"/>
      <c r="BV79" s="749"/>
      <c r="BW79" s="749"/>
      <c r="BX79" s="749"/>
      <c r="BY79" s="749"/>
      <c r="BZ79" s="749"/>
      <c r="CA79" s="749"/>
      <c r="CB79" s="749"/>
      <c r="CC79" s="749"/>
      <c r="CD79" s="749"/>
      <c r="CE79" s="749"/>
      <c r="CF79" s="749"/>
      <c r="CG79" s="749"/>
      <c r="CH79" s="749"/>
      <c r="CI79" s="749"/>
      <c r="CJ79" s="749"/>
      <c r="CK79" s="749"/>
      <c r="CL79" s="749"/>
      <c r="CM79" s="749"/>
      <c r="CN79" s="749"/>
      <c r="CO79" s="749"/>
      <c r="CP79" s="749"/>
      <c r="CQ79" s="749"/>
      <c r="CR79" s="749"/>
      <c r="CS79" s="749"/>
      <c r="CT79" s="749"/>
      <c r="CU79" s="749"/>
      <c r="CV79" s="749"/>
      <c r="CW79" s="749"/>
      <c r="CX79" s="749"/>
      <c r="CY79" s="749"/>
      <c r="CZ79" s="749"/>
      <c r="DA79" s="749"/>
      <c r="DB79" s="749"/>
      <c r="DC79" s="749"/>
      <c r="DD79" s="749"/>
      <c r="DE79" s="749"/>
      <c r="DF79" s="749"/>
      <c r="DG79" s="749"/>
      <c r="DH79" s="749"/>
      <c r="DI79" s="749"/>
      <c r="DJ79" s="749"/>
      <c r="DK79" s="749"/>
      <c r="DL79" s="749"/>
      <c r="DM79" s="749"/>
      <c r="DN79" s="749"/>
      <c r="DO79" s="749"/>
      <c r="DP79" s="749"/>
      <c r="DQ79" s="749"/>
      <c r="DR79" s="749"/>
      <c r="DS79" s="749"/>
      <c r="DT79" s="749"/>
      <c r="DU79" s="749"/>
      <c r="DV79" s="749"/>
      <c r="DW79" s="749"/>
      <c r="DX79" s="749"/>
      <c r="DY79" s="749"/>
      <c r="DZ79" s="749"/>
      <c r="EA79" s="749"/>
      <c r="EB79" s="749"/>
      <c r="EC79" s="749"/>
      <c r="ED79" s="749"/>
      <c r="EE79" s="749"/>
      <c r="EF79" s="749"/>
      <c r="EG79" s="749"/>
      <c r="EH79" s="749"/>
      <c r="EI79" s="749"/>
      <c r="EJ79" s="749"/>
      <c r="EK79" s="749"/>
      <c r="EL79" s="749"/>
      <c r="EM79" s="749"/>
      <c r="EN79" s="749"/>
      <c r="EO79" s="749"/>
      <c r="EP79" s="749"/>
      <c r="EQ79" s="749"/>
      <c r="ER79" s="749"/>
      <c r="ES79" s="749"/>
      <c r="ET79" s="749"/>
      <c r="EU79" s="749"/>
      <c r="EV79" s="749"/>
      <c r="EW79" s="749"/>
      <c r="EX79" s="749"/>
      <c r="EY79" s="749"/>
      <c r="EZ79" s="749"/>
      <c r="FA79" s="749"/>
      <c r="FB79" s="749"/>
      <c r="FC79" s="749"/>
      <c r="FD79" s="749"/>
      <c r="FE79" s="749"/>
      <c r="FF79" s="749"/>
      <c r="FG79" s="749"/>
      <c r="FH79" s="749"/>
      <c r="FI79" s="749"/>
      <c r="FJ79" s="749"/>
      <c r="FK79" s="749"/>
      <c r="FL79" s="749"/>
      <c r="FM79" s="749"/>
      <c r="FN79" s="749"/>
      <c r="FO79" s="749"/>
      <c r="FP79" s="749"/>
      <c r="FQ79" s="749"/>
      <c r="FR79" s="749"/>
      <c r="FS79" s="749"/>
      <c r="FT79" s="749"/>
      <c r="FU79" s="749"/>
      <c r="FV79" s="749"/>
      <c r="FW79" s="749"/>
      <c r="FX79" s="749"/>
      <c r="FY79" s="749"/>
      <c r="FZ79" s="749"/>
      <c r="GA79" s="749"/>
      <c r="GB79" s="749"/>
      <c r="GC79" s="749"/>
      <c r="GD79" s="749"/>
      <c r="GE79" s="749"/>
      <c r="GF79" s="749"/>
      <c r="GG79" s="749"/>
      <c r="GH79" s="749"/>
      <c r="GI79" s="749"/>
      <c r="GJ79" s="749"/>
      <c r="GK79" s="749"/>
      <c r="GL79" s="749"/>
      <c r="GM79" s="749"/>
      <c r="GN79" s="749"/>
      <c r="GO79" s="749"/>
      <c r="GP79" s="749"/>
      <c r="GQ79" s="749"/>
      <c r="GR79" s="749"/>
      <c r="GS79" s="749"/>
      <c r="GT79" s="749"/>
      <c r="GU79" s="749"/>
      <c r="GV79" s="749"/>
      <c r="GW79" s="749"/>
      <c r="GX79" s="749"/>
      <c r="GY79" s="749"/>
      <c r="GZ79" s="749"/>
      <c r="HA79" s="749"/>
      <c r="HB79" s="749"/>
      <c r="HC79" s="749"/>
      <c r="HD79" s="749"/>
      <c r="HE79" s="749"/>
      <c r="HF79" s="749"/>
      <c r="HG79" s="749"/>
      <c r="HH79" s="749"/>
      <c r="HI79" s="749"/>
      <c r="HJ79" s="749"/>
      <c r="HK79" s="749"/>
      <c r="HL79" s="749"/>
      <c r="HM79" s="749"/>
    </row>
    <row r="80" spans="1:221" ht="12.75" customHeight="1">
      <c r="A80" s="3"/>
      <c r="B80" s="747"/>
      <c r="C80" s="747"/>
      <c r="D80" s="850"/>
      <c r="E80" s="951" t="str">
        <f>_xlfn.CONCAT('TAB 4 Project Funding'!D28,'TAB 4 Project Funding'!E28," GO Bonds")</f>
        <v xml:space="preserve"> GO Bonds</v>
      </c>
      <c r="F80" s="885" t="str">
        <f>'TAB 4 Project Funding'!F28</f>
        <v/>
      </c>
      <c r="G80" s="1012"/>
      <c r="H80" s="830"/>
      <c r="I80" s="953" t="str">
        <f>'TAB 4 Project Funding'!C12</f>
        <v>External - Affiliate Organization</v>
      </c>
      <c r="J80" s="954">
        <f>'TAB 4 Project Funding'!F12</f>
        <v>0</v>
      </c>
      <c r="K80" s="832"/>
      <c r="L80" s="832"/>
      <c r="M80" s="832"/>
      <c r="N80" s="832"/>
      <c r="O80" s="832"/>
      <c r="P80" s="831"/>
      <c r="Q80" s="831"/>
      <c r="R80" s="831"/>
      <c r="S80" s="832"/>
      <c r="T80" s="832"/>
      <c r="U80" s="832"/>
      <c r="V80" s="832"/>
      <c r="W80" s="749"/>
      <c r="X80" s="749"/>
      <c r="Y80" s="749"/>
      <c r="Z80" s="749"/>
      <c r="AA80" s="749"/>
      <c r="AB80" s="749"/>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49"/>
      <c r="AY80" s="749"/>
      <c r="AZ80" s="749"/>
      <c r="BA80" s="749"/>
      <c r="BB80" s="749"/>
      <c r="BC80" s="749"/>
      <c r="BD80" s="749"/>
      <c r="BE80" s="749"/>
      <c r="BF80" s="749"/>
      <c r="BG80" s="749"/>
      <c r="BH80" s="749"/>
      <c r="BI80" s="749"/>
      <c r="BJ80" s="749"/>
      <c r="BK80" s="749"/>
      <c r="BL80" s="749"/>
      <c r="BM80" s="749"/>
      <c r="BN80" s="749"/>
      <c r="BO80" s="749"/>
      <c r="BP80" s="749"/>
      <c r="BQ80" s="749"/>
      <c r="BR80" s="749"/>
      <c r="BS80" s="749"/>
      <c r="BT80" s="749"/>
      <c r="BU80" s="749"/>
      <c r="BV80" s="749"/>
      <c r="BW80" s="749"/>
      <c r="BX80" s="749"/>
      <c r="BY80" s="749"/>
      <c r="BZ80" s="749"/>
      <c r="CA80" s="749"/>
      <c r="CB80" s="749"/>
      <c r="CC80" s="749"/>
      <c r="CD80" s="749"/>
      <c r="CE80" s="749"/>
      <c r="CF80" s="749"/>
      <c r="CG80" s="749"/>
      <c r="CH80" s="749"/>
      <c r="CI80" s="749"/>
      <c r="CJ80" s="749"/>
      <c r="CK80" s="749"/>
      <c r="CL80" s="749"/>
      <c r="CM80" s="749"/>
      <c r="CN80" s="749"/>
      <c r="CO80" s="749"/>
      <c r="CP80" s="749"/>
      <c r="CQ80" s="749"/>
      <c r="CR80" s="749"/>
      <c r="CS80" s="749"/>
      <c r="CT80" s="749"/>
      <c r="CU80" s="749"/>
      <c r="CV80" s="749"/>
      <c r="CW80" s="749"/>
      <c r="CX80" s="749"/>
      <c r="CY80" s="749"/>
      <c r="CZ80" s="749"/>
      <c r="DA80" s="749"/>
      <c r="DB80" s="749"/>
      <c r="DC80" s="749"/>
      <c r="DD80" s="749"/>
      <c r="DE80" s="749"/>
      <c r="DF80" s="749"/>
      <c r="DG80" s="749"/>
      <c r="DH80" s="749"/>
      <c r="DI80" s="749"/>
      <c r="DJ80" s="749"/>
      <c r="DK80" s="749"/>
      <c r="DL80" s="749"/>
      <c r="DM80" s="749"/>
      <c r="DN80" s="749"/>
      <c r="DO80" s="749"/>
      <c r="DP80" s="749"/>
      <c r="DQ80" s="749"/>
      <c r="DR80" s="749"/>
      <c r="DS80" s="749"/>
      <c r="DT80" s="749"/>
      <c r="DU80" s="749"/>
      <c r="DV80" s="749"/>
      <c r="DW80" s="749"/>
      <c r="DX80" s="749"/>
      <c r="DY80" s="749"/>
      <c r="DZ80" s="749"/>
      <c r="EA80" s="749"/>
      <c r="EB80" s="749"/>
      <c r="EC80" s="749"/>
      <c r="ED80" s="749"/>
      <c r="EE80" s="749"/>
      <c r="EF80" s="749"/>
      <c r="EG80" s="749"/>
      <c r="EH80" s="749"/>
      <c r="EI80" s="749"/>
      <c r="EJ80" s="749"/>
      <c r="EK80" s="749"/>
      <c r="EL80" s="749"/>
      <c r="EM80" s="749"/>
      <c r="EN80" s="749"/>
      <c r="EO80" s="749"/>
      <c r="EP80" s="749"/>
      <c r="EQ80" s="749"/>
      <c r="ER80" s="749"/>
      <c r="ES80" s="749"/>
      <c r="ET80" s="749"/>
      <c r="EU80" s="749"/>
      <c r="EV80" s="749"/>
      <c r="EW80" s="749"/>
      <c r="EX80" s="749"/>
      <c r="EY80" s="749"/>
      <c r="EZ80" s="749"/>
      <c r="FA80" s="749"/>
      <c r="FB80" s="749"/>
      <c r="FC80" s="749"/>
      <c r="FD80" s="749"/>
      <c r="FE80" s="749"/>
      <c r="FF80" s="749"/>
      <c r="FG80" s="749"/>
      <c r="FH80" s="749"/>
      <c r="FI80" s="749"/>
      <c r="FJ80" s="749"/>
      <c r="FK80" s="749"/>
      <c r="FL80" s="749"/>
      <c r="FM80" s="749"/>
      <c r="FN80" s="749"/>
      <c r="FO80" s="749"/>
      <c r="FP80" s="749"/>
      <c r="FQ80" s="749"/>
      <c r="FR80" s="749"/>
      <c r="FS80" s="749"/>
      <c r="FT80" s="749"/>
      <c r="FU80" s="749"/>
      <c r="FV80" s="749"/>
      <c r="FW80" s="749"/>
      <c r="FX80" s="749"/>
      <c r="FY80" s="749"/>
      <c r="FZ80" s="749"/>
      <c r="GA80" s="749"/>
      <c r="GB80" s="749"/>
      <c r="GC80" s="749"/>
      <c r="GD80" s="749"/>
      <c r="GE80" s="749"/>
      <c r="GF80" s="749"/>
      <c r="GG80" s="749"/>
      <c r="GH80" s="749"/>
      <c r="GI80" s="749"/>
      <c r="GJ80" s="749"/>
      <c r="GK80" s="749"/>
      <c r="GL80" s="749"/>
      <c r="GM80" s="749"/>
      <c r="GN80" s="749"/>
      <c r="GO80" s="749"/>
      <c r="GP80" s="749"/>
      <c r="GQ80" s="749"/>
      <c r="GR80" s="749"/>
      <c r="GS80" s="749"/>
      <c r="GT80" s="749"/>
      <c r="GU80" s="749"/>
      <c r="GV80" s="749"/>
      <c r="GW80" s="749"/>
      <c r="GX80" s="749"/>
      <c r="GY80" s="749"/>
      <c r="GZ80" s="749"/>
      <c r="HA80" s="749"/>
      <c r="HB80" s="749"/>
      <c r="HC80" s="749"/>
      <c r="HD80" s="749"/>
      <c r="HE80" s="749"/>
      <c r="HF80" s="749"/>
      <c r="HG80" s="749"/>
      <c r="HH80" s="749"/>
      <c r="HI80" s="749"/>
      <c r="HJ80" s="749"/>
      <c r="HK80" s="749"/>
      <c r="HL80" s="749"/>
      <c r="HM80" s="749"/>
    </row>
    <row r="81" spans="1:221" ht="12.75">
      <c r="A81" s="747"/>
      <c r="B81" s="747"/>
      <c r="C81" s="747"/>
      <c r="D81" s="861"/>
      <c r="E81" s="951" t="str">
        <f>_xlfn.CONCAT('TAB 4 Project Funding'!D29,'TAB 4 Project Funding'!E29," GO Bonds")</f>
        <v xml:space="preserve"> GO Bonds</v>
      </c>
      <c r="F81" s="885" t="str">
        <f>'TAB 4 Project Funding'!F29</f>
        <v/>
      </c>
      <c r="G81" s="1012"/>
      <c r="H81" s="830"/>
      <c r="I81" s="953" t="str">
        <f>'TAB 4 Project Funding'!C13</f>
        <v>Institution - Appropriated Funds</v>
      </c>
      <c r="J81" s="954">
        <f>'TAB 4 Project Funding'!F13</f>
        <v>0</v>
      </c>
      <c r="K81" s="832"/>
      <c r="L81" s="832"/>
      <c r="M81" s="832"/>
      <c r="N81" s="832"/>
      <c r="O81" s="832"/>
      <c r="P81" s="831"/>
      <c r="Q81" s="831"/>
      <c r="R81" s="831"/>
      <c r="S81" s="832"/>
      <c r="T81" s="832"/>
      <c r="U81" s="832"/>
      <c r="V81" s="832"/>
      <c r="W81" s="749"/>
      <c r="X81" s="749"/>
      <c r="Y81" s="749"/>
      <c r="Z81" s="749"/>
      <c r="AA81" s="749"/>
      <c r="AB81" s="749"/>
      <c r="AC81" s="749"/>
      <c r="AD81" s="749"/>
      <c r="AE81" s="749"/>
      <c r="AF81" s="749"/>
      <c r="AG81" s="749"/>
      <c r="AH81" s="749"/>
      <c r="AI81" s="749"/>
      <c r="AJ81" s="749"/>
      <c r="AK81" s="749"/>
      <c r="AL81" s="749"/>
      <c r="AM81" s="749"/>
      <c r="AN81" s="749"/>
      <c r="AO81" s="749"/>
      <c r="AP81" s="749"/>
      <c r="AQ81" s="749"/>
      <c r="AR81" s="749"/>
      <c r="AS81" s="749"/>
      <c r="AT81" s="749"/>
      <c r="AU81" s="749"/>
      <c r="AV81" s="749"/>
      <c r="AW81" s="749"/>
      <c r="AX81" s="749"/>
      <c r="AY81" s="749"/>
      <c r="AZ81" s="749"/>
      <c r="BA81" s="749"/>
      <c r="BB81" s="749"/>
      <c r="BC81" s="749"/>
      <c r="BD81" s="749"/>
      <c r="BE81" s="749"/>
      <c r="BF81" s="749"/>
      <c r="BG81" s="749"/>
      <c r="BH81" s="749"/>
      <c r="BI81" s="749"/>
      <c r="BJ81" s="749"/>
      <c r="BK81" s="749"/>
      <c r="BL81" s="749"/>
      <c r="BM81" s="749"/>
      <c r="BN81" s="749"/>
      <c r="BO81" s="749"/>
      <c r="BP81" s="749"/>
      <c r="BQ81" s="749"/>
      <c r="BR81" s="749"/>
      <c r="BS81" s="749"/>
      <c r="BT81" s="749"/>
      <c r="BU81" s="749"/>
      <c r="BV81" s="749"/>
      <c r="BW81" s="749"/>
      <c r="BX81" s="749"/>
      <c r="BY81" s="749"/>
      <c r="BZ81" s="749"/>
      <c r="CA81" s="749"/>
      <c r="CB81" s="749"/>
      <c r="CC81" s="749"/>
      <c r="CD81" s="749"/>
      <c r="CE81" s="749"/>
      <c r="CF81" s="749"/>
      <c r="CG81" s="749"/>
      <c r="CH81" s="749"/>
      <c r="CI81" s="749"/>
      <c r="CJ81" s="749"/>
      <c r="CK81" s="749"/>
      <c r="CL81" s="749"/>
      <c r="CM81" s="749"/>
      <c r="CN81" s="749"/>
      <c r="CO81" s="749"/>
      <c r="CP81" s="749"/>
      <c r="CQ81" s="749"/>
      <c r="CR81" s="749"/>
      <c r="CS81" s="749"/>
      <c r="CT81" s="749"/>
      <c r="CU81" s="749"/>
      <c r="CV81" s="749"/>
      <c r="CW81" s="749"/>
      <c r="CX81" s="749"/>
      <c r="CY81" s="749"/>
      <c r="CZ81" s="749"/>
      <c r="DA81" s="749"/>
      <c r="DB81" s="749"/>
      <c r="DC81" s="749"/>
      <c r="DD81" s="749"/>
      <c r="DE81" s="749"/>
      <c r="DF81" s="749"/>
      <c r="DG81" s="749"/>
      <c r="DH81" s="749"/>
      <c r="DI81" s="749"/>
      <c r="DJ81" s="749"/>
      <c r="DK81" s="749"/>
      <c r="DL81" s="749"/>
      <c r="DM81" s="749"/>
      <c r="DN81" s="749"/>
      <c r="DO81" s="749"/>
      <c r="DP81" s="749"/>
      <c r="DQ81" s="749"/>
      <c r="DR81" s="749"/>
      <c r="DS81" s="749"/>
      <c r="DT81" s="749"/>
      <c r="DU81" s="749"/>
      <c r="DV81" s="749"/>
      <c r="DW81" s="749"/>
      <c r="DX81" s="749"/>
      <c r="DY81" s="749"/>
      <c r="DZ81" s="749"/>
      <c r="EA81" s="749"/>
      <c r="EB81" s="749"/>
      <c r="EC81" s="749"/>
      <c r="ED81" s="749"/>
      <c r="EE81" s="749"/>
      <c r="EF81" s="749"/>
      <c r="EG81" s="749"/>
      <c r="EH81" s="749"/>
      <c r="EI81" s="749"/>
      <c r="EJ81" s="749"/>
      <c r="EK81" s="749"/>
      <c r="EL81" s="749"/>
      <c r="EM81" s="749"/>
      <c r="EN81" s="749"/>
      <c r="EO81" s="749"/>
      <c r="EP81" s="749"/>
      <c r="EQ81" s="749"/>
      <c r="ER81" s="749"/>
      <c r="ES81" s="749"/>
      <c r="ET81" s="749"/>
      <c r="EU81" s="749"/>
      <c r="EV81" s="749"/>
      <c r="EW81" s="749"/>
      <c r="EX81" s="749"/>
      <c r="EY81" s="749"/>
      <c r="EZ81" s="749"/>
      <c r="FA81" s="749"/>
      <c r="FB81" s="749"/>
      <c r="FC81" s="749"/>
      <c r="FD81" s="749"/>
      <c r="FE81" s="749"/>
      <c r="FF81" s="749"/>
      <c r="FG81" s="749"/>
      <c r="FH81" s="749"/>
      <c r="FI81" s="749"/>
      <c r="FJ81" s="749"/>
      <c r="FK81" s="749"/>
      <c r="FL81" s="749"/>
      <c r="FM81" s="749"/>
      <c r="FN81" s="749"/>
      <c r="FO81" s="749"/>
      <c r="FP81" s="749"/>
      <c r="FQ81" s="749"/>
      <c r="FR81" s="749"/>
      <c r="FS81" s="749"/>
      <c r="FT81" s="749"/>
      <c r="FU81" s="749"/>
      <c r="FV81" s="749"/>
      <c r="FW81" s="749"/>
      <c r="FX81" s="749"/>
      <c r="FY81" s="749"/>
      <c r="FZ81" s="749"/>
      <c r="GA81" s="749"/>
      <c r="GB81" s="749"/>
      <c r="GC81" s="749"/>
      <c r="GD81" s="749"/>
      <c r="GE81" s="749"/>
      <c r="GF81" s="749"/>
      <c r="GG81" s="749"/>
      <c r="GH81" s="749"/>
      <c r="GI81" s="749"/>
      <c r="GJ81" s="749"/>
      <c r="GK81" s="749"/>
      <c r="GL81" s="749"/>
      <c r="GM81" s="749"/>
      <c r="GN81" s="749"/>
      <c r="GO81" s="749"/>
      <c r="GP81" s="749"/>
      <c r="GQ81" s="749"/>
      <c r="GR81" s="749"/>
      <c r="GS81" s="749"/>
      <c r="GT81" s="749"/>
      <c r="GU81" s="749"/>
      <c r="GV81" s="749"/>
      <c r="GW81" s="749"/>
      <c r="GX81" s="749"/>
      <c r="GY81" s="749"/>
      <c r="GZ81" s="749"/>
      <c r="HA81" s="749"/>
      <c r="HB81" s="749"/>
      <c r="HC81" s="749"/>
      <c r="HD81" s="749"/>
      <c r="HE81" s="749"/>
      <c r="HF81" s="749"/>
      <c r="HG81" s="749"/>
      <c r="HH81" s="749"/>
      <c r="HI81" s="749"/>
      <c r="HJ81" s="749"/>
      <c r="HK81" s="749"/>
      <c r="HL81" s="749"/>
      <c r="HM81" s="749"/>
    </row>
    <row r="82" spans="1:221" ht="12.75">
      <c r="A82" s="747"/>
      <c r="B82" s="747"/>
      <c r="C82" s="747"/>
      <c r="D82" s="861"/>
      <c r="E82" s="951" t="str">
        <f>_xlfn.CONCAT('TAB 4 Project Funding'!D30,'TAB 4 Project Funding'!E30," GO Bonds")</f>
        <v xml:space="preserve"> GO Bonds</v>
      </c>
      <c r="F82" s="885" t="str">
        <f>'TAB 4 Project Funding'!F30</f>
        <v/>
      </c>
      <c r="G82" s="1012"/>
      <c r="H82" s="830"/>
      <c r="I82" s="953" t="str">
        <f>'TAB 4 Project Funding'!C14</f>
        <v>Institution - Tuition/Carry Forward</v>
      </c>
      <c r="J82" s="954">
        <f>'TAB 4 Project Funding'!F14</f>
        <v>0</v>
      </c>
      <c r="K82" s="832"/>
      <c r="L82" s="832"/>
      <c r="M82" s="832"/>
      <c r="N82" s="832"/>
      <c r="O82" s="832"/>
      <c r="P82" s="831"/>
      <c r="Q82" s="831"/>
      <c r="R82" s="831"/>
      <c r="S82" s="832"/>
      <c r="T82" s="832"/>
      <c r="U82" s="832"/>
      <c r="V82" s="832"/>
      <c r="W82" s="749"/>
      <c r="X82" s="749"/>
      <c r="Y82" s="749"/>
      <c r="Z82" s="749"/>
      <c r="AA82" s="749"/>
      <c r="AB82" s="749"/>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49"/>
      <c r="AY82" s="749"/>
      <c r="AZ82" s="749"/>
      <c r="BA82" s="749"/>
      <c r="BB82" s="749"/>
      <c r="BC82" s="749"/>
      <c r="BD82" s="749"/>
      <c r="BE82" s="749"/>
      <c r="BF82" s="749"/>
      <c r="BG82" s="749"/>
      <c r="BH82" s="749"/>
      <c r="BI82" s="749"/>
      <c r="BJ82" s="749"/>
      <c r="BK82" s="749"/>
      <c r="BL82" s="749"/>
      <c r="BM82" s="749"/>
      <c r="BN82" s="749"/>
      <c r="BO82" s="749"/>
      <c r="BP82" s="749"/>
      <c r="BQ82" s="749"/>
      <c r="BR82" s="749"/>
      <c r="BS82" s="749"/>
      <c r="BT82" s="749"/>
      <c r="BU82" s="749"/>
      <c r="BV82" s="749"/>
      <c r="BW82" s="749"/>
      <c r="BX82" s="749"/>
      <c r="BY82" s="749"/>
      <c r="BZ82" s="749"/>
      <c r="CA82" s="749"/>
      <c r="CB82" s="749"/>
      <c r="CC82" s="749"/>
      <c r="CD82" s="749"/>
      <c r="CE82" s="749"/>
      <c r="CF82" s="749"/>
      <c r="CG82" s="749"/>
      <c r="CH82" s="749"/>
      <c r="CI82" s="749"/>
      <c r="CJ82" s="749"/>
      <c r="CK82" s="749"/>
      <c r="CL82" s="749"/>
      <c r="CM82" s="749"/>
      <c r="CN82" s="749"/>
      <c r="CO82" s="749"/>
      <c r="CP82" s="749"/>
      <c r="CQ82" s="749"/>
      <c r="CR82" s="749"/>
      <c r="CS82" s="749"/>
      <c r="CT82" s="749"/>
      <c r="CU82" s="749"/>
      <c r="CV82" s="749"/>
      <c r="CW82" s="749"/>
      <c r="CX82" s="749"/>
      <c r="CY82" s="749"/>
      <c r="CZ82" s="749"/>
      <c r="DA82" s="749"/>
      <c r="DB82" s="749"/>
      <c r="DC82" s="749"/>
      <c r="DD82" s="749"/>
      <c r="DE82" s="749"/>
      <c r="DF82" s="749"/>
      <c r="DG82" s="749"/>
      <c r="DH82" s="749"/>
      <c r="DI82" s="749"/>
      <c r="DJ82" s="749"/>
      <c r="DK82" s="749"/>
      <c r="DL82" s="749"/>
      <c r="DM82" s="749"/>
      <c r="DN82" s="749"/>
      <c r="DO82" s="749"/>
      <c r="DP82" s="749"/>
      <c r="DQ82" s="749"/>
      <c r="DR82" s="749"/>
      <c r="DS82" s="749"/>
      <c r="DT82" s="749"/>
      <c r="DU82" s="749"/>
      <c r="DV82" s="749"/>
      <c r="DW82" s="749"/>
      <c r="DX82" s="749"/>
      <c r="DY82" s="749"/>
      <c r="DZ82" s="749"/>
      <c r="EA82" s="749"/>
      <c r="EB82" s="749"/>
      <c r="EC82" s="749"/>
      <c r="ED82" s="749"/>
      <c r="EE82" s="749"/>
      <c r="EF82" s="749"/>
      <c r="EG82" s="749"/>
      <c r="EH82" s="749"/>
      <c r="EI82" s="749"/>
      <c r="EJ82" s="749"/>
      <c r="EK82" s="749"/>
      <c r="EL82" s="749"/>
      <c r="EM82" s="749"/>
      <c r="EN82" s="749"/>
      <c r="EO82" s="749"/>
      <c r="EP82" s="749"/>
      <c r="EQ82" s="749"/>
      <c r="ER82" s="749"/>
      <c r="ES82" s="749"/>
      <c r="ET82" s="749"/>
      <c r="EU82" s="749"/>
      <c r="EV82" s="749"/>
      <c r="EW82" s="749"/>
      <c r="EX82" s="749"/>
      <c r="EY82" s="749"/>
      <c r="EZ82" s="749"/>
      <c r="FA82" s="749"/>
      <c r="FB82" s="749"/>
      <c r="FC82" s="749"/>
      <c r="FD82" s="749"/>
      <c r="FE82" s="749"/>
      <c r="FF82" s="749"/>
      <c r="FG82" s="749"/>
      <c r="FH82" s="749"/>
      <c r="FI82" s="749"/>
      <c r="FJ82" s="749"/>
      <c r="FK82" s="749"/>
      <c r="FL82" s="749"/>
      <c r="FM82" s="749"/>
      <c r="FN82" s="749"/>
      <c r="FO82" s="749"/>
      <c r="FP82" s="749"/>
      <c r="FQ82" s="749"/>
      <c r="FR82" s="749"/>
      <c r="FS82" s="749"/>
      <c r="FT82" s="749"/>
      <c r="FU82" s="749"/>
      <c r="FV82" s="749"/>
      <c r="FW82" s="749"/>
      <c r="FX82" s="749"/>
      <c r="FY82" s="749"/>
      <c r="FZ82" s="749"/>
      <c r="GA82" s="749"/>
      <c r="GB82" s="749"/>
      <c r="GC82" s="749"/>
      <c r="GD82" s="749"/>
      <c r="GE82" s="749"/>
      <c r="GF82" s="749"/>
      <c r="GG82" s="749"/>
      <c r="GH82" s="749"/>
      <c r="GI82" s="749"/>
      <c r="GJ82" s="749"/>
      <c r="GK82" s="749"/>
      <c r="GL82" s="749"/>
      <c r="GM82" s="749"/>
      <c r="GN82" s="749"/>
      <c r="GO82" s="749"/>
      <c r="GP82" s="749"/>
      <c r="GQ82" s="749"/>
      <c r="GR82" s="749"/>
      <c r="GS82" s="749"/>
      <c r="GT82" s="749"/>
      <c r="GU82" s="749"/>
      <c r="GV82" s="749"/>
      <c r="GW82" s="749"/>
      <c r="GX82" s="749"/>
      <c r="GY82" s="749"/>
      <c r="GZ82" s="749"/>
      <c r="HA82" s="749"/>
      <c r="HB82" s="749"/>
      <c r="HC82" s="749"/>
      <c r="HD82" s="749"/>
      <c r="HE82" s="749"/>
      <c r="HF82" s="749"/>
      <c r="HG82" s="749"/>
      <c r="HH82" s="749"/>
      <c r="HI82" s="749"/>
      <c r="HJ82" s="749"/>
      <c r="HK82" s="749"/>
      <c r="HL82" s="749"/>
      <c r="HM82" s="749"/>
    </row>
    <row r="83" spans="1:221" ht="12.75">
      <c r="A83" s="747"/>
      <c r="B83" s="747"/>
      <c r="C83" s="747"/>
      <c r="D83" s="861"/>
      <c r="E83" s="951" t="str">
        <f>_xlfn.CONCAT("Non GO Bonds (",'TAB 4 Project Funding'!D35,")")</f>
        <v>Non GO Bonds ()</v>
      </c>
      <c r="F83" s="885">
        <f>'TAB 4 Project Funding'!F35</f>
        <v>0</v>
      </c>
      <c r="G83" s="1012"/>
      <c r="H83" s="830"/>
      <c r="I83" s="953" t="str">
        <f>'TAB 4 Project Funding'!C15</f>
        <v>Institution - Auxiliary Reserves</v>
      </c>
      <c r="J83" s="954">
        <f>'TAB 4 Project Funding'!F15</f>
        <v>0</v>
      </c>
      <c r="K83" s="832"/>
      <c r="L83" s="832"/>
      <c r="M83" s="832"/>
      <c r="N83" s="832"/>
      <c r="O83" s="832"/>
      <c r="P83" s="831"/>
      <c r="Q83" s="831"/>
      <c r="R83" s="831"/>
      <c r="S83" s="832"/>
      <c r="T83" s="832"/>
      <c r="U83" s="832"/>
      <c r="V83" s="832"/>
      <c r="W83" s="749"/>
      <c r="X83" s="749"/>
      <c r="Y83" s="749"/>
      <c r="Z83" s="749"/>
      <c r="AA83" s="749"/>
      <c r="AB83" s="749"/>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49"/>
      <c r="AY83" s="749"/>
      <c r="AZ83" s="749"/>
      <c r="BA83" s="749"/>
      <c r="BB83" s="749"/>
      <c r="BC83" s="749"/>
      <c r="BD83" s="749"/>
      <c r="BE83" s="749"/>
      <c r="BF83" s="749"/>
      <c r="BG83" s="749"/>
      <c r="BH83" s="749"/>
      <c r="BI83" s="749"/>
      <c r="BJ83" s="749"/>
      <c r="BK83" s="749"/>
      <c r="BL83" s="749"/>
      <c r="BM83" s="749"/>
      <c r="BN83" s="749"/>
      <c r="BO83" s="749"/>
      <c r="BP83" s="749"/>
      <c r="BQ83" s="749"/>
      <c r="BR83" s="749"/>
      <c r="BS83" s="749"/>
      <c r="BT83" s="749"/>
      <c r="BU83" s="749"/>
      <c r="BV83" s="749"/>
      <c r="BW83" s="749"/>
      <c r="BX83" s="749"/>
      <c r="BY83" s="749"/>
      <c r="BZ83" s="749"/>
      <c r="CA83" s="749"/>
      <c r="CB83" s="749"/>
      <c r="CC83" s="749"/>
      <c r="CD83" s="749"/>
      <c r="CE83" s="749"/>
      <c r="CF83" s="749"/>
      <c r="CG83" s="749"/>
      <c r="CH83" s="749"/>
      <c r="CI83" s="749"/>
      <c r="CJ83" s="749"/>
      <c r="CK83" s="749"/>
      <c r="CL83" s="749"/>
      <c r="CM83" s="749"/>
      <c r="CN83" s="749"/>
      <c r="CO83" s="749"/>
      <c r="CP83" s="749"/>
      <c r="CQ83" s="749"/>
      <c r="CR83" s="749"/>
      <c r="CS83" s="749"/>
      <c r="CT83" s="749"/>
      <c r="CU83" s="749"/>
      <c r="CV83" s="749"/>
      <c r="CW83" s="749"/>
      <c r="CX83" s="749"/>
      <c r="CY83" s="749"/>
      <c r="CZ83" s="749"/>
      <c r="DA83" s="749"/>
      <c r="DB83" s="749"/>
      <c r="DC83" s="749"/>
      <c r="DD83" s="749"/>
      <c r="DE83" s="749"/>
      <c r="DF83" s="749"/>
      <c r="DG83" s="749"/>
      <c r="DH83" s="749"/>
      <c r="DI83" s="749"/>
      <c r="DJ83" s="749"/>
      <c r="DK83" s="749"/>
      <c r="DL83" s="749"/>
      <c r="DM83" s="749"/>
      <c r="DN83" s="749"/>
      <c r="DO83" s="749"/>
      <c r="DP83" s="749"/>
      <c r="DQ83" s="749"/>
      <c r="DR83" s="749"/>
      <c r="DS83" s="749"/>
      <c r="DT83" s="749"/>
      <c r="DU83" s="749"/>
      <c r="DV83" s="749"/>
      <c r="DW83" s="749"/>
      <c r="DX83" s="749"/>
      <c r="DY83" s="749"/>
      <c r="DZ83" s="749"/>
      <c r="EA83" s="749"/>
      <c r="EB83" s="749"/>
      <c r="EC83" s="749"/>
      <c r="ED83" s="749"/>
      <c r="EE83" s="749"/>
      <c r="EF83" s="749"/>
      <c r="EG83" s="749"/>
      <c r="EH83" s="749"/>
      <c r="EI83" s="749"/>
      <c r="EJ83" s="749"/>
      <c r="EK83" s="749"/>
      <c r="EL83" s="749"/>
      <c r="EM83" s="749"/>
      <c r="EN83" s="749"/>
      <c r="EO83" s="749"/>
      <c r="EP83" s="749"/>
      <c r="EQ83" s="749"/>
      <c r="ER83" s="749"/>
      <c r="ES83" s="749"/>
      <c r="ET83" s="749"/>
      <c r="EU83" s="749"/>
      <c r="EV83" s="749"/>
      <c r="EW83" s="749"/>
      <c r="EX83" s="749"/>
      <c r="EY83" s="749"/>
      <c r="EZ83" s="749"/>
      <c r="FA83" s="749"/>
      <c r="FB83" s="749"/>
      <c r="FC83" s="749"/>
      <c r="FD83" s="749"/>
      <c r="FE83" s="749"/>
      <c r="FF83" s="749"/>
      <c r="FG83" s="749"/>
      <c r="FH83" s="749"/>
      <c r="FI83" s="749"/>
      <c r="FJ83" s="749"/>
      <c r="FK83" s="749"/>
      <c r="FL83" s="749"/>
      <c r="FM83" s="749"/>
      <c r="FN83" s="749"/>
      <c r="FO83" s="749"/>
      <c r="FP83" s="749"/>
      <c r="FQ83" s="749"/>
      <c r="FR83" s="749"/>
      <c r="FS83" s="749"/>
      <c r="FT83" s="749"/>
      <c r="FU83" s="749"/>
      <c r="FV83" s="749"/>
      <c r="FW83" s="749"/>
      <c r="FX83" s="749"/>
      <c r="FY83" s="749"/>
      <c r="FZ83" s="749"/>
      <c r="GA83" s="749"/>
      <c r="GB83" s="749"/>
      <c r="GC83" s="749"/>
      <c r="GD83" s="749"/>
      <c r="GE83" s="749"/>
      <c r="GF83" s="749"/>
      <c r="GG83" s="749"/>
      <c r="GH83" s="749"/>
      <c r="GI83" s="749"/>
      <c r="GJ83" s="749"/>
      <c r="GK83" s="749"/>
      <c r="GL83" s="749"/>
      <c r="GM83" s="749"/>
      <c r="GN83" s="749"/>
      <c r="GO83" s="749"/>
      <c r="GP83" s="749"/>
      <c r="GQ83" s="749"/>
      <c r="GR83" s="749"/>
      <c r="GS83" s="749"/>
      <c r="GT83" s="749"/>
      <c r="GU83" s="749"/>
      <c r="GV83" s="749"/>
      <c r="GW83" s="749"/>
      <c r="GX83" s="749"/>
      <c r="GY83" s="749"/>
      <c r="GZ83" s="749"/>
      <c r="HA83" s="749"/>
      <c r="HB83" s="749"/>
      <c r="HC83" s="749"/>
      <c r="HD83" s="749"/>
      <c r="HE83" s="749"/>
      <c r="HF83" s="749"/>
      <c r="HG83" s="749"/>
      <c r="HH83" s="749"/>
      <c r="HI83" s="749"/>
      <c r="HJ83" s="749"/>
      <c r="HK83" s="749"/>
      <c r="HL83" s="749"/>
      <c r="HM83" s="749"/>
    </row>
    <row r="84" spans="1:221" ht="12.75">
      <c r="A84" s="747"/>
      <c r="B84" s="747"/>
      <c r="C84" s="747"/>
      <c r="D84" s="861"/>
      <c r="E84" s="951" t="str">
        <f>_xlfn.CONCAT("Non GO Bonds (",'TAB 4 Project Funding'!D36,")")</f>
        <v>Non GO Bonds ()</v>
      </c>
      <c r="F84" s="885">
        <f>'TAB 4 Project Funding'!F36</f>
        <v>0</v>
      </c>
      <c r="G84" s="1012"/>
      <c r="H84" s="830"/>
      <c r="I84" s="953" t="str">
        <f>'TAB 4 Project Funding'!C16</f>
        <v>Research Funds (ICR / F&amp;A)</v>
      </c>
      <c r="J84" s="954">
        <f>'TAB 4 Project Funding'!F16</f>
        <v>0</v>
      </c>
      <c r="K84" s="832"/>
      <c r="L84" s="832"/>
      <c r="M84" s="832"/>
      <c r="N84" s="832"/>
      <c r="O84" s="832"/>
      <c r="P84" s="831"/>
      <c r="Q84" s="831"/>
      <c r="R84" s="831"/>
      <c r="S84" s="832"/>
      <c r="T84" s="832"/>
      <c r="U84" s="832"/>
      <c r="V84" s="832"/>
      <c r="W84" s="749"/>
      <c r="X84" s="749"/>
      <c r="Y84" s="749"/>
      <c r="Z84" s="749"/>
      <c r="AA84" s="749"/>
      <c r="AB84" s="749"/>
      <c r="AC84" s="749"/>
      <c r="AD84" s="749"/>
      <c r="AE84" s="749"/>
      <c r="AF84" s="749"/>
      <c r="AG84" s="749"/>
      <c r="AH84" s="749"/>
      <c r="AI84" s="749"/>
      <c r="AJ84" s="749"/>
      <c r="AK84" s="749"/>
      <c r="AL84" s="749"/>
      <c r="AM84" s="749"/>
      <c r="AN84" s="749"/>
      <c r="AO84" s="749"/>
      <c r="AP84" s="749"/>
      <c r="AQ84" s="749"/>
      <c r="AR84" s="749"/>
      <c r="AS84" s="749"/>
      <c r="AT84" s="749"/>
      <c r="AU84" s="749"/>
      <c r="AV84" s="749"/>
      <c r="AW84" s="749"/>
      <c r="AX84" s="749"/>
      <c r="AY84" s="749"/>
      <c r="AZ84" s="749"/>
      <c r="BA84" s="749"/>
      <c r="BB84" s="749"/>
      <c r="BC84" s="749"/>
      <c r="BD84" s="749"/>
      <c r="BE84" s="749"/>
      <c r="BF84" s="749"/>
      <c r="BG84" s="749"/>
      <c r="BH84" s="749"/>
      <c r="BI84" s="749"/>
      <c r="BJ84" s="749"/>
      <c r="BK84" s="749"/>
      <c r="BL84" s="749"/>
      <c r="BM84" s="749"/>
      <c r="BN84" s="749"/>
      <c r="BO84" s="749"/>
      <c r="BP84" s="749"/>
      <c r="BQ84" s="749"/>
      <c r="BR84" s="749"/>
      <c r="BS84" s="749"/>
      <c r="BT84" s="749"/>
      <c r="BU84" s="749"/>
      <c r="BV84" s="749"/>
      <c r="BW84" s="749"/>
      <c r="BX84" s="749"/>
      <c r="BY84" s="749"/>
      <c r="BZ84" s="749"/>
      <c r="CA84" s="749"/>
      <c r="CB84" s="749"/>
      <c r="CC84" s="749"/>
      <c r="CD84" s="749"/>
      <c r="CE84" s="749"/>
      <c r="CF84" s="749"/>
      <c r="CG84" s="749"/>
      <c r="CH84" s="749"/>
      <c r="CI84" s="749"/>
      <c r="CJ84" s="749"/>
      <c r="CK84" s="749"/>
      <c r="CL84" s="749"/>
      <c r="CM84" s="749"/>
      <c r="CN84" s="749"/>
      <c r="CO84" s="749"/>
      <c r="CP84" s="749"/>
      <c r="CQ84" s="749"/>
      <c r="CR84" s="749"/>
      <c r="CS84" s="749"/>
      <c r="CT84" s="749"/>
      <c r="CU84" s="749"/>
      <c r="CV84" s="749"/>
      <c r="CW84" s="749"/>
      <c r="CX84" s="749"/>
      <c r="CY84" s="749"/>
      <c r="CZ84" s="749"/>
      <c r="DA84" s="749"/>
      <c r="DB84" s="749"/>
      <c r="DC84" s="749"/>
      <c r="DD84" s="749"/>
      <c r="DE84" s="749"/>
      <c r="DF84" s="749"/>
      <c r="DG84" s="749"/>
      <c r="DH84" s="749"/>
      <c r="DI84" s="749"/>
      <c r="DJ84" s="749"/>
      <c r="DK84" s="749"/>
      <c r="DL84" s="749"/>
      <c r="DM84" s="749"/>
      <c r="DN84" s="749"/>
      <c r="DO84" s="749"/>
      <c r="DP84" s="749"/>
      <c r="DQ84" s="749"/>
      <c r="DR84" s="749"/>
      <c r="DS84" s="749"/>
      <c r="DT84" s="749"/>
      <c r="DU84" s="749"/>
      <c r="DV84" s="749"/>
      <c r="DW84" s="749"/>
      <c r="DX84" s="749"/>
      <c r="DY84" s="749"/>
      <c r="DZ84" s="749"/>
      <c r="EA84" s="749"/>
      <c r="EB84" s="749"/>
      <c r="EC84" s="749"/>
      <c r="ED84" s="749"/>
      <c r="EE84" s="749"/>
      <c r="EF84" s="749"/>
      <c r="EG84" s="749"/>
      <c r="EH84" s="749"/>
      <c r="EI84" s="749"/>
      <c r="EJ84" s="749"/>
      <c r="EK84" s="749"/>
      <c r="EL84" s="749"/>
      <c r="EM84" s="749"/>
      <c r="EN84" s="749"/>
      <c r="EO84" s="749"/>
      <c r="EP84" s="749"/>
      <c r="EQ84" s="749"/>
      <c r="ER84" s="749"/>
      <c r="ES84" s="749"/>
      <c r="ET84" s="749"/>
      <c r="EU84" s="749"/>
      <c r="EV84" s="749"/>
      <c r="EW84" s="749"/>
      <c r="EX84" s="749"/>
      <c r="EY84" s="749"/>
      <c r="EZ84" s="749"/>
      <c r="FA84" s="749"/>
      <c r="FB84" s="749"/>
      <c r="FC84" s="749"/>
      <c r="FD84" s="749"/>
      <c r="FE84" s="749"/>
      <c r="FF84" s="749"/>
      <c r="FG84" s="749"/>
      <c r="FH84" s="749"/>
      <c r="FI84" s="749"/>
      <c r="FJ84" s="749"/>
      <c r="FK84" s="749"/>
      <c r="FL84" s="749"/>
      <c r="FM84" s="749"/>
      <c r="FN84" s="749"/>
      <c r="FO84" s="749"/>
      <c r="FP84" s="749"/>
      <c r="FQ84" s="749"/>
      <c r="FR84" s="749"/>
      <c r="FS84" s="749"/>
      <c r="FT84" s="749"/>
      <c r="FU84" s="749"/>
      <c r="FV84" s="749"/>
      <c r="FW84" s="749"/>
      <c r="FX84" s="749"/>
      <c r="FY84" s="749"/>
      <c r="FZ84" s="749"/>
      <c r="GA84" s="749"/>
      <c r="GB84" s="749"/>
      <c r="GC84" s="749"/>
      <c r="GD84" s="749"/>
      <c r="GE84" s="749"/>
      <c r="GF84" s="749"/>
      <c r="GG84" s="749"/>
      <c r="GH84" s="749"/>
      <c r="GI84" s="749"/>
      <c r="GJ84" s="749"/>
      <c r="GK84" s="749"/>
      <c r="GL84" s="749"/>
      <c r="GM84" s="749"/>
      <c r="GN84" s="749"/>
      <c r="GO84" s="749"/>
      <c r="GP84" s="749"/>
      <c r="GQ84" s="749"/>
      <c r="GR84" s="749"/>
      <c r="GS84" s="749"/>
      <c r="GT84" s="749"/>
      <c r="GU84" s="749"/>
      <c r="GV84" s="749"/>
      <c r="GW84" s="749"/>
      <c r="GX84" s="749"/>
      <c r="GY84" s="749"/>
      <c r="GZ84" s="749"/>
      <c r="HA84" s="749"/>
      <c r="HB84" s="749"/>
      <c r="HC84" s="749"/>
      <c r="HD84" s="749"/>
      <c r="HE84" s="749"/>
      <c r="HF84" s="749"/>
      <c r="HG84" s="749"/>
      <c r="HH84" s="749"/>
      <c r="HI84" s="749"/>
      <c r="HJ84" s="749"/>
      <c r="HK84" s="749"/>
      <c r="HL84" s="749"/>
      <c r="HM84" s="749"/>
    </row>
    <row r="85" spans="1:221" ht="12.75">
      <c r="A85" s="747"/>
      <c r="B85" s="747"/>
      <c r="C85" s="747"/>
      <c r="D85" s="861"/>
      <c r="E85" s="951" t="str">
        <f>_xlfn.CONCAT("Non GO Bonds (",'TAB 4 Project Funding'!D37,")")</f>
        <v>Non GO Bonds ()</v>
      </c>
      <c r="F85" s="885">
        <f>'TAB 4 Project Funding'!F37</f>
        <v>0</v>
      </c>
      <c r="G85" s="1012"/>
      <c r="H85" s="830"/>
      <c r="I85" s="953" t="str">
        <f>'TAB 4 Project Funding'!C17</f>
        <v>Grants/Other (describe)</v>
      </c>
      <c r="J85" s="954">
        <f>'TAB 4 Project Funding'!F17</f>
        <v>0</v>
      </c>
      <c r="K85" s="832"/>
      <c r="L85" s="832"/>
      <c r="M85" s="832"/>
      <c r="N85" s="832"/>
      <c r="O85" s="832"/>
      <c r="P85" s="832"/>
      <c r="Q85" s="832"/>
      <c r="R85" s="832"/>
      <c r="S85" s="832"/>
      <c r="T85" s="832"/>
      <c r="U85" s="832"/>
      <c r="V85" s="832"/>
      <c r="W85" s="749"/>
      <c r="X85" s="747"/>
      <c r="Y85" s="747"/>
    </row>
    <row r="86" spans="1:221" ht="12.75">
      <c r="A86" s="747"/>
      <c r="B86" s="747"/>
      <c r="C86" s="747"/>
      <c r="D86" s="861"/>
      <c r="E86" s="951" t="str">
        <f>'TAB 4 Project Funding'!B20</f>
        <v>Funding Sources Total</v>
      </c>
      <c r="F86" s="885">
        <f>'TAB 4 Project Funding'!F20</f>
        <v>0</v>
      </c>
      <c r="G86" s="1012"/>
      <c r="H86" s="830"/>
      <c r="I86" s="953" t="str">
        <f>'TAB 4 Project Funding'!C18</f>
        <v>RE Ventures Financing</v>
      </c>
      <c r="J86" s="954">
        <f>'TAB 4 Project Funding'!F18</f>
        <v>0</v>
      </c>
      <c r="K86" s="832"/>
      <c r="L86" s="832"/>
      <c r="M86" s="832"/>
      <c r="N86" s="832"/>
      <c r="O86" s="832"/>
      <c r="P86" s="832"/>
      <c r="Q86" s="832"/>
      <c r="R86" s="832"/>
      <c r="S86" s="832"/>
      <c r="T86" s="832"/>
      <c r="U86" s="832"/>
      <c r="V86" s="832"/>
      <c r="W86" s="749"/>
      <c r="X86" s="747"/>
      <c r="Y86" s="747"/>
    </row>
    <row r="87" spans="1:221" ht="12.75">
      <c r="A87" s="747"/>
      <c r="B87" s="747"/>
      <c r="C87" s="747"/>
      <c r="D87" s="955"/>
      <c r="E87" s="959"/>
      <c r="F87" s="1013"/>
      <c r="G87" s="1014"/>
      <c r="H87" s="959"/>
      <c r="I87" s="960" t="s">
        <v>7554</v>
      </c>
      <c r="J87" s="961">
        <f>SUM(J79:J86)</f>
        <v>0</v>
      </c>
      <c r="K87" s="832"/>
      <c r="L87" s="832"/>
      <c r="M87" s="832"/>
      <c r="N87" s="832"/>
      <c r="O87" s="832"/>
      <c r="P87" s="832"/>
      <c r="Q87" s="832"/>
      <c r="R87" s="832"/>
      <c r="S87" s="832"/>
      <c r="T87" s="832"/>
      <c r="U87" s="832"/>
      <c r="V87" s="832"/>
      <c r="W87" s="749"/>
      <c r="X87" s="747"/>
      <c r="Y87" s="747"/>
    </row>
    <row r="88" spans="1:221" ht="13.5" thickBot="1">
      <c r="A88" s="771"/>
      <c r="B88" s="771"/>
      <c r="C88" s="771"/>
      <c r="D88" s="939"/>
      <c r="E88" s="940"/>
      <c r="F88" s="944"/>
      <c r="G88" s="943"/>
      <c r="H88" s="941"/>
      <c r="I88" s="945"/>
      <c r="J88" s="942"/>
      <c r="K88" s="832"/>
      <c r="L88" s="832"/>
      <c r="M88" s="832"/>
      <c r="N88" s="832"/>
      <c r="O88" s="832"/>
      <c r="P88" s="832"/>
      <c r="Q88" s="832"/>
      <c r="R88" s="832"/>
      <c r="S88" s="832"/>
      <c r="T88" s="832"/>
      <c r="U88" s="832"/>
      <c r="V88" s="832"/>
      <c r="W88" s="749"/>
      <c r="X88" s="747"/>
      <c r="Y88" s="747"/>
    </row>
    <row r="89" spans="1:221" ht="12.75">
      <c r="A89" s="752"/>
      <c r="B89" s="752"/>
      <c r="C89" s="752"/>
      <c r="D89" s="752"/>
      <c r="E89" s="835"/>
      <c r="F89" s="752"/>
      <c r="G89" s="749"/>
      <c r="H89" s="749"/>
      <c r="I89" s="749"/>
      <c r="J89" s="749"/>
      <c r="K89" s="749"/>
      <c r="L89" s="749"/>
      <c r="M89" s="749"/>
      <c r="N89" s="749"/>
      <c r="O89" s="749"/>
      <c r="P89" s="749"/>
      <c r="Q89" s="749"/>
      <c r="R89" s="749"/>
      <c r="S89" s="749"/>
      <c r="T89" s="749"/>
      <c r="U89" s="749"/>
      <c r="V89" s="749"/>
      <c r="W89" s="749"/>
      <c r="X89" s="747"/>
      <c r="Y89" s="747"/>
    </row>
    <row r="90" spans="1:221" ht="12.75">
      <c r="A90" s="749"/>
      <c r="B90" s="749"/>
      <c r="C90" s="749"/>
      <c r="D90" s="749"/>
      <c r="E90" s="835"/>
      <c r="F90" s="749"/>
      <c r="G90" s="749"/>
      <c r="H90" s="749"/>
      <c r="I90" s="749"/>
      <c r="J90" s="749"/>
      <c r="K90" s="749"/>
      <c r="L90" s="749"/>
      <c r="M90" s="749"/>
      <c r="N90" s="749"/>
      <c r="O90" s="749"/>
      <c r="P90" s="749"/>
      <c r="Q90" s="749"/>
      <c r="R90" s="749"/>
      <c r="S90" s="749"/>
      <c r="T90" s="749"/>
      <c r="U90" s="749"/>
      <c r="V90" s="749"/>
      <c r="W90" s="749"/>
      <c r="X90" s="747"/>
      <c r="Y90" s="747"/>
    </row>
    <row r="91" spans="1:221" ht="12.75">
      <c r="A91" s="749"/>
      <c r="B91" s="749"/>
      <c r="C91" s="749"/>
      <c r="D91" s="749"/>
      <c r="E91" s="749"/>
      <c r="F91" s="749"/>
      <c r="G91" s="749"/>
      <c r="H91" s="749"/>
      <c r="I91" s="749"/>
      <c r="J91" s="749"/>
      <c r="K91" s="749"/>
      <c r="L91" s="749"/>
      <c r="M91" s="749"/>
      <c r="N91" s="749"/>
      <c r="O91" s="749"/>
      <c r="P91" s="749"/>
      <c r="Q91" s="749"/>
      <c r="R91" s="749"/>
      <c r="S91" s="747"/>
      <c r="T91" s="747"/>
      <c r="U91" s="747"/>
      <c r="V91" s="747"/>
      <c r="W91" s="747"/>
      <c r="X91" s="747"/>
      <c r="Y91" s="747"/>
    </row>
    <row r="92" spans="1:221">
      <c r="A92" s="747"/>
      <c r="B92" s="747"/>
      <c r="C92" s="747"/>
      <c r="D92" s="747"/>
      <c r="E92" s="747"/>
      <c r="F92" s="747"/>
      <c r="G92" s="747"/>
      <c r="H92" s="747"/>
      <c r="I92" s="747"/>
      <c r="J92" s="747"/>
      <c r="K92" s="747"/>
      <c r="L92" s="747"/>
      <c r="M92" s="747"/>
      <c r="N92" s="747"/>
      <c r="O92" s="747"/>
      <c r="P92" s="747"/>
      <c r="Q92" s="747"/>
      <c r="R92" s="747"/>
      <c r="S92" s="747"/>
      <c r="T92" s="747"/>
      <c r="U92" s="747"/>
      <c r="V92" s="747"/>
      <c r="W92" s="747"/>
      <c r="X92" s="747"/>
      <c r="Y92" s="747"/>
    </row>
    <row r="94" spans="1:221">
      <c r="C94" s="829"/>
      <c r="D94" s="829"/>
      <c r="E94" s="829"/>
      <c r="F94" s="829"/>
    </row>
    <row r="100" spans="2:6">
      <c r="B100" s="806"/>
    </row>
    <row r="101" spans="2:6">
      <c r="B101" s="806"/>
    </row>
    <row r="106" spans="2:6" ht="12.75">
      <c r="B106" s="2"/>
      <c r="C106" s="2"/>
      <c r="D106" s="2"/>
      <c r="E106" s="2"/>
      <c r="F106" s="2"/>
    </row>
  </sheetData>
  <sheetProtection algorithmName="SHA-512" hashValue="hUfB8mfTV0Q6W2A+MbRtISPwC/yt15rHJZWe6Bcdb1PdBEobBK8rrBaZTowgeEjC4iDHvdBF145AamvEGBTnkw==" saltValue="OyRs9wgc+w7T4szDZj9U1A==" spinCount="100000" sheet="1" objects="1" scenarios="1"/>
  <dataValidations disablePrompts="1" count="1">
    <dataValidation type="list" allowBlank="1" showInputMessage="1" showErrorMessage="1" sqref="C95:F96 C103:F105 C98:F101" xr:uid="{73B7FAB8-55C9-457B-AE42-950E81831199}">
      <formula1>#REF!</formula1>
    </dataValidation>
  </dataValidations>
  <printOptions horizontalCentered="1"/>
  <pageMargins left="0.7" right="0.7" top="0.75" bottom="0.75" header="0.3" footer="0.3"/>
  <pageSetup scale="62"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00B0F0"/>
    <pageSetUpPr fitToPage="1"/>
  </sheetPr>
  <dimension ref="A1:J26"/>
  <sheetViews>
    <sheetView workbookViewId="0"/>
  </sheetViews>
  <sheetFormatPr defaultColWidth="9.140625" defaultRowHeight="12.75"/>
  <cols>
    <col min="1" max="1" width="2.140625" customWidth="1"/>
    <col min="2" max="2" width="29" customWidth="1"/>
    <col min="3" max="3" width="12.42578125" customWidth="1"/>
    <col min="4" max="4" width="13.140625" customWidth="1"/>
    <col min="5" max="5" width="6.140625" customWidth="1"/>
    <col min="6" max="6" width="9.5703125" customWidth="1"/>
    <col min="7" max="7" width="21.7109375" customWidth="1"/>
    <col min="8" max="8" width="36.42578125" customWidth="1"/>
    <col min="9" max="9" width="9.7109375" customWidth="1"/>
  </cols>
  <sheetData>
    <row r="1" spans="1:10" ht="34.5" customHeight="1" thickBot="1">
      <c r="A1" s="19" t="s">
        <v>203</v>
      </c>
      <c r="B1" s="7"/>
      <c r="D1" s="7"/>
      <c r="E1" s="20"/>
      <c r="F1" s="7"/>
      <c r="G1" s="21"/>
      <c r="H1" s="21"/>
      <c r="I1" s="22" t="str">
        <f>'TAB 1 Proj. ID &amp; Prim Narrative'!M1</f>
        <v>USG CAPITAL PLAN -  FY 27-30 PROJECT TEMPLATE</v>
      </c>
    </row>
    <row r="2" spans="1:10" ht="32.25" customHeight="1" thickBot="1">
      <c r="A2" s="7"/>
      <c r="B2" s="7"/>
      <c r="C2" s="68" t="str">
        <f>IF('TAB 1 Proj. ID &amp; Prim Narrative'!$B$7="","",'TAB 1 Proj. ID &amp; Prim Narrative'!$B$7)</f>
        <v/>
      </c>
      <c r="D2" s="424" t="str">
        <f>IF('TAB 1 Proj. ID &amp; Prim Narrative'!U13="","",'TAB 1 Proj. ID &amp; Prim Narrative'!U13)</f>
        <v/>
      </c>
      <c r="E2" s="1676" t="str">
        <f>IF('TAB 1 Proj. ID &amp; Prim Narrative'!$AB$97="","",'TAB 1 Proj. ID &amp; Prim Narrative'!$AC$95)</f>
        <v/>
      </c>
      <c r="F2" s="1463"/>
      <c r="G2" s="1777" t="str">
        <f>IF('TAB 1 Proj. ID &amp; Prim Narrative'!$D$10="","",'TAB 1 Proj. ID &amp; Prim Narrative'!$D$10)</f>
        <v/>
      </c>
      <c r="H2" s="1778"/>
      <c r="I2" s="1779"/>
    </row>
    <row r="3" spans="1:10" ht="21.75" customHeight="1">
      <c r="A3" s="7"/>
      <c r="B3" s="12"/>
      <c r="C3" s="12"/>
      <c r="D3" s="12"/>
      <c r="E3" s="12"/>
      <c r="F3" s="12"/>
      <c r="G3" s="13"/>
      <c r="H3" s="14"/>
      <c r="I3" s="12"/>
    </row>
    <row r="4" spans="1:10" ht="17.25" customHeight="1">
      <c r="A4" s="7"/>
      <c r="B4" s="16" t="s">
        <v>212</v>
      </c>
      <c r="C4" s="7"/>
      <c r="D4" s="7"/>
      <c r="E4" s="25"/>
      <c r="F4" s="12"/>
      <c r="G4" s="12"/>
      <c r="H4" s="12"/>
      <c r="I4" s="12"/>
      <c r="J4" s="5"/>
    </row>
    <row r="5" spans="1:10" ht="26.25" customHeight="1" thickBot="1">
      <c r="A5" s="7"/>
      <c r="B5" s="98" t="s">
        <v>308</v>
      </c>
      <c r="C5" s="26"/>
      <c r="D5" s="26"/>
      <c r="E5" s="27"/>
      <c r="F5" s="27"/>
      <c r="G5" s="12"/>
      <c r="H5" s="12"/>
      <c r="I5" s="12"/>
      <c r="J5" s="5"/>
    </row>
    <row r="6" spans="1:10" ht="180" customHeight="1" thickBot="1">
      <c r="B6" s="1594"/>
      <c r="C6" s="1595"/>
      <c r="D6" s="1595"/>
      <c r="E6" s="1595"/>
      <c r="F6" s="1595"/>
      <c r="G6" s="1595"/>
      <c r="H6" s="1595"/>
      <c r="I6" s="1735"/>
      <c r="J6" s="6"/>
    </row>
    <row r="7" spans="1:10" ht="21" customHeight="1">
      <c r="A7" s="7"/>
      <c r="B7" s="12"/>
      <c r="C7" s="12"/>
      <c r="D7" s="12"/>
      <c r="E7" s="12"/>
      <c r="F7" s="12"/>
      <c r="G7" s="13"/>
      <c r="H7" s="14"/>
      <c r="I7" s="12"/>
    </row>
    <row r="8" spans="1:10" ht="21" customHeight="1">
      <c r="A8" s="7"/>
      <c r="B8" s="16" t="s">
        <v>6721</v>
      </c>
      <c r="C8" s="12"/>
      <c r="D8" s="11"/>
      <c r="E8" s="12"/>
      <c r="F8" s="12"/>
      <c r="G8" s="13"/>
      <c r="H8" s="14"/>
      <c r="I8" s="12"/>
    </row>
    <row r="9" spans="1:10" ht="20.25" customHeight="1">
      <c r="A9" s="7"/>
      <c r="B9" s="98" t="s">
        <v>307</v>
      </c>
      <c r="C9" s="12"/>
      <c r="D9" s="423"/>
      <c r="E9" s="12"/>
      <c r="F9" s="12"/>
      <c r="G9" s="13"/>
      <c r="H9" s="14"/>
      <c r="I9" s="12"/>
    </row>
    <row r="10" spans="1:10" ht="14.25" customHeight="1">
      <c r="A10" s="7"/>
      <c r="B10" s="99" t="s">
        <v>6722</v>
      </c>
      <c r="C10" s="12"/>
      <c r="D10" s="423"/>
      <c r="E10" s="12"/>
      <c r="F10" s="12"/>
      <c r="G10" s="13"/>
      <c r="H10" s="14"/>
      <c r="I10" s="12"/>
    </row>
    <row r="11" spans="1:10" ht="20.25" customHeight="1" thickBot="1">
      <c r="A11" s="7"/>
      <c r="B11" s="1780" t="s">
        <v>6725</v>
      </c>
      <c r="C11" s="1781"/>
      <c r="D11" s="1781"/>
      <c r="E11" s="1781"/>
      <c r="F11" s="1781"/>
      <c r="G11" s="1781"/>
      <c r="H11" s="1781"/>
      <c r="I11" s="1781"/>
    </row>
    <row r="12" spans="1:10" ht="180" customHeight="1" thickBot="1">
      <c r="B12" s="1514"/>
      <c r="C12" s="1515"/>
      <c r="D12" s="1515"/>
      <c r="E12" s="1515"/>
      <c r="F12" s="1515"/>
      <c r="G12" s="1515"/>
      <c r="H12" s="1515"/>
      <c r="I12" s="1516"/>
    </row>
    <row r="13" spans="1:10" ht="19.5" customHeight="1">
      <c r="A13" s="7"/>
      <c r="B13" s="7"/>
      <c r="C13" s="7"/>
      <c r="D13" s="7"/>
      <c r="E13" s="7"/>
      <c r="F13" s="7"/>
      <c r="G13" s="7"/>
      <c r="H13" s="7"/>
      <c r="I13" s="7"/>
    </row>
    <row r="14" spans="1:10" ht="20.25" customHeight="1">
      <c r="A14" s="7"/>
      <c r="B14" s="16" t="s">
        <v>6723</v>
      </c>
      <c r="C14" s="12"/>
      <c r="D14" s="5"/>
      <c r="E14" s="12"/>
      <c r="F14" s="12"/>
      <c r="G14" s="13"/>
      <c r="H14" s="10"/>
      <c r="I14" s="7"/>
    </row>
    <row r="15" spans="1:10" ht="20.25" customHeight="1" thickBot="1">
      <c r="A15" s="7"/>
      <c r="B15" s="98" t="s">
        <v>6728</v>
      </c>
      <c r="C15" s="12"/>
      <c r="D15" s="11"/>
      <c r="E15" s="12"/>
      <c r="F15" s="12"/>
      <c r="G15" s="13"/>
      <c r="H15" s="14"/>
      <c r="I15" s="12"/>
    </row>
    <row r="16" spans="1:10" ht="18.75" customHeight="1" thickBot="1">
      <c r="A16" s="7"/>
      <c r="B16" s="101" t="s">
        <v>6724</v>
      </c>
      <c r="C16" s="12"/>
      <c r="D16" s="11"/>
      <c r="E16" s="12"/>
      <c r="F16" s="12"/>
      <c r="G16" s="13"/>
      <c r="H16" s="14"/>
      <c r="I16" s="12"/>
    </row>
    <row r="17" spans="1:9" ht="153.75" customHeight="1" thickBot="1">
      <c r="B17" s="1514"/>
      <c r="C17" s="1515"/>
      <c r="D17" s="1515"/>
      <c r="E17" s="1515"/>
      <c r="F17" s="1515"/>
      <c r="G17" s="1515"/>
      <c r="H17" s="1515"/>
      <c r="I17" s="1516"/>
    </row>
    <row r="18" spans="1:9" ht="19.5" customHeight="1">
      <c r="A18" s="7"/>
      <c r="B18" s="7"/>
      <c r="C18" s="7"/>
      <c r="D18" s="7"/>
      <c r="E18" s="7"/>
      <c r="F18" s="7"/>
      <c r="G18" s="7"/>
      <c r="H18" s="7"/>
      <c r="I18" s="7"/>
    </row>
    <row r="19" spans="1:9" ht="18">
      <c r="A19" s="7"/>
      <c r="B19" s="16" t="s">
        <v>6729</v>
      </c>
      <c r="C19" s="12"/>
      <c r="E19" s="7"/>
      <c r="F19" s="7"/>
      <c r="G19" s="9"/>
      <c r="H19" s="10"/>
      <c r="I19" s="7"/>
    </row>
    <row r="20" spans="1:9" ht="18.75" customHeight="1">
      <c r="A20" s="7"/>
      <c r="B20" s="100" t="s">
        <v>6730</v>
      </c>
      <c r="C20" s="12"/>
      <c r="D20" s="11"/>
      <c r="E20" s="12"/>
      <c r="F20" s="12"/>
      <c r="G20" s="13"/>
      <c r="H20" s="14"/>
      <c r="I20" s="12"/>
    </row>
    <row r="21" spans="1:9" ht="21.75" customHeight="1" thickBot="1">
      <c r="A21" s="7"/>
      <c r="B21" s="99" t="s">
        <v>6731</v>
      </c>
      <c r="C21" s="12"/>
      <c r="D21" s="11"/>
      <c r="E21" s="12"/>
      <c r="F21" s="12"/>
      <c r="G21" s="13"/>
      <c r="H21" s="14"/>
      <c r="I21" s="12"/>
    </row>
    <row r="22" spans="1:9" ht="152.25" customHeight="1" thickBot="1">
      <c r="B22" s="1594"/>
      <c r="C22" s="1595"/>
      <c r="D22" s="1595"/>
      <c r="E22" s="1595"/>
      <c r="F22" s="1595"/>
      <c r="G22" s="1595"/>
      <c r="H22" s="1595"/>
      <c r="I22" s="1735"/>
    </row>
    <row r="23" spans="1:9" ht="19.5" customHeight="1">
      <c r="A23" s="7"/>
      <c r="B23" s="8"/>
      <c r="C23" s="7"/>
      <c r="D23" s="7"/>
      <c r="E23" s="7"/>
      <c r="F23" s="7"/>
      <c r="G23" s="7"/>
      <c r="H23" s="7"/>
      <c r="I23" s="7"/>
    </row>
    <row r="24" spans="1:9" ht="20.25" customHeight="1">
      <c r="A24" s="7"/>
      <c r="B24" s="16" t="s">
        <v>6727</v>
      </c>
      <c r="C24" s="12"/>
      <c r="D24" s="5"/>
      <c r="E24" s="12"/>
      <c r="F24" s="12"/>
      <c r="G24" s="13"/>
      <c r="H24" s="10"/>
      <c r="I24" s="7"/>
    </row>
    <row r="25" spans="1:9" ht="20.25" customHeight="1" thickBot="1">
      <c r="A25" s="7"/>
      <c r="B25" s="98" t="s">
        <v>6732</v>
      </c>
      <c r="C25" s="12"/>
      <c r="D25" s="11"/>
      <c r="E25" s="12"/>
      <c r="F25" s="12"/>
      <c r="G25" s="13"/>
      <c r="H25" s="14"/>
      <c r="I25" s="12"/>
    </row>
    <row r="26" spans="1:9" ht="153" customHeight="1" thickBot="1">
      <c r="B26" s="1514"/>
      <c r="C26" s="1515"/>
      <c r="D26" s="1515"/>
      <c r="E26" s="1515"/>
      <c r="F26" s="1515"/>
      <c r="G26" s="1515"/>
      <c r="H26" s="1515"/>
      <c r="I26" s="1516"/>
    </row>
  </sheetData>
  <sheetProtection algorithmName="SHA-512" hashValue="ex8ILWSEi7zhOaUFBaiqoE1EIgk2WMtmz1P1ww5Y5RJEieMuacfVRX+n5KqrIZ93ZU+GGEu2xfJRBhF8SWLKvw==" saltValue="azZid/lq+wKjNYPO60h5Rg==" spinCount="100000" sheet="1" objects="1" scenarios="1"/>
  <mergeCells count="8">
    <mergeCell ref="G2:I2"/>
    <mergeCell ref="E2:F2"/>
    <mergeCell ref="B12:I12"/>
    <mergeCell ref="B26:I26"/>
    <mergeCell ref="B22:I22"/>
    <mergeCell ref="B6:I6"/>
    <mergeCell ref="B11:I11"/>
    <mergeCell ref="B17:I17"/>
  </mergeCells>
  <dataValidations xWindow="1013" yWindow="333" count="6">
    <dataValidation type="textLength" operator="lessThanOrEqual" allowBlank="1" showInputMessage="1" showErrorMessage="1" promptTitle="PROJECT DESCRIPTION AND SCOPE" prompt="Provide narrative describing the physical characteristics and scope of the project (max. length 1500 characters)" sqref="B12:I12" xr:uid="{00000000-0002-0000-0500-000000000000}">
      <formula1>1500</formula1>
    </dataValidation>
    <dataValidation type="textLength" operator="lessThanOrEqual" allowBlank="1" showInputMessage="1" showErrorMessage="1" promptTitle="IMPACT AND BENEFITS" prompt="Provide narrative describing the objective impact, benefits, and outcomes of the project (max. length 1500 characters)" sqref="B26:I26" xr:uid="{00000000-0002-0000-0500-000001000000}">
      <formula1>1500</formula1>
    </dataValidation>
    <dataValidation type="textLength" operator="lessThanOrEqual" allowBlank="1" showInputMessage="1" showErrorMessage="1" promptTitle="URGENCY OF PROJECT" prompt="Provide narrative specifying why this project needs to be implented in the short term as proposed, and what makes the project more essential than other institution and system needs  (max. length 1500 characters)" sqref="B22:I22" xr:uid="{00000000-0002-0000-0500-000002000000}">
      <formula1>1500</formula1>
    </dataValidation>
    <dataValidation type="textLength" operator="lessThanOrEqual" allowBlank="1" showInputMessage="1" showErrorMessage="1" promptTitle="EXECUTIVE SUMMARY NARRATIVE" prompt="Enter Executive Summary narrative (max. length 1,500 characters)" sqref="B6:I6" xr:uid="{00000000-0002-0000-0500-000003000000}">
      <formula1>1500</formula1>
    </dataValidation>
    <dataValidation type="textLength" operator="lessThanOrEqual" allowBlank="1" showInputMessage="1" showErrorMessage="1" sqref="J6" xr:uid="{00000000-0002-0000-0500-000004000000}">
      <formula1>1500</formula1>
    </dataValidation>
    <dataValidation type="textLength" operator="lessThanOrEqual" allowBlank="1" showInputMessage="1" showErrorMessage="1" promptTitle="IMPORTANCE OF PROJECT" prompt="Provide narrative describing the importance of the project in the context of specific institution needs and institution/system goals and objectives (max. length 1500 characters)" sqref="B17:I17" xr:uid="{00000000-0002-0000-0500-000005000000}">
      <formula1>1500</formula1>
    </dataValidation>
  </dataValidations>
  <pageMargins left="0.2" right="0.2" top="0.25" bottom="0.25" header="0.3" footer="0.3"/>
  <pageSetup paperSize="5" scale="74" fitToHeight="0" orientation="portrait" horizontalDpi="4294967294"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Z1644"/>
  <sheetViews>
    <sheetView workbookViewId="0"/>
  </sheetViews>
  <sheetFormatPr defaultRowHeight="12.75"/>
  <cols>
    <col min="1" max="1" width="32" customWidth="1"/>
    <col min="2" max="2" width="26" customWidth="1"/>
    <col min="3" max="3" width="34.140625" customWidth="1"/>
    <col min="4" max="4" width="29" customWidth="1"/>
    <col min="5" max="5" width="34.5703125" customWidth="1"/>
    <col min="6" max="6" width="25.85546875" customWidth="1"/>
    <col min="7" max="7" width="36.42578125" customWidth="1"/>
    <col min="8" max="8" width="33.28515625" customWidth="1"/>
    <col min="9" max="9" width="36.28515625" customWidth="1"/>
    <col min="10" max="10" width="30" customWidth="1"/>
    <col min="11" max="11" width="26.7109375" customWidth="1"/>
    <col min="12" max="12" width="15.85546875" customWidth="1"/>
    <col min="13" max="13" width="28" customWidth="1"/>
    <col min="14" max="18" width="25.5703125" customWidth="1"/>
    <col min="19" max="19" width="27.42578125" customWidth="1"/>
    <col min="20" max="20" width="21.7109375" customWidth="1"/>
    <col min="21" max="21" width="22.140625" customWidth="1"/>
    <col min="22" max="22" width="24.42578125" customWidth="1"/>
    <col min="23" max="23" width="23.85546875" customWidth="1"/>
    <col min="24" max="24" width="25.140625" customWidth="1"/>
    <col min="25" max="25" width="33.85546875" customWidth="1"/>
    <col min="26" max="26" width="15.5703125" customWidth="1"/>
  </cols>
  <sheetData>
    <row r="1" spans="1:26">
      <c r="A1" s="3" t="s">
        <v>6661</v>
      </c>
      <c r="B1" t="s">
        <v>6662</v>
      </c>
      <c r="C1" t="s">
        <v>6663</v>
      </c>
      <c r="D1" t="s">
        <v>6664</v>
      </c>
      <c r="E1" t="s">
        <v>6665</v>
      </c>
      <c r="F1" t="s">
        <v>6666</v>
      </c>
      <c r="G1" t="s">
        <v>6667</v>
      </c>
      <c r="H1" t="s">
        <v>6668</v>
      </c>
      <c r="I1" t="s">
        <v>6669</v>
      </c>
      <c r="J1" t="s">
        <v>6670</v>
      </c>
      <c r="K1" t="s">
        <v>6671</v>
      </c>
      <c r="L1" t="s">
        <v>6672</v>
      </c>
      <c r="M1" t="s">
        <v>6673</v>
      </c>
      <c r="N1" t="s">
        <v>6674</v>
      </c>
      <c r="O1" t="s">
        <v>6675</v>
      </c>
      <c r="P1" t="s">
        <v>6676</v>
      </c>
      <c r="Q1" t="s">
        <v>6677</v>
      </c>
      <c r="R1" t="s">
        <v>6678</v>
      </c>
      <c r="S1" t="s">
        <v>6679</v>
      </c>
      <c r="T1" t="s">
        <v>6680</v>
      </c>
      <c r="U1" t="s">
        <v>6681</v>
      </c>
      <c r="V1" t="s">
        <v>6682</v>
      </c>
      <c r="W1" t="s">
        <v>6683</v>
      </c>
      <c r="X1" t="s">
        <v>6684</v>
      </c>
      <c r="Y1" t="s">
        <v>6685</v>
      </c>
      <c r="Z1" t="s">
        <v>6686</v>
      </c>
    </row>
    <row r="2" spans="1:26">
      <c r="A2" s="329"/>
      <c r="B2" s="329"/>
      <c r="C2" s="329"/>
      <c r="D2" s="329"/>
      <c r="E2" s="329"/>
      <c r="F2" s="330"/>
      <c r="G2" s="329"/>
      <c r="H2" s="329"/>
      <c r="I2" s="330"/>
      <c r="J2" s="330"/>
      <c r="K2" s="329"/>
      <c r="L2" s="329"/>
      <c r="M2" s="329"/>
      <c r="N2" s="329"/>
      <c r="O2" s="329"/>
      <c r="P2" s="329"/>
      <c r="Q2" s="329"/>
      <c r="R2" s="329"/>
      <c r="S2" s="329"/>
      <c r="T2" s="329"/>
      <c r="U2" s="329"/>
      <c r="V2" s="330"/>
      <c r="W2" s="329"/>
      <c r="X2" s="329"/>
      <c r="Y2" s="329"/>
      <c r="Z2" s="329"/>
    </row>
    <row r="3" spans="1:26">
      <c r="A3" t="s">
        <v>815</v>
      </c>
      <c r="B3" t="s">
        <v>4502</v>
      </c>
      <c r="C3" t="s">
        <v>769</v>
      </c>
      <c r="D3" t="s">
        <v>765</v>
      </c>
      <c r="E3" t="s">
        <v>4502</v>
      </c>
      <c r="F3" t="s">
        <v>5402</v>
      </c>
      <c r="G3" t="s">
        <v>4756</v>
      </c>
      <c r="H3" t="s">
        <v>815</v>
      </c>
      <c r="I3" t="s">
        <v>815</v>
      </c>
      <c r="J3" t="s">
        <v>855</v>
      </c>
      <c r="K3" t="s">
        <v>1933</v>
      </c>
      <c r="L3" t="s">
        <v>4503</v>
      </c>
      <c r="M3" t="s">
        <v>4502</v>
      </c>
      <c r="N3" t="s">
        <v>769</v>
      </c>
      <c r="O3" t="s">
        <v>751</v>
      </c>
      <c r="P3" t="s">
        <v>4502</v>
      </c>
      <c r="Q3" t="s">
        <v>769</v>
      </c>
      <c r="R3" t="s">
        <v>4502</v>
      </c>
      <c r="S3" t="s">
        <v>5632</v>
      </c>
      <c r="T3" t="s">
        <v>5632</v>
      </c>
      <c r="U3" t="s">
        <v>751</v>
      </c>
      <c r="V3" t="s">
        <v>1139</v>
      </c>
      <c r="W3" t="s">
        <v>1139</v>
      </c>
      <c r="X3" t="s">
        <v>6091</v>
      </c>
      <c r="Y3" t="s">
        <v>4502</v>
      </c>
      <c r="Z3" t="s">
        <v>4502</v>
      </c>
    </row>
    <row r="4" spans="1:26">
      <c r="A4" t="s">
        <v>561</v>
      </c>
      <c r="B4" t="s">
        <v>769</v>
      </c>
      <c r="C4" t="s">
        <v>524</v>
      </c>
      <c r="D4" t="s">
        <v>1360</v>
      </c>
      <c r="E4" t="s">
        <v>769</v>
      </c>
      <c r="F4" t="s">
        <v>6427</v>
      </c>
      <c r="G4" t="s">
        <v>815</v>
      </c>
      <c r="H4" t="s">
        <v>529</v>
      </c>
      <c r="I4" t="s">
        <v>529</v>
      </c>
      <c r="J4" t="s">
        <v>815</v>
      </c>
      <c r="K4" t="s">
        <v>3256</v>
      </c>
      <c r="L4" t="s">
        <v>4533</v>
      </c>
      <c r="M4" t="s">
        <v>769</v>
      </c>
      <c r="N4" t="s">
        <v>524</v>
      </c>
      <c r="O4" t="s">
        <v>947</v>
      </c>
      <c r="P4" t="s">
        <v>524</v>
      </c>
      <c r="Q4" t="s">
        <v>524</v>
      </c>
      <c r="R4" t="s">
        <v>769</v>
      </c>
      <c r="S4" t="s">
        <v>5757</v>
      </c>
      <c r="T4" t="s">
        <v>5757</v>
      </c>
      <c r="U4" t="s">
        <v>947</v>
      </c>
      <c r="V4" t="s">
        <v>6635</v>
      </c>
      <c r="W4" t="s">
        <v>1068</v>
      </c>
      <c r="X4" t="s">
        <v>5940</v>
      </c>
      <c r="Y4" t="s">
        <v>769</v>
      </c>
      <c r="Z4" t="s">
        <v>524</v>
      </c>
    </row>
    <row r="5" spans="1:26">
      <c r="A5" t="s">
        <v>892</v>
      </c>
      <c r="B5" t="s">
        <v>524</v>
      </c>
      <c r="C5" t="s">
        <v>1059</v>
      </c>
      <c r="D5" t="s">
        <v>1317</v>
      </c>
      <c r="E5" t="s">
        <v>524</v>
      </c>
      <c r="F5" t="s">
        <v>6417</v>
      </c>
      <c r="G5" t="s">
        <v>4627</v>
      </c>
      <c r="H5" t="s">
        <v>561</v>
      </c>
      <c r="I5" t="s">
        <v>682</v>
      </c>
      <c r="J5" t="s">
        <v>504</v>
      </c>
      <c r="K5" t="s">
        <v>1583</v>
      </c>
      <c r="L5" t="s">
        <v>4499</v>
      </c>
      <c r="M5" t="s">
        <v>524</v>
      </c>
      <c r="N5" t="s">
        <v>855</v>
      </c>
      <c r="O5" t="s">
        <v>535</v>
      </c>
      <c r="P5" t="s">
        <v>1059</v>
      </c>
      <c r="Q5" t="s">
        <v>1059</v>
      </c>
      <c r="R5" t="s">
        <v>524</v>
      </c>
      <c r="S5" t="s">
        <v>5650</v>
      </c>
      <c r="T5" t="s">
        <v>4756</v>
      </c>
      <c r="U5" t="s">
        <v>535</v>
      </c>
      <c r="V5" t="s">
        <v>6631</v>
      </c>
      <c r="W5" t="s">
        <v>529</v>
      </c>
      <c r="X5" t="s">
        <v>6025</v>
      </c>
      <c r="Y5" t="s">
        <v>524</v>
      </c>
      <c r="Z5" t="s">
        <v>1059</v>
      </c>
    </row>
    <row r="6" spans="1:26">
      <c r="A6" t="s">
        <v>724</v>
      </c>
      <c r="B6" t="s">
        <v>1059</v>
      </c>
      <c r="C6" t="s">
        <v>1139</v>
      </c>
      <c r="D6" t="s">
        <v>1418</v>
      </c>
      <c r="E6" t="s">
        <v>1059</v>
      </c>
      <c r="F6" t="s">
        <v>6414</v>
      </c>
      <c r="G6" t="s">
        <v>529</v>
      </c>
      <c r="H6" t="s">
        <v>724</v>
      </c>
      <c r="I6" t="s">
        <v>4571</v>
      </c>
      <c r="J6" t="s">
        <v>529</v>
      </c>
      <c r="K6" t="s">
        <v>1788</v>
      </c>
      <c r="L6" t="s">
        <v>4523</v>
      </c>
      <c r="M6" t="s">
        <v>1059</v>
      </c>
      <c r="N6" t="s">
        <v>872</v>
      </c>
      <c r="O6" t="s">
        <v>686</v>
      </c>
      <c r="P6" t="s">
        <v>1139</v>
      </c>
      <c r="Q6" t="s">
        <v>1139</v>
      </c>
      <c r="R6" t="s">
        <v>1059</v>
      </c>
      <c r="S6" t="s">
        <v>5666</v>
      </c>
      <c r="T6" t="s">
        <v>6522</v>
      </c>
      <c r="U6" t="s">
        <v>686</v>
      </c>
      <c r="V6" t="s">
        <v>6621</v>
      </c>
      <c r="W6" t="s">
        <v>930</v>
      </c>
      <c r="X6" t="s">
        <v>6002</v>
      </c>
      <c r="Y6" t="s">
        <v>1059</v>
      </c>
      <c r="Z6" t="s">
        <v>1139</v>
      </c>
    </row>
    <row r="7" spans="1:26">
      <c r="A7" t="s">
        <v>1113</v>
      </c>
      <c r="B7" t="s">
        <v>1139</v>
      </c>
      <c r="C7" t="s">
        <v>855</v>
      </c>
      <c r="D7" t="s">
        <v>1335</v>
      </c>
      <c r="E7" t="s">
        <v>1139</v>
      </c>
      <c r="F7" t="s">
        <v>6410</v>
      </c>
      <c r="G7" t="s">
        <v>682</v>
      </c>
      <c r="H7" t="s">
        <v>906</v>
      </c>
      <c r="I7" t="s">
        <v>561</v>
      </c>
      <c r="J7" t="s">
        <v>682</v>
      </c>
      <c r="K7" t="s">
        <v>4976</v>
      </c>
      <c r="L7" t="s">
        <v>4490</v>
      </c>
      <c r="M7" t="s">
        <v>1139</v>
      </c>
      <c r="N7" t="s">
        <v>904</v>
      </c>
      <c r="O7" t="s">
        <v>916</v>
      </c>
      <c r="P7" t="s">
        <v>855</v>
      </c>
      <c r="Q7" t="s">
        <v>855</v>
      </c>
      <c r="R7" t="s">
        <v>1139</v>
      </c>
      <c r="S7" t="s">
        <v>4756</v>
      </c>
      <c r="T7" t="s">
        <v>5617</v>
      </c>
      <c r="U7" t="s">
        <v>916</v>
      </c>
      <c r="V7" t="s">
        <v>6608</v>
      </c>
      <c r="W7" t="s">
        <v>531</v>
      </c>
      <c r="X7" t="s">
        <v>1088</v>
      </c>
      <c r="Y7" t="s">
        <v>1139</v>
      </c>
      <c r="Z7" t="s">
        <v>855</v>
      </c>
    </row>
    <row r="8" spans="1:26">
      <c r="A8" t="s">
        <v>4621</v>
      </c>
      <c r="B8" t="s">
        <v>855</v>
      </c>
      <c r="C8" t="s">
        <v>684</v>
      </c>
      <c r="D8" t="s">
        <v>1224</v>
      </c>
      <c r="E8" t="s">
        <v>855</v>
      </c>
      <c r="F8" t="s">
        <v>6419</v>
      </c>
      <c r="G8" t="s">
        <v>561</v>
      </c>
      <c r="H8" t="s">
        <v>1113</v>
      </c>
      <c r="I8" t="s">
        <v>830</v>
      </c>
      <c r="J8" t="s">
        <v>561</v>
      </c>
      <c r="K8" t="s">
        <v>5072</v>
      </c>
      <c r="L8" t="s">
        <v>4524</v>
      </c>
      <c r="M8" t="s">
        <v>855</v>
      </c>
      <c r="N8" t="s">
        <v>502</v>
      </c>
      <c r="O8" t="s">
        <v>894</v>
      </c>
      <c r="P8" t="s">
        <v>815</v>
      </c>
      <c r="Q8" t="s">
        <v>872</v>
      </c>
      <c r="R8" t="s">
        <v>855</v>
      </c>
      <c r="S8" t="s">
        <v>5617</v>
      </c>
      <c r="T8" t="s">
        <v>5612</v>
      </c>
      <c r="U8" t="s">
        <v>765</v>
      </c>
      <c r="V8" t="s">
        <v>6606</v>
      </c>
      <c r="W8" t="s">
        <v>4343</v>
      </c>
      <c r="X8" t="s">
        <v>1107</v>
      </c>
      <c r="Y8" t="s">
        <v>855</v>
      </c>
      <c r="Z8" t="s">
        <v>872</v>
      </c>
    </row>
    <row r="9" spans="1:26">
      <c r="A9" t="s">
        <v>1050</v>
      </c>
      <c r="B9" t="s">
        <v>872</v>
      </c>
      <c r="C9" t="s">
        <v>500</v>
      </c>
      <c r="D9" t="s">
        <v>1283</v>
      </c>
      <c r="E9" t="s">
        <v>872</v>
      </c>
      <c r="F9" t="s">
        <v>6415</v>
      </c>
      <c r="G9" t="s">
        <v>724</v>
      </c>
      <c r="H9" t="s">
        <v>4621</v>
      </c>
      <c r="I9" t="s">
        <v>724</v>
      </c>
      <c r="J9" t="s">
        <v>830</v>
      </c>
      <c r="K9" t="s">
        <v>5050</v>
      </c>
      <c r="L9" t="s">
        <v>4485</v>
      </c>
      <c r="M9" t="s">
        <v>872</v>
      </c>
      <c r="N9" t="s">
        <v>815</v>
      </c>
      <c r="O9" t="s">
        <v>666</v>
      </c>
      <c r="P9" t="s">
        <v>504</v>
      </c>
      <c r="Q9" t="s">
        <v>904</v>
      </c>
      <c r="R9" t="s">
        <v>872</v>
      </c>
      <c r="S9" t="s">
        <v>5713</v>
      </c>
      <c r="T9" t="s">
        <v>5678</v>
      </c>
      <c r="U9" t="s">
        <v>741</v>
      </c>
      <c r="V9" t="s">
        <v>6633</v>
      </c>
      <c r="W9" t="s">
        <v>548</v>
      </c>
      <c r="X9" t="s">
        <v>6009</v>
      </c>
      <c r="Y9" t="s">
        <v>872</v>
      </c>
      <c r="Z9" t="s">
        <v>904</v>
      </c>
    </row>
    <row r="10" spans="1:26">
      <c r="A10" t="s">
        <v>656</v>
      </c>
      <c r="B10" t="s">
        <v>904</v>
      </c>
      <c r="C10" t="s">
        <v>4862</v>
      </c>
      <c r="D10" t="s">
        <v>1216</v>
      </c>
      <c r="E10" t="s">
        <v>904</v>
      </c>
      <c r="F10" t="s">
        <v>6406</v>
      </c>
      <c r="G10" t="s">
        <v>906</v>
      </c>
      <c r="H10" t="s">
        <v>1050</v>
      </c>
      <c r="I10" t="s">
        <v>594</v>
      </c>
      <c r="J10" t="s">
        <v>724</v>
      </c>
      <c r="K10" t="s">
        <v>3577</v>
      </c>
      <c r="L10" t="s">
        <v>4494</v>
      </c>
      <c r="M10" t="s">
        <v>904</v>
      </c>
      <c r="N10" t="s">
        <v>504</v>
      </c>
      <c r="O10" t="s">
        <v>834</v>
      </c>
      <c r="P10" t="s">
        <v>490</v>
      </c>
      <c r="Q10" t="s">
        <v>502</v>
      </c>
      <c r="R10" t="s">
        <v>815</v>
      </c>
      <c r="S10" t="s">
        <v>5612</v>
      </c>
      <c r="T10" t="s">
        <v>6514</v>
      </c>
      <c r="U10" t="s">
        <v>894</v>
      </c>
      <c r="V10" t="s">
        <v>6598</v>
      </c>
      <c r="W10" t="s">
        <v>682</v>
      </c>
      <c r="X10" t="s">
        <v>5926</v>
      </c>
      <c r="Y10" t="s">
        <v>904</v>
      </c>
      <c r="Z10" t="s">
        <v>502</v>
      </c>
    </row>
    <row r="11" spans="1:26">
      <c r="A11" t="s">
        <v>684</v>
      </c>
      <c r="B11" t="s">
        <v>502</v>
      </c>
      <c r="C11" t="s">
        <v>5297</v>
      </c>
      <c r="D11" t="s">
        <v>1171</v>
      </c>
      <c r="E11" t="s">
        <v>502</v>
      </c>
      <c r="F11" t="s">
        <v>6429</v>
      </c>
      <c r="G11" t="s">
        <v>4678</v>
      </c>
      <c r="H11" t="s">
        <v>656</v>
      </c>
      <c r="I11" t="s">
        <v>906</v>
      </c>
      <c r="J11" t="s">
        <v>906</v>
      </c>
      <c r="K11" t="s">
        <v>4970</v>
      </c>
      <c r="L11" t="s">
        <v>5547</v>
      </c>
      <c r="M11" t="s">
        <v>504</v>
      </c>
      <c r="N11" t="s">
        <v>698</v>
      </c>
      <c r="O11" t="s">
        <v>5336</v>
      </c>
      <c r="P11" t="s">
        <v>711</v>
      </c>
      <c r="Q11" t="s">
        <v>815</v>
      </c>
      <c r="R11" t="s">
        <v>698</v>
      </c>
      <c r="S11" t="s">
        <v>5678</v>
      </c>
      <c r="T11" t="s">
        <v>6546</v>
      </c>
      <c r="U11" t="s">
        <v>834</v>
      </c>
      <c r="V11" t="s">
        <v>6602</v>
      </c>
      <c r="W11" t="s">
        <v>561</v>
      </c>
      <c r="X11" t="s">
        <v>5978</v>
      </c>
      <c r="Y11" t="s">
        <v>502</v>
      </c>
      <c r="Z11" t="s">
        <v>504</v>
      </c>
    </row>
    <row r="12" spans="1:26">
      <c r="A12" t="s">
        <v>666</v>
      </c>
      <c r="B12" t="s">
        <v>815</v>
      </c>
      <c r="C12" t="s">
        <v>5145</v>
      </c>
      <c r="D12" t="s">
        <v>1149</v>
      </c>
      <c r="E12" t="s">
        <v>815</v>
      </c>
      <c r="F12" t="s">
        <v>6421</v>
      </c>
      <c r="G12" t="s">
        <v>4690</v>
      </c>
      <c r="H12" t="s">
        <v>666</v>
      </c>
      <c r="I12" t="s">
        <v>1113</v>
      </c>
      <c r="J12" t="s">
        <v>761</v>
      </c>
      <c r="K12" t="s">
        <v>5083</v>
      </c>
      <c r="L12" t="s">
        <v>4482</v>
      </c>
      <c r="M12" t="s">
        <v>698</v>
      </c>
      <c r="N12" t="s">
        <v>490</v>
      </c>
      <c r="O12" t="s">
        <v>4362</v>
      </c>
      <c r="P12" t="s">
        <v>624</v>
      </c>
      <c r="Q12" t="s">
        <v>504</v>
      </c>
      <c r="R12" t="s">
        <v>506</v>
      </c>
      <c r="S12" t="s">
        <v>5624</v>
      </c>
      <c r="T12" t="s">
        <v>5624</v>
      </c>
      <c r="U12" t="s">
        <v>5336</v>
      </c>
      <c r="V12" t="s">
        <v>6611</v>
      </c>
      <c r="W12" t="s">
        <v>892</v>
      </c>
      <c r="X12" t="s">
        <v>5994</v>
      </c>
      <c r="Y12" t="s">
        <v>815</v>
      </c>
      <c r="Z12" t="s">
        <v>698</v>
      </c>
    </row>
    <row r="13" spans="1:26">
      <c r="A13" t="s">
        <v>1812</v>
      </c>
      <c r="B13" t="s">
        <v>504</v>
      </c>
      <c r="C13" t="s">
        <v>4818</v>
      </c>
      <c r="D13" t="s">
        <v>1241</v>
      </c>
      <c r="E13" t="s">
        <v>504</v>
      </c>
      <c r="F13" t="s">
        <v>6433</v>
      </c>
      <c r="G13" t="s">
        <v>4629</v>
      </c>
      <c r="H13" t="s">
        <v>1812</v>
      </c>
      <c r="I13" t="s">
        <v>4621</v>
      </c>
      <c r="J13" t="s">
        <v>684</v>
      </c>
      <c r="K13" t="s">
        <v>4195</v>
      </c>
      <c r="L13" t="s">
        <v>4507</v>
      </c>
      <c r="M13" t="s">
        <v>711</v>
      </c>
      <c r="N13" t="s">
        <v>711</v>
      </c>
      <c r="O13" t="s">
        <v>5349</v>
      </c>
      <c r="P13" t="s">
        <v>506</v>
      </c>
      <c r="Q13" t="s">
        <v>698</v>
      </c>
      <c r="R13" t="s">
        <v>680</v>
      </c>
      <c r="S13" t="s">
        <v>5708</v>
      </c>
      <c r="T13" t="s">
        <v>5708</v>
      </c>
      <c r="U13" t="s">
        <v>4362</v>
      </c>
      <c r="V13" t="s">
        <v>6623</v>
      </c>
      <c r="W13" t="s">
        <v>864</v>
      </c>
      <c r="X13" t="s">
        <v>5984</v>
      </c>
      <c r="Y13" t="s">
        <v>504</v>
      </c>
      <c r="Z13" t="s">
        <v>490</v>
      </c>
    </row>
    <row r="14" spans="1:26">
      <c r="A14" t="s">
        <v>753</v>
      </c>
      <c r="B14" t="s">
        <v>698</v>
      </c>
      <c r="C14" t="s">
        <v>6397</v>
      </c>
      <c r="D14" t="s">
        <v>1234</v>
      </c>
      <c r="E14" t="s">
        <v>698</v>
      </c>
      <c r="F14" t="s">
        <v>6426</v>
      </c>
      <c r="G14" t="s">
        <v>4652</v>
      </c>
      <c r="H14" t="s">
        <v>874</v>
      </c>
      <c r="I14" t="s">
        <v>656</v>
      </c>
      <c r="J14" t="s">
        <v>916</v>
      </c>
      <c r="K14" t="s">
        <v>2979</v>
      </c>
      <c r="L14" t="s">
        <v>5552</v>
      </c>
      <c r="M14" t="s">
        <v>506</v>
      </c>
      <c r="N14" t="s">
        <v>624</v>
      </c>
      <c r="O14" t="s">
        <v>789</v>
      </c>
      <c r="P14" t="s">
        <v>680</v>
      </c>
      <c r="Q14" t="s">
        <v>490</v>
      </c>
      <c r="R14" t="s">
        <v>757</v>
      </c>
      <c r="S14" t="s">
        <v>5675</v>
      </c>
      <c r="T14" t="s">
        <v>5675</v>
      </c>
      <c r="U14" t="s">
        <v>5349</v>
      </c>
      <c r="V14" t="s">
        <v>6597</v>
      </c>
      <c r="W14" t="s">
        <v>717</v>
      </c>
      <c r="X14" t="s">
        <v>6110</v>
      </c>
      <c r="Y14" t="s">
        <v>698</v>
      </c>
      <c r="Z14" t="s">
        <v>711</v>
      </c>
    </row>
    <row r="15" spans="1:26">
      <c r="A15" t="s">
        <v>700</v>
      </c>
      <c r="B15" t="s">
        <v>490</v>
      </c>
      <c r="C15" t="s">
        <v>6400</v>
      </c>
      <c r="D15" t="s">
        <v>1194</v>
      </c>
      <c r="E15" t="s">
        <v>490</v>
      </c>
      <c r="F15" t="s">
        <v>6431</v>
      </c>
      <c r="G15" t="s">
        <v>4715</v>
      </c>
      <c r="H15" t="s">
        <v>700</v>
      </c>
      <c r="I15" t="s">
        <v>675</v>
      </c>
      <c r="J15" t="s">
        <v>741</v>
      </c>
      <c r="K15" t="s">
        <v>2064</v>
      </c>
      <c r="L15" t="s">
        <v>5562</v>
      </c>
      <c r="M15" t="s">
        <v>680</v>
      </c>
      <c r="N15" t="s">
        <v>506</v>
      </c>
      <c r="O15" t="s">
        <v>500</v>
      </c>
      <c r="P15" t="s">
        <v>757</v>
      </c>
      <c r="Q15" t="s">
        <v>624</v>
      </c>
      <c r="R15" t="s">
        <v>529</v>
      </c>
      <c r="S15" t="s">
        <v>5722</v>
      </c>
      <c r="T15" t="s">
        <v>815</v>
      </c>
      <c r="U15" t="s">
        <v>789</v>
      </c>
      <c r="V15" t="s">
        <v>6624</v>
      </c>
      <c r="W15" t="s">
        <v>724</v>
      </c>
      <c r="X15" t="s">
        <v>6093</v>
      </c>
      <c r="Y15" t="s">
        <v>711</v>
      </c>
      <c r="Z15" t="s">
        <v>624</v>
      </c>
    </row>
    <row r="16" spans="1:26">
      <c r="A16" t="s">
        <v>6255</v>
      </c>
      <c r="B16" t="s">
        <v>711</v>
      </c>
      <c r="C16" t="s">
        <v>4687</v>
      </c>
      <c r="D16" t="s">
        <v>1236</v>
      </c>
      <c r="E16" t="s">
        <v>711</v>
      </c>
      <c r="F16" t="s">
        <v>6424</v>
      </c>
      <c r="G16" t="s">
        <v>4669</v>
      </c>
      <c r="H16" t="s">
        <v>3961</v>
      </c>
      <c r="I16" t="s">
        <v>834</v>
      </c>
      <c r="J16" t="s">
        <v>666</v>
      </c>
      <c r="K16" t="s">
        <v>5085</v>
      </c>
      <c r="L16" t="s">
        <v>5539</v>
      </c>
      <c r="M16" t="s">
        <v>930</v>
      </c>
      <c r="N16" t="s">
        <v>680</v>
      </c>
      <c r="O16" t="s">
        <v>714</v>
      </c>
      <c r="P16" t="s">
        <v>529</v>
      </c>
      <c r="Q16" t="s">
        <v>680</v>
      </c>
      <c r="R16" t="s">
        <v>930</v>
      </c>
      <c r="S16" t="s">
        <v>815</v>
      </c>
      <c r="T16" t="s">
        <v>529</v>
      </c>
      <c r="U16" t="s">
        <v>604</v>
      </c>
      <c r="V16" t="s">
        <v>6613</v>
      </c>
      <c r="W16" t="s">
        <v>554</v>
      </c>
      <c r="X16" t="s">
        <v>5946</v>
      </c>
      <c r="Y16" t="s">
        <v>624</v>
      </c>
      <c r="Z16" t="s">
        <v>506</v>
      </c>
    </row>
    <row r="17" spans="1:26">
      <c r="A17" t="s">
        <v>3961</v>
      </c>
      <c r="B17" t="s">
        <v>624</v>
      </c>
      <c r="C17" t="s">
        <v>6399</v>
      </c>
      <c r="D17" t="s">
        <v>1362</v>
      </c>
      <c r="E17" t="s">
        <v>624</v>
      </c>
      <c r="F17" t="s">
        <v>6408</v>
      </c>
      <c r="G17" t="s">
        <v>4615</v>
      </c>
      <c r="H17" t="s">
        <v>6448</v>
      </c>
      <c r="I17" t="s">
        <v>5336</v>
      </c>
      <c r="J17" t="s">
        <v>789</v>
      </c>
      <c r="K17" t="s">
        <v>4989</v>
      </c>
      <c r="L17" t="s">
        <v>5543</v>
      </c>
      <c r="M17" t="s">
        <v>531</v>
      </c>
      <c r="N17" t="s">
        <v>757</v>
      </c>
      <c r="O17" t="s">
        <v>5488</v>
      </c>
      <c r="P17" t="s">
        <v>930</v>
      </c>
      <c r="Q17" t="s">
        <v>757</v>
      </c>
      <c r="R17" t="s">
        <v>531</v>
      </c>
      <c r="S17" t="s">
        <v>698</v>
      </c>
      <c r="T17" t="s">
        <v>561</v>
      </c>
      <c r="U17" t="s">
        <v>630</v>
      </c>
      <c r="V17" t="s">
        <v>6653</v>
      </c>
      <c r="W17" t="s">
        <v>2583</v>
      </c>
      <c r="X17" t="s">
        <v>6088</v>
      </c>
      <c r="Y17" t="s">
        <v>506</v>
      </c>
      <c r="Z17" t="s">
        <v>757</v>
      </c>
    </row>
    <row r="18" spans="1:26">
      <c r="A18" t="s">
        <v>884</v>
      </c>
      <c r="B18" t="s">
        <v>506</v>
      </c>
      <c r="C18" t="s">
        <v>6403</v>
      </c>
      <c r="D18" t="s">
        <v>1289</v>
      </c>
      <c r="E18" t="s">
        <v>506</v>
      </c>
      <c r="F18" t="s">
        <v>6412</v>
      </c>
      <c r="G18" t="s">
        <v>4717</v>
      </c>
      <c r="H18" t="s">
        <v>6438</v>
      </c>
      <c r="I18" t="s">
        <v>4362</v>
      </c>
      <c r="J18" t="s">
        <v>1812</v>
      </c>
      <c r="K18" t="s">
        <v>4950</v>
      </c>
      <c r="L18" t="s">
        <v>5550</v>
      </c>
      <c r="M18" t="s">
        <v>4343</v>
      </c>
      <c r="N18" t="s">
        <v>529</v>
      </c>
      <c r="O18" t="s">
        <v>755</v>
      </c>
      <c r="P18" t="s">
        <v>531</v>
      </c>
      <c r="Q18" t="s">
        <v>1068</v>
      </c>
      <c r="R18" t="s">
        <v>4343</v>
      </c>
      <c r="S18" t="s">
        <v>490</v>
      </c>
      <c r="T18" t="s">
        <v>724</v>
      </c>
      <c r="U18" t="s">
        <v>771</v>
      </c>
      <c r="V18" t="s">
        <v>6643</v>
      </c>
      <c r="W18" t="s">
        <v>3774</v>
      </c>
      <c r="X18" t="s">
        <v>6034</v>
      </c>
      <c r="Y18" t="s">
        <v>680</v>
      </c>
      <c r="Z18" t="s">
        <v>1068</v>
      </c>
    </row>
    <row r="19" spans="1:26">
      <c r="A19" t="s">
        <v>669</v>
      </c>
      <c r="B19" t="s">
        <v>680</v>
      </c>
      <c r="D19" t="s">
        <v>1381</v>
      </c>
      <c r="E19" t="s">
        <v>680</v>
      </c>
      <c r="F19" t="s">
        <v>6435</v>
      </c>
      <c r="G19" t="s">
        <v>4760</v>
      </c>
      <c r="H19" t="s">
        <v>6441</v>
      </c>
      <c r="J19" t="s">
        <v>1432</v>
      </c>
      <c r="K19" t="s">
        <v>5002</v>
      </c>
      <c r="L19" t="s">
        <v>5555</v>
      </c>
      <c r="M19" t="s">
        <v>4571</v>
      </c>
      <c r="N19" t="s">
        <v>531</v>
      </c>
      <c r="O19" t="s">
        <v>908</v>
      </c>
      <c r="P19" t="s">
        <v>4343</v>
      </c>
      <c r="Q19" t="s">
        <v>529</v>
      </c>
      <c r="R19" t="s">
        <v>548</v>
      </c>
      <c r="S19" t="s">
        <v>624</v>
      </c>
      <c r="T19" t="s">
        <v>906</v>
      </c>
      <c r="U19" t="s">
        <v>1432</v>
      </c>
      <c r="V19" t="s">
        <v>6651</v>
      </c>
      <c r="W19" t="s">
        <v>1707</v>
      </c>
      <c r="X19" t="s">
        <v>5952</v>
      </c>
      <c r="Y19" t="s">
        <v>757</v>
      </c>
      <c r="Z19" t="s">
        <v>529</v>
      </c>
    </row>
    <row r="20" spans="1:26">
      <c r="A20" t="s">
        <v>767</v>
      </c>
      <c r="B20" t="s">
        <v>757</v>
      </c>
      <c r="D20" t="s">
        <v>1397</v>
      </c>
      <c r="E20" t="s">
        <v>757</v>
      </c>
      <c r="G20" t="s">
        <v>4711</v>
      </c>
      <c r="J20" t="s">
        <v>687</v>
      </c>
      <c r="K20" t="s">
        <v>4940</v>
      </c>
      <c r="L20" t="s">
        <v>5558</v>
      </c>
      <c r="M20" t="s">
        <v>5575</v>
      </c>
      <c r="N20" t="s">
        <v>548</v>
      </c>
      <c r="O20" t="s">
        <v>5136</v>
      </c>
      <c r="P20" t="s">
        <v>548</v>
      </c>
      <c r="Q20" t="s">
        <v>930</v>
      </c>
      <c r="R20" t="s">
        <v>692</v>
      </c>
      <c r="S20" t="s">
        <v>529</v>
      </c>
      <c r="T20" t="s">
        <v>600</v>
      </c>
      <c r="U20" t="s">
        <v>4135</v>
      </c>
      <c r="V20" t="s">
        <v>6655</v>
      </c>
      <c r="W20" t="s">
        <v>594</v>
      </c>
      <c r="X20" t="s">
        <v>5980</v>
      </c>
      <c r="Y20" t="s">
        <v>1068</v>
      </c>
      <c r="Z20" t="s">
        <v>930</v>
      </c>
    </row>
    <row r="21" spans="1:26">
      <c r="A21" t="s">
        <v>500</v>
      </c>
      <c r="B21" t="s">
        <v>3846</v>
      </c>
      <c r="D21" t="s">
        <v>1387</v>
      </c>
      <c r="E21" t="s">
        <v>1068</v>
      </c>
      <c r="G21" t="s">
        <v>1113</v>
      </c>
      <c r="J21" t="s">
        <v>753</v>
      </c>
      <c r="K21" t="s">
        <v>5006</v>
      </c>
      <c r="M21" t="s">
        <v>717</v>
      </c>
      <c r="N21" t="s">
        <v>682</v>
      </c>
      <c r="O21" t="s">
        <v>5279</v>
      </c>
      <c r="P21" t="s">
        <v>4571</v>
      </c>
      <c r="Q21" t="s">
        <v>531</v>
      </c>
      <c r="R21" t="s">
        <v>4571</v>
      </c>
      <c r="S21" t="s">
        <v>930</v>
      </c>
      <c r="T21" t="s">
        <v>1113</v>
      </c>
      <c r="U21" t="s">
        <v>687</v>
      </c>
      <c r="V21" t="s">
        <v>6629</v>
      </c>
      <c r="W21" t="s">
        <v>3952</v>
      </c>
      <c r="X21" t="s">
        <v>5988</v>
      </c>
      <c r="Y21" t="s">
        <v>930</v>
      </c>
      <c r="Z21" t="s">
        <v>531</v>
      </c>
    </row>
    <row r="22" spans="1:26">
      <c r="A22" t="s">
        <v>4893</v>
      </c>
      <c r="B22" t="s">
        <v>4474</v>
      </c>
      <c r="D22" t="s">
        <v>1351</v>
      </c>
      <c r="E22" t="s">
        <v>529</v>
      </c>
      <c r="G22" t="s">
        <v>4738</v>
      </c>
      <c r="J22" t="s">
        <v>874</v>
      </c>
      <c r="K22" t="s">
        <v>5089</v>
      </c>
      <c r="M22" t="s">
        <v>5637</v>
      </c>
      <c r="N22" t="s">
        <v>692</v>
      </c>
      <c r="O22" t="s">
        <v>869</v>
      </c>
      <c r="P22" t="s">
        <v>5575</v>
      </c>
      <c r="Q22" t="s">
        <v>548</v>
      </c>
      <c r="R22" t="s">
        <v>1141</v>
      </c>
      <c r="S22" t="s">
        <v>4343</v>
      </c>
      <c r="T22" t="s">
        <v>4621</v>
      </c>
      <c r="U22" t="s">
        <v>556</v>
      </c>
      <c r="V22" t="s">
        <v>6637</v>
      </c>
      <c r="W22" t="s">
        <v>4269</v>
      </c>
      <c r="X22" t="s">
        <v>6055</v>
      </c>
      <c r="Y22" t="s">
        <v>531</v>
      </c>
      <c r="Z22" t="s">
        <v>4343</v>
      </c>
    </row>
    <row r="23" spans="1:26">
      <c r="A23" t="s">
        <v>5130</v>
      </c>
      <c r="B23" t="s">
        <v>4497</v>
      </c>
      <c r="D23" t="s">
        <v>1401</v>
      </c>
      <c r="E23" t="s">
        <v>930</v>
      </c>
      <c r="G23" t="s">
        <v>4621</v>
      </c>
      <c r="J23" t="s">
        <v>700</v>
      </c>
      <c r="K23" t="s">
        <v>5063</v>
      </c>
      <c r="M23" t="s">
        <v>830</v>
      </c>
      <c r="N23" t="s">
        <v>561</v>
      </c>
      <c r="O23" t="s">
        <v>521</v>
      </c>
      <c r="P23" t="s">
        <v>561</v>
      </c>
      <c r="Q23" t="s">
        <v>1141</v>
      </c>
      <c r="R23" t="s">
        <v>561</v>
      </c>
      <c r="S23" t="s">
        <v>548</v>
      </c>
      <c r="T23" t="s">
        <v>1050</v>
      </c>
      <c r="U23" t="s">
        <v>5790</v>
      </c>
      <c r="V23" t="s">
        <v>6615</v>
      </c>
      <c r="W23" t="s">
        <v>906</v>
      </c>
      <c r="X23" t="s">
        <v>6070</v>
      </c>
      <c r="Y23" t="s">
        <v>4343</v>
      </c>
      <c r="Z23" t="s">
        <v>548</v>
      </c>
    </row>
    <row r="24" spans="1:26">
      <c r="A24" t="s">
        <v>4860</v>
      </c>
      <c r="B24" t="s">
        <v>4545</v>
      </c>
      <c r="D24" t="s">
        <v>1403</v>
      </c>
      <c r="E24" t="s">
        <v>548</v>
      </c>
      <c r="G24" t="s">
        <v>1050</v>
      </c>
      <c r="J24" t="s">
        <v>476</v>
      </c>
      <c r="K24" t="s">
        <v>5046</v>
      </c>
      <c r="M24" t="s">
        <v>817</v>
      </c>
      <c r="N24" t="s">
        <v>892</v>
      </c>
      <c r="O24" t="s">
        <v>4891</v>
      </c>
      <c r="P24" t="s">
        <v>892</v>
      </c>
      <c r="Q24" t="s">
        <v>561</v>
      </c>
      <c r="R24" t="s">
        <v>892</v>
      </c>
      <c r="S24" t="s">
        <v>682</v>
      </c>
      <c r="T24" t="s">
        <v>656</v>
      </c>
      <c r="U24" t="s">
        <v>5800</v>
      </c>
      <c r="V24" t="s">
        <v>6609</v>
      </c>
      <c r="W24" t="s">
        <v>2169</v>
      </c>
      <c r="X24" t="s">
        <v>5918</v>
      </c>
      <c r="Y24" t="s">
        <v>548</v>
      </c>
      <c r="Z24" t="s">
        <v>682</v>
      </c>
    </row>
    <row r="25" spans="1:26">
      <c r="A25" t="s">
        <v>3834</v>
      </c>
      <c r="B25" t="s">
        <v>4541</v>
      </c>
      <c r="D25" t="s">
        <v>1394</v>
      </c>
      <c r="E25" t="s">
        <v>682</v>
      </c>
      <c r="G25" t="s">
        <v>656</v>
      </c>
      <c r="J25" t="s">
        <v>677</v>
      </c>
      <c r="K25" t="s">
        <v>4991</v>
      </c>
      <c r="M25" t="s">
        <v>998</v>
      </c>
      <c r="N25" t="s">
        <v>864</v>
      </c>
      <c r="O25" t="s">
        <v>5267</v>
      </c>
      <c r="P25" t="s">
        <v>864</v>
      </c>
      <c r="Q25" t="s">
        <v>864</v>
      </c>
      <c r="R25" t="s">
        <v>717</v>
      </c>
      <c r="S25" t="s">
        <v>692</v>
      </c>
      <c r="T25" t="s">
        <v>684</v>
      </c>
      <c r="U25" t="s">
        <v>823</v>
      </c>
      <c r="V25" t="s">
        <v>6600</v>
      </c>
      <c r="W25" t="s">
        <v>840</v>
      </c>
      <c r="X25" t="s">
        <v>6042</v>
      </c>
      <c r="Y25" t="s">
        <v>4571</v>
      </c>
      <c r="Z25" t="s">
        <v>692</v>
      </c>
    </row>
    <row r="26" spans="1:26">
      <c r="A26" t="s">
        <v>6349</v>
      </c>
      <c r="B26" t="s">
        <v>4512</v>
      </c>
      <c r="D26" t="s">
        <v>1157</v>
      </c>
      <c r="E26" t="s">
        <v>692</v>
      </c>
      <c r="G26" t="s">
        <v>684</v>
      </c>
      <c r="J26" t="s">
        <v>588</v>
      </c>
      <c r="K26" t="s">
        <v>4961</v>
      </c>
      <c r="M26" t="s">
        <v>584</v>
      </c>
      <c r="N26" t="s">
        <v>717</v>
      </c>
      <c r="O26" t="s">
        <v>5386</v>
      </c>
      <c r="P26" t="s">
        <v>717</v>
      </c>
      <c r="Q26" t="s">
        <v>717</v>
      </c>
      <c r="R26" t="s">
        <v>5637</v>
      </c>
      <c r="S26" t="s">
        <v>5575</v>
      </c>
      <c r="T26" t="s">
        <v>666</v>
      </c>
      <c r="U26" t="s">
        <v>563</v>
      </c>
      <c r="V26" t="s">
        <v>6639</v>
      </c>
      <c r="W26" t="s">
        <v>761</v>
      </c>
      <c r="X26" t="s">
        <v>6044</v>
      </c>
      <c r="Y26" t="s">
        <v>1141</v>
      </c>
      <c r="Z26" t="s">
        <v>1141</v>
      </c>
    </row>
    <row r="27" spans="1:26">
      <c r="A27" t="s">
        <v>4804</v>
      </c>
      <c r="B27" t="s">
        <v>4534</v>
      </c>
      <c r="D27" t="s">
        <v>1201</v>
      </c>
      <c r="E27" t="s">
        <v>4571</v>
      </c>
      <c r="G27" t="s">
        <v>666</v>
      </c>
      <c r="J27" t="s">
        <v>539</v>
      </c>
      <c r="K27" t="s">
        <v>1547</v>
      </c>
      <c r="M27" t="s">
        <v>724</v>
      </c>
      <c r="N27" t="s">
        <v>830</v>
      </c>
      <c r="O27" t="s">
        <v>5217</v>
      </c>
      <c r="P27" t="s">
        <v>830</v>
      </c>
      <c r="Q27" t="s">
        <v>817</v>
      </c>
      <c r="R27" t="s">
        <v>830</v>
      </c>
      <c r="S27" t="s">
        <v>561</v>
      </c>
      <c r="T27" t="s">
        <v>1812</v>
      </c>
      <c r="U27" t="s">
        <v>654</v>
      </c>
      <c r="V27" t="s">
        <v>6604</v>
      </c>
      <c r="W27" t="s">
        <v>785</v>
      </c>
      <c r="X27" t="s">
        <v>5950</v>
      </c>
      <c r="Y27" t="s">
        <v>561</v>
      </c>
      <c r="Z27" t="s">
        <v>5905</v>
      </c>
    </row>
    <row r="28" spans="1:26">
      <c r="A28" t="s">
        <v>6236</v>
      </c>
      <c r="B28" t="s">
        <v>4492</v>
      </c>
      <c r="D28" t="s">
        <v>1203</v>
      </c>
      <c r="E28" t="s">
        <v>4578</v>
      </c>
      <c r="G28" t="s">
        <v>771</v>
      </c>
      <c r="J28" t="s">
        <v>634</v>
      </c>
      <c r="K28" t="s">
        <v>4942</v>
      </c>
      <c r="M28" t="s">
        <v>554</v>
      </c>
      <c r="N28" t="s">
        <v>817</v>
      </c>
      <c r="O28" t="s">
        <v>5130</v>
      </c>
      <c r="P28" t="s">
        <v>817</v>
      </c>
      <c r="Q28" t="s">
        <v>998</v>
      </c>
      <c r="R28" t="s">
        <v>817</v>
      </c>
      <c r="S28" t="s">
        <v>892</v>
      </c>
      <c r="T28" t="s">
        <v>753</v>
      </c>
      <c r="U28" t="s">
        <v>874</v>
      </c>
      <c r="V28" t="s">
        <v>6647</v>
      </c>
      <c r="W28" t="s">
        <v>516</v>
      </c>
      <c r="X28" t="s">
        <v>5966</v>
      </c>
      <c r="Y28" t="s">
        <v>892</v>
      </c>
      <c r="Z28" t="s">
        <v>561</v>
      </c>
    </row>
    <row r="29" spans="1:26">
      <c r="A29" t="s">
        <v>6371</v>
      </c>
      <c r="B29" t="s">
        <v>4472</v>
      </c>
      <c r="D29" t="s">
        <v>1411</v>
      </c>
      <c r="E29" t="s">
        <v>2749</v>
      </c>
      <c r="G29" t="s">
        <v>1812</v>
      </c>
      <c r="J29" t="s">
        <v>669</v>
      </c>
      <c r="K29" t="s">
        <v>4944</v>
      </c>
      <c r="M29" t="s">
        <v>6474</v>
      </c>
      <c r="N29" t="s">
        <v>866</v>
      </c>
      <c r="O29" t="s">
        <v>5138</v>
      </c>
      <c r="P29" t="s">
        <v>724</v>
      </c>
      <c r="Q29" t="s">
        <v>866</v>
      </c>
      <c r="R29" t="s">
        <v>998</v>
      </c>
      <c r="S29" t="s">
        <v>864</v>
      </c>
      <c r="T29" t="s">
        <v>700</v>
      </c>
      <c r="U29" t="s">
        <v>851</v>
      </c>
      <c r="V29" t="s">
        <v>6626</v>
      </c>
      <c r="W29" t="s">
        <v>876</v>
      </c>
      <c r="X29" t="s">
        <v>6023</v>
      </c>
      <c r="Y29" t="s">
        <v>864</v>
      </c>
      <c r="Z29" t="s">
        <v>892</v>
      </c>
    </row>
    <row r="30" spans="1:26">
      <c r="A30" t="s">
        <v>5297</v>
      </c>
      <c r="B30" t="s">
        <v>4521</v>
      </c>
      <c r="D30" t="s">
        <v>1369</v>
      </c>
      <c r="E30" t="s">
        <v>4590</v>
      </c>
      <c r="G30" t="s">
        <v>753</v>
      </c>
      <c r="J30" t="s">
        <v>719</v>
      </c>
      <c r="K30" t="s">
        <v>5017</v>
      </c>
      <c r="N30" t="s">
        <v>584</v>
      </c>
      <c r="O30" t="s">
        <v>5531</v>
      </c>
      <c r="P30" t="s">
        <v>554</v>
      </c>
      <c r="Q30" t="s">
        <v>1105</v>
      </c>
      <c r="R30" t="s">
        <v>866</v>
      </c>
      <c r="S30" t="s">
        <v>717</v>
      </c>
      <c r="T30" t="s">
        <v>791</v>
      </c>
      <c r="U30" t="s">
        <v>813</v>
      </c>
      <c r="V30" t="s">
        <v>6617</v>
      </c>
      <c r="W30" t="s">
        <v>1113</v>
      </c>
      <c r="X30" t="s">
        <v>5948</v>
      </c>
      <c r="Y30" t="s">
        <v>717</v>
      </c>
      <c r="Z30" t="s">
        <v>864</v>
      </c>
    </row>
    <row r="31" spans="1:26">
      <c r="A31" t="s">
        <v>6241</v>
      </c>
      <c r="B31" t="s">
        <v>4486</v>
      </c>
      <c r="D31" t="s">
        <v>1279</v>
      </c>
      <c r="E31" t="s">
        <v>4566</v>
      </c>
      <c r="G31" t="s">
        <v>700</v>
      </c>
      <c r="J31" t="s">
        <v>767</v>
      </c>
      <c r="K31" t="s">
        <v>3934</v>
      </c>
      <c r="N31" t="s">
        <v>724</v>
      </c>
      <c r="O31" t="s">
        <v>5502</v>
      </c>
      <c r="P31" t="s">
        <v>2583</v>
      </c>
      <c r="Q31" t="s">
        <v>906</v>
      </c>
      <c r="R31" t="s">
        <v>584</v>
      </c>
      <c r="S31" t="s">
        <v>5637</v>
      </c>
      <c r="T31" t="s">
        <v>918</v>
      </c>
      <c r="U31" t="s">
        <v>700</v>
      </c>
      <c r="V31" t="s">
        <v>6657</v>
      </c>
      <c r="W31" t="s">
        <v>694</v>
      </c>
      <c r="X31" t="s">
        <v>5942</v>
      </c>
      <c r="Y31" t="s">
        <v>5637</v>
      </c>
      <c r="Z31" t="s">
        <v>554</v>
      </c>
    </row>
    <row r="32" spans="1:26">
      <c r="A32" t="s">
        <v>5407</v>
      </c>
      <c r="B32" t="s">
        <v>4536</v>
      </c>
      <c r="D32" t="s">
        <v>1226</v>
      </c>
      <c r="E32" t="s">
        <v>4601</v>
      </c>
      <c r="G32" t="s">
        <v>3961</v>
      </c>
      <c r="J32" t="s">
        <v>828</v>
      </c>
      <c r="K32" t="s">
        <v>2938</v>
      </c>
      <c r="N32" t="s">
        <v>554</v>
      </c>
      <c r="O32" t="s">
        <v>5306</v>
      </c>
      <c r="P32" t="s">
        <v>3774</v>
      </c>
      <c r="Q32" t="s">
        <v>840</v>
      </c>
      <c r="R32" t="s">
        <v>724</v>
      </c>
      <c r="S32" t="s">
        <v>817</v>
      </c>
      <c r="T32" t="s">
        <v>570</v>
      </c>
      <c r="U32" t="s">
        <v>613</v>
      </c>
      <c r="V32" t="s">
        <v>6628</v>
      </c>
      <c r="W32" t="s">
        <v>473</v>
      </c>
      <c r="X32" t="s">
        <v>6046</v>
      </c>
      <c r="Y32" t="s">
        <v>830</v>
      </c>
      <c r="Z32" t="s">
        <v>3774</v>
      </c>
    </row>
    <row r="33" spans="1:26">
      <c r="A33" t="s">
        <v>4878</v>
      </c>
      <c r="B33" t="s">
        <v>4508</v>
      </c>
      <c r="D33" t="s">
        <v>1254</v>
      </c>
      <c r="E33" t="s">
        <v>4606</v>
      </c>
      <c r="G33" t="s">
        <v>677</v>
      </c>
      <c r="J33" t="s">
        <v>648</v>
      </c>
      <c r="K33" t="s">
        <v>2017</v>
      </c>
      <c r="N33" t="s">
        <v>594</v>
      </c>
      <c r="O33" t="s">
        <v>5533</v>
      </c>
      <c r="P33" t="s">
        <v>1707</v>
      </c>
      <c r="Q33" t="s">
        <v>761</v>
      </c>
      <c r="R33" t="s">
        <v>554</v>
      </c>
      <c r="S33" t="s">
        <v>998</v>
      </c>
      <c r="T33" t="s">
        <v>896</v>
      </c>
      <c r="U33" t="s">
        <v>615</v>
      </c>
      <c r="V33" t="s">
        <v>6619</v>
      </c>
      <c r="W33" t="s">
        <v>912</v>
      </c>
      <c r="X33" t="s">
        <v>6057</v>
      </c>
      <c r="Y33" t="s">
        <v>817</v>
      </c>
      <c r="Z33" t="s">
        <v>594</v>
      </c>
    </row>
    <row r="34" spans="1:26">
      <c r="A34" t="s">
        <v>4767</v>
      </c>
      <c r="B34" t="s">
        <v>4547</v>
      </c>
      <c r="D34" t="s">
        <v>1364</v>
      </c>
      <c r="E34" t="s">
        <v>4203</v>
      </c>
      <c r="G34" t="s">
        <v>539</v>
      </c>
      <c r="J34" t="s">
        <v>500</v>
      </c>
      <c r="K34" t="s">
        <v>3545</v>
      </c>
      <c r="N34" t="s">
        <v>598</v>
      </c>
      <c r="O34" t="s">
        <v>5396</v>
      </c>
      <c r="P34" t="s">
        <v>3952</v>
      </c>
      <c r="Q34" t="s">
        <v>516</v>
      </c>
      <c r="R34" t="s">
        <v>2583</v>
      </c>
      <c r="S34" t="s">
        <v>866</v>
      </c>
      <c r="T34" t="s">
        <v>888</v>
      </c>
      <c r="U34" t="s">
        <v>918</v>
      </c>
      <c r="V34" t="s">
        <v>6641</v>
      </c>
      <c r="W34" t="s">
        <v>492</v>
      </c>
      <c r="X34" t="s">
        <v>5954</v>
      </c>
      <c r="Y34" t="s">
        <v>998</v>
      </c>
      <c r="Z34" t="s">
        <v>600</v>
      </c>
    </row>
    <row r="35" spans="1:26">
      <c r="A35" t="s">
        <v>4850</v>
      </c>
      <c r="B35" t="s">
        <v>4551</v>
      </c>
      <c r="D35" t="s">
        <v>1312</v>
      </c>
      <c r="E35" t="s">
        <v>4568</v>
      </c>
      <c r="G35" t="s">
        <v>734</v>
      </c>
      <c r="J35" t="s">
        <v>908</v>
      </c>
      <c r="K35" t="s">
        <v>3918</v>
      </c>
      <c r="N35" t="s">
        <v>906</v>
      </c>
      <c r="O35" t="s">
        <v>5188</v>
      </c>
      <c r="P35" t="s">
        <v>598</v>
      </c>
      <c r="Q35" t="s">
        <v>876</v>
      </c>
      <c r="R35" t="s">
        <v>3774</v>
      </c>
      <c r="S35" t="s">
        <v>724</v>
      </c>
      <c r="T35" t="s">
        <v>3961</v>
      </c>
      <c r="U35" t="s">
        <v>570</v>
      </c>
      <c r="V35" t="s">
        <v>6645</v>
      </c>
      <c r="W35" t="s">
        <v>508</v>
      </c>
      <c r="X35" t="s">
        <v>5986</v>
      </c>
      <c r="Y35" t="s">
        <v>866</v>
      </c>
      <c r="Z35" t="s">
        <v>2169</v>
      </c>
    </row>
    <row r="36" spans="1:26">
      <c r="A36" t="s">
        <v>4768</v>
      </c>
      <c r="B36" t="s">
        <v>4525</v>
      </c>
      <c r="D36" t="s">
        <v>1214</v>
      </c>
      <c r="E36" t="s">
        <v>4598</v>
      </c>
      <c r="G36" t="s">
        <v>807</v>
      </c>
      <c r="J36" t="s">
        <v>521</v>
      </c>
      <c r="K36" t="s">
        <v>5074</v>
      </c>
      <c r="N36" t="s">
        <v>600</v>
      </c>
      <c r="O36" t="s">
        <v>5126</v>
      </c>
      <c r="P36" t="s">
        <v>1105</v>
      </c>
      <c r="Q36" t="s">
        <v>1113</v>
      </c>
      <c r="R36" t="s">
        <v>1707</v>
      </c>
      <c r="S36" t="s">
        <v>594</v>
      </c>
      <c r="T36" t="s">
        <v>677</v>
      </c>
      <c r="U36" t="s">
        <v>896</v>
      </c>
      <c r="V36" t="s">
        <v>6649</v>
      </c>
      <c r="W36" t="s">
        <v>1009</v>
      </c>
      <c r="X36" t="s">
        <v>5968</v>
      </c>
      <c r="Y36" t="s">
        <v>584</v>
      </c>
      <c r="Z36" t="s">
        <v>840</v>
      </c>
    </row>
    <row r="37" spans="1:26">
      <c r="A37" t="s">
        <v>4911</v>
      </c>
      <c r="B37" t="s">
        <v>4514</v>
      </c>
      <c r="D37" t="s">
        <v>1420</v>
      </c>
      <c r="E37" t="s">
        <v>4594</v>
      </c>
      <c r="G37" t="s">
        <v>884</v>
      </c>
      <c r="J37" t="s">
        <v>825</v>
      </c>
      <c r="K37" t="s">
        <v>3657</v>
      </c>
      <c r="N37" t="s">
        <v>533</v>
      </c>
      <c r="O37" t="s">
        <v>4860</v>
      </c>
      <c r="P37" t="s">
        <v>4269</v>
      </c>
      <c r="Q37" t="s">
        <v>912</v>
      </c>
      <c r="R37" t="s">
        <v>594</v>
      </c>
      <c r="S37" t="s">
        <v>1105</v>
      </c>
      <c r="T37" t="s">
        <v>588</v>
      </c>
      <c r="U37" t="s">
        <v>888</v>
      </c>
      <c r="W37" t="s">
        <v>656</v>
      </c>
      <c r="X37" t="s">
        <v>5993</v>
      </c>
      <c r="Y37" t="s">
        <v>2583</v>
      </c>
      <c r="Z37" t="s">
        <v>1113</v>
      </c>
    </row>
    <row r="38" spans="1:26">
      <c r="A38" t="s">
        <v>4782</v>
      </c>
      <c r="B38" t="s">
        <v>4510</v>
      </c>
      <c r="D38" t="s">
        <v>1413</v>
      </c>
      <c r="E38" t="s">
        <v>4595</v>
      </c>
      <c r="G38" t="s">
        <v>4618</v>
      </c>
      <c r="J38" t="s">
        <v>4891</v>
      </c>
      <c r="K38" t="s">
        <v>1869</v>
      </c>
      <c r="N38" t="s">
        <v>840</v>
      </c>
      <c r="O38" t="s">
        <v>5251</v>
      </c>
      <c r="P38" t="s">
        <v>906</v>
      </c>
      <c r="Q38" t="s">
        <v>832</v>
      </c>
      <c r="R38" t="s">
        <v>3952</v>
      </c>
      <c r="S38" t="s">
        <v>4269</v>
      </c>
      <c r="T38" t="s">
        <v>543</v>
      </c>
      <c r="U38" t="s">
        <v>606</v>
      </c>
      <c r="W38" t="s">
        <v>751</v>
      </c>
      <c r="X38" t="s">
        <v>6010</v>
      </c>
      <c r="Y38" t="s">
        <v>1707</v>
      </c>
      <c r="Z38" t="s">
        <v>694</v>
      </c>
    </row>
    <row r="39" spans="1:26">
      <c r="A39" t="s">
        <v>4796</v>
      </c>
      <c r="B39" t="s">
        <v>4539</v>
      </c>
      <c r="D39" t="s">
        <v>1262</v>
      </c>
      <c r="E39" t="s">
        <v>4563</v>
      </c>
      <c r="G39" t="s">
        <v>4700</v>
      </c>
      <c r="J39" t="s">
        <v>523</v>
      </c>
      <c r="K39" t="s">
        <v>2904</v>
      </c>
      <c r="N39" t="s">
        <v>761</v>
      </c>
      <c r="O39" t="s">
        <v>5413</v>
      </c>
      <c r="P39" t="s">
        <v>5580</v>
      </c>
      <c r="Q39" t="s">
        <v>926</v>
      </c>
      <c r="R39" t="s">
        <v>598</v>
      </c>
      <c r="S39" t="s">
        <v>906</v>
      </c>
      <c r="T39" t="s">
        <v>669</v>
      </c>
      <c r="U39" t="s">
        <v>660</v>
      </c>
      <c r="W39" t="s">
        <v>947</v>
      </c>
      <c r="X39" t="s">
        <v>6032</v>
      </c>
      <c r="Y39" t="s">
        <v>1105</v>
      </c>
      <c r="Z39" t="s">
        <v>473</v>
      </c>
    </row>
    <row r="40" spans="1:26">
      <c r="A40" t="s">
        <v>4784</v>
      </c>
      <c r="B40" t="s">
        <v>4480</v>
      </c>
      <c r="D40" t="s">
        <v>1209</v>
      </c>
      <c r="E40" t="s">
        <v>4581</v>
      </c>
      <c r="G40" t="s">
        <v>4742</v>
      </c>
      <c r="J40" t="s">
        <v>736</v>
      </c>
      <c r="K40" t="s">
        <v>5036</v>
      </c>
      <c r="N40" t="s">
        <v>785</v>
      </c>
      <c r="O40" t="s">
        <v>5490</v>
      </c>
      <c r="P40" t="s">
        <v>5578</v>
      </c>
      <c r="Q40" t="s">
        <v>819</v>
      </c>
      <c r="R40" t="s">
        <v>1105</v>
      </c>
      <c r="S40" t="s">
        <v>600</v>
      </c>
      <c r="T40" t="s">
        <v>521</v>
      </c>
      <c r="U40" t="s">
        <v>797</v>
      </c>
      <c r="W40" t="s">
        <v>535</v>
      </c>
      <c r="X40" t="s">
        <v>6026</v>
      </c>
      <c r="Y40" t="s">
        <v>4269</v>
      </c>
      <c r="Z40" t="s">
        <v>5833</v>
      </c>
    </row>
    <row r="41" spans="1:26">
      <c r="A41" t="s">
        <v>4818</v>
      </c>
      <c r="B41" t="s">
        <v>4553</v>
      </c>
      <c r="D41" t="s">
        <v>1405</v>
      </c>
      <c r="E41" t="s">
        <v>4583</v>
      </c>
      <c r="G41" t="s">
        <v>4664</v>
      </c>
      <c r="J41" t="s">
        <v>4893</v>
      </c>
      <c r="K41" t="s">
        <v>5024</v>
      </c>
      <c r="N41" t="s">
        <v>857</v>
      </c>
      <c r="O41" t="s">
        <v>5308</v>
      </c>
      <c r="P41" t="s">
        <v>5593</v>
      </c>
      <c r="Q41" t="s">
        <v>787</v>
      </c>
      <c r="R41" t="s">
        <v>4269</v>
      </c>
      <c r="S41" t="s">
        <v>1113</v>
      </c>
      <c r="T41" t="s">
        <v>825</v>
      </c>
      <c r="U41" t="s">
        <v>5705</v>
      </c>
      <c r="W41" t="s">
        <v>686</v>
      </c>
      <c r="X41" t="s">
        <v>6076</v>
      </c>
      <c r="Y41" t="s">
        <v>906</v>
      </c>
      <c r="Z41" t="s">
        <v>4738</v>
      </c>
    </row>
    <row r="42" spans="1:26">
      <c r="A42" t="s">
        <v>880</v>
      </c>
      <c r="B42" t="s">
        <v>4518</v>
      </c>
      <c r="D42" t="s">
        <v>1415</v>
      </c>
      <c r="E42" t="s">
        <v>4603</v>
      </c>
      <c r="G42" t="s">
        <v>4749</v>
      </c>
      <c r="J42" t="s">
        <v>4846</v>
      </c>
      <c r="K42" t="s">
        <v>4946</v>
      </c>
      <c r="N42" t="s">
        <v>516</v>
      </c>
      <c r="O42" t="s">
        <v>5291</v>
      </c>
      <c r="Q42" t="s">
        <v>550</v>
      </c>
      <c r="R42" t="s">
        <v>906</v>
      </c>
      <c r="S42" t="s">
        <v>694</v>
      </c>
      <c r="T42" t="s">
        <v>4891</v>
      </c>
      <c r="U42" t="s">
        <v>476</v>
      </c>
      <c r="W42" t="s">
        <v>741</v>
      </c>
      <c r="X42" t="s">
        <v>6053</v>
      </c>
      <c r="Y42" t="s">
        <v>600</v>
      </c>
      <c r="Z42" t="s">
        <v>684</v>
      </c>
    </row>
    <row r="43" spans="1:26">
      <c r="A43" t="s">
        <v>4922</v>
      </c>
      <c r="B43" t="s">
        <v>4529</v>
      </c>
      <c r="D43" t="s">
        <v>1188</v>
      </c>
      <c r="E43" t="s">
        <v>4608</v>
      </c>
      <c r="G43" t="s">
        <v>4692</v>
      </c>
      <c r="J43" t="s">
        <v>4858</v>
      </c>
      <c r="K43" t="s">
        <v>5066</v>
      </c>
      <c r="N43" t="s">
        <v>876</v>
      </c>
      <c r="O43" t="s">
        <v>5243</v>
      </c>
      <c r="Q43" t="s">
        <v>602</v>
      </c>
      <c r="R43" t="s">
        <v>533</v>
      </c>
      <c r="S43" t="s">
        <v>473</v>
      </c>
      <c r="T43" t="s">
        <v>6535</v>
      </c>
      <c r="U43" t="s">
        <v>799</v>
      </c>
      <c r="W43" t="s">
        <v>894</v>
      </c>
      <c r="X43" t="s">
        <v>5924</v>
      </c>
      <c r="Y43" t="s">
        <v>2169</v>
      </c>
      <c r="Z43" t="s">
        <v>751</v>
      </c>
    </row>
    <row r="44" spans="1:26">
      <c r="A44" t="s">
        <v>2735</v>
      </c>
      <c r="B44" t="s">
        <v>4555</v>
      </c>
      <c r="D44" t="s">
        <v>1365</v>
      </c>
      <c r="E44" t="s">
        <v>4610</v>
      </c>
      <c r="G44" t="s">
        <v>4740</v>
      </c>
      <c r="J44" t="s">
        <v>4860</v>
      </c>
      <c r="K44" t="s">
        <v>4959</v>
      </c>
      <c r="N44" t="s">
        <v>694</v>
      </c>
      <c r="O44" t="s">
        <v>2733</v>
      </c>
      <c r="Q44" t="s">
        <v>878</v>
      </c>
      <c r="S44" t="s">
        <v>832</v>
      </c>
      <c r="T44" t="s">
        <v>523</v>
      </c>
      <c r="U44" t="s">
        <v>580</v>
      </c>
      <c r="W44" t="s">
        <v>666</v>
      </c>
      <c r="X44" t="s">
        <v>6035</v>
      </c>
      <c r="Y44" t="s">
        <v>840</v>
      </c>
      <c r="Z44" t="s">
        <v>947</v>
      </c>
    </row>
    <row r="45" spans="1:26">
      <c r="A45" t="s">
        <v>1718</v>
      </c>
      <c r="B45" t="s">
        <v>4549</v>
      </c>
      <c r="D45" t="s">
        <v>1353</v>
      </c>
      <c r="E45" t="s">
        <v>4605</v>
      </c>
      <c r="G45" t="s">
        <v>4713</v>
      </c>
      <c r="J45" t="s">
        <v>4918</v>
      </c>
      <c r="K45" t="s">
        <v>5068</v>
      </c>
      <c r="N45" t="s">
        <v>473</v>
      </c>
      <c r="O45" t="s">
        <v>5304</v>
      </c>
      <c r="Q45" t="s">
        <v>1050</v>
      </c>
      <c r="S45" t="s">
        <v>4621</v>
      </c>
      <c r="T45" t="s">
        <v>5332</v>
      </c>
      <c r="U45" t="s">
        <v>859</v>
      </c>
      <c r="W45" t="s">
        <v>4362</v>
      </c>
      <c r="X45" t="s">
        <v>6028</v>
      </c>
      <c r="Y45" t="s">
        <v>761</v>
      </c>
      <c r="Z45" t="s">
        <v>686</v>
      </c>
    </row>
    <row r="46" spans="1:26">
      <c r="A46" t="s">
        <v>3836</v>
      </c>
      <c r="B46" t="s">
        <v>4476</v>
      </c>
      <c r="D46" t="s">
        <v>1371</v>
      </c>
      <c r="E46" t="s">
        <v>4573</v>
      </c>
      <c r="G46" t="s">
        <v>4725</v>
      </c>
      <c r="J46" t="s">
        <v>2350</v>
      </c>
      <c r="K46" t="s">
        <v>4972</v>
      </c>
      <c r="N46" t="s">
        <v>912</v>
      </c>
      <c r="O46" t="s">
        <v>5409</v>
      </c>
      <c r="Q46" t="s">
        <v>508</v>
      </c>
      <c r="S46" t="s">
        <v>739</v>
      </c>
      <c r="T46" t="s">
        <v>6516</v>
      </c>
      <c r="U46" t="s">
        <v>677</v>
      </c>
      <c r="W46" t="s">
        <v>1812</v>
      </c>
      <c r="X46" t="s">
        <v>5970</v>
      </c>
      <c r="Y46" t="s">
        <v>516</v>
      </c>
      <c r="Z46" t="s">
        <v>916</v>
      </c>
    </row>
    <row r="47" spans="1:26">
      <c r="A47" t="s">
        <v>6350</v>
      </c>
      <c r="B47" t="s">
        <v>4543</v>
      </c>
      <c r="D47" t="s">
        <v>1159</v>
      </c>
      <c r="G47" t="s">
        <v>4751</v>
      </c>
      <c r="J47" t="s">
        <v>4903</v>
      </c>
      <c r="K47" t="s">
        <v>5010</v>
      </c>
      <c r="N47" t="s">
        <v>832</v>
      </c>
      <c r="O47" t="s">
        <v>5299</v>
      </c>
      <c r="Q47" t="s">
        <v>1009</v>
      </c>
      <c r="S47" t="s">
        <v>819</v>
      </c>
      <c r="T47" t="s">
        <v>4454</v>
      </c>
      <c r="U47" t="s">
        <v>543</v>
      </c>
      <c r="W47" t="s">
        <v>1432</v>
      </c>
      <c r="X47" t="s">
        <v>6001</v>
      </c>
      <c r="Y47" t="s">
        <v>876</v>
      </c>
      <c r="Z47" t="s">
        <v>765</v>
      </c>
    </row>
    <row r="48" spans="1:26">
      <c r="A48" t="s">
        <v>6259</v>
      </c>
      <c r="B48" t="s">
        <v>4478</v>
      </c>
      <c r="D48" t="s">
        <v>1151</v>
      </c>
      <c r="G48" t="s">
        <v>4722</v>
      </c>
      <c r="J48" t="s">
        <v>4862</v>
      </c>
      <c r="K48" t="s">
        <v>5034</v>
      </c>
      <c r="N48" t="s">
        <v>492</v>
      </c>
      <c r="O48" t="s">
        <v>5474</v>
      </c>
      <c r="Q48" t="s">
        <v>1054</v>
      </c>
      <c r="S48" t="s">
        <v>512</v>
      </c>
      <c r="T48" t="s">
        <v>6595</v>
      </c>
      <c r="U48" t="s">
        <v>775</v>
      </c>
      <c r="W48" t="s">
        <v>4135</v>
      </c>
      <c r="X48" t="s">
        <v>6048</v>
      </c>
      <c r="Y48" t="s">
        <v>1113</v>
      </c>
      <c r="Z48" t="s">
        <v>743</v>
      </c>
    </row>
    <row r="49" spans="1:26">
      <c r="A49" t="s">
        <v>6269</v>
      </c>
      <c r="B49" t="s">
        <v>4491</v>
      </c>
      <c r="D49" t="s">
        <v>1256</v>
      </c>
      <c r="G49" t="s">
        <v>669</v>
      </c>
      <c r="J49" t="s">
        <v>4905</v>
      </c>
      <c r="K49" t="s">
        <v>5032</v>
      </c>
      <c r="N49" t="s">
        <v>696</v>
      </c>
      <c r="O49" t="s">
        <v>5481</v>
      </c>
      <c r="Q49" t="s">
        <v>726</v>
      </c>
      <c r="S49" t="s">
        <v>5766</v>
      </c>
      <c r="T49" t="s">
        <v>6591</v>
      </c>
      <c r="U49" t="s">
        <v>734</v>
      </c>
      <c r="W49" t="s">
        <v>632</v>
      </c>
      <c r="X49" t="s">
        <v>5935</v>
      </c>
      <c r="Y49" t="s">
        <v>5833</v>
      </c>
      <c r="Z49" t="s">
        <v>894</v>
      </c>
    </row>
    <row r="50" spans="1:26">
      <c r="A50" t="s">
        <v>6305</v>
      </c>
      <c r="B50" t="s">
        <v>4531</v>
      </c>
      <c r="D50" t="s">
        <v>1258</v>
      </c>
      <c r="G50" t="s">
        <v>903</v>
      </c>
      <c r="J50" t="s">
        <v>4792</v>
      </c>
      <c r="K50" t="s">
        <v>5102</v>
      </c>
      <c r="N50" t="s">
        <v>739</v>
      </c>
      <c r="O50" t="s">
        <v>5140</v>
      </c>
      <c r="Q50" t="s">
        <v>626</v>
      </c>
      <c r="S50" t="s">
        <v>1050</v>
      </c>
      <c r="T50" t="s">
        <v>4862</v>
      </c>
      <c r="U50" t="s">
        <v>807</v>
      </c>
      <c r="W50" t="s">
        <v>773</v>
      </c>
      <c r="X50" t="s">
        <v>6086</v>
      </c>
      <c r="Y50" t="s">
        <v>912</v>
      </c>
      <c r="Z50" t="s">
        <v>5824</v>
      </c>
    </row>
    <row r="51" spans="1:26">
      <c r="A51" t="s">
        <v>6250</v>
      </c>
      <c r="B51" t="s">
        <v>4500</v>
      </c>
      <c r="D51" t="s">
        <v>1228</v>
      </c>
      <c r="G51" t="s">
        <v>4703</v>
      </c>
      <c r="J51" t="s">
        <v>4806</v>
      </c>
      <c r="K51" t="s">
        <v>5022</v>
      </c>
      <c r="N51" t="s">
        <v>819</v>
      </c>
      <c r="O51" t="s">
        <v>5343</v>
      </c>
      <c r="Q51" t="s">
        <v>963</v>
      </c>
      <c r="S51" t="s">
        <v>656</v>
      </c>
      <c r="T51" t="s">
        <v>5673</v>
      </c>
      <c r="W51" t="s">
        <v>753</v>
      </c>
      <c r="X51" t="s">
        <v>6078</v>
      </c>
      <c r="Y51" t="s">
        <v>492</v>
      </c>
      <c r="Z51" t="s">
        <v>666</v>
      </c>
    </row>
    <row r="52" spans="1:26">
      <c r="A52" t="s">
        <v>6280</v>
      </c>
      <c r="B52" t="s">
        <v>4505</v>
      </c>
      <c r="D52" t="s">
        <v>1184</v>
      </c>
      <c r="G52" t="s">
        <v>779</v>
      </c>
      <c r="J52" t="s">
        <v>4804</v>
      </c>
      <c r="K52" t="s">
        <v>4954</v>
      </c>
      <c r="N52" t="s">
        <v>787</v>
      </c>
      <c r="O52" t="s">
        <v>5311</v>
      </c>
      <c r="Q52" t="s">
        <v>656</v>
      </c>
      <c r="S52" t="s">
        <v>628</v>
      </c>
      <c r="T52" t="s">
        <v>4792</v>
      </c>
      <c r="W52" t="s">
        <v>658</v>
      </c>
      <c r="X52" t="s">
        <v>5928</v>
      </c>
      <c r="Y52" t="s">
        <v>696</v>
      </c>
      <c r="Z52" t="s">
        <v>834</v>
      </c>
    </row>
    <row r="53" spans="1:26">
      <c r="A53" t="s">
        <v>4364</v>
      </c>
      <c r="B53" t="s">
        <v>4488</v>
      </c>
      <c r="D53" t="s">
        <v>1285</v>
      </c>
      <c r="G53" t="s">
        <v>4730</v>
      </c>
      <c r="J53" t="s">
        <v>4925</v>
      </c>
      <c r="K53" t="s">
        <v>5014</v>
      </c>
      <c r="N53" t="s">
        <v>550</v>
      </c>
      <c r="O53" t="s">
        <v>5248</v>
      </c>
      <c r="Q53" t="s">
        <v>628</v>
      </c>
      <c r="S53" t="s">
        <v>675</v>
      </c>
      <c r="T53" t="s">
        <v>4804</v>
      </c>
      <c r="W53" t="s">
        <v>3961</v>
      </c>
      <c r="X53" t="s">
        <v>6059</v>
      </c>
      <c r="Y53" t="s">
        <v>926</v>
      </c>
      <c r="Z53" t="s">
        <v>5835</v>
      </c>
    </row>
    <row r="54" spans="1:26">
      <c r="A54" t="s">
        <v>6261</v>
      </c>
      <c r="B54" t="s">
        <v>4495</v>
      </c>
      <c r="D54" t="s">
        <v>1373</v>
      </c>
      <c r="G54" t="s">
        <v>4671</v>
      </c>
      <c r="J54" t="s">
        <v>4776</v>
      </c>
      <c r="K54" t="s">
        <v>5091</v>
      </c>
      <c r="N54" t="s">
        <v>602</v>
      </c>
      <c r="O54" t="s">
        <v>5332</v>
      </c>
      <c r="Q54" t="s">
        <v>763</v>
      </c>
      <c r="S54" t="s">
        <v>1111</v>
      </c>
      <c r="T54" t="s">
        <v>5484</v>
      </c>
      <c r="W54" t="s">
        <v>886</v>
      </c>
      <c r="X54" t="s">
        <v>6037</v>
      </c>
      <c r="Y54" t="s">
        <v>6218</v>
      </c>
      <c r="Z54" t="s">
        <v>689</v>
      </c>
    </row>
    <row r="55" spans="1:26">
      <c r="A55" t="s">
        <v>6263</v>
      </c>
      <c r="B55" t="s">
        <v>4470</v>
      </c>
      <c r="D55" t="s">
        <v>1165</v>
      </c>
      <c r="G55" t="s">
        <v>4623</v>
      </c>
      <c r="J55" t="s">
        <v>4836</v>
      </c>
      <c r="K55" t="s">
        <v>5076</v>
      </c>
      <c r="N55" t="s">
        <v>878</v>
      </c>
      <c r="O55" t="s">
        <v>5375</v>
      </c>
      <c r="Q55" t="s">
        <v>590</v>
      </c>
      <c r="S55" t="s">
        <v>5717</v>
      </c>
      <c r="T55" t="s">
        <v>5402</v>
      </c>
      <c r="W55" t="s">
        <v>2348</v>
      </c>
      <c r="X55" t="s">
        <v>6063</v>
      </c>
      <c r="Y55" t="s">
        <v>4621</v>
      </c>
      <c r="Z55" t="s">
        <v>648</v>
      </c>
    </row>
    <row r="56" spans="1:26">
      <c r="A56" t="s">
        <v>6242</v>
      </c>
      <c r="B56" t="s">
        <v>4516</v>
      </c>
      <c r="D56" t="s">
        <v>1230</v>
      </c>
      <c r="G56" t="s">
        <v>4719</v>
      </c>
      <c r="J56" t="s">
        <v>4799</v>
      </c>
      <c r="K56" t="s">
        <v>5000</v>
      </c>
      <c r="N56" t="s">
        <v>512</v>
      </c>
      <c r="O56" t="s">
        <v>5468</v>
      </c>
      <c r="Q56" t="s">
        <v>1111</v>
      </c>
      <c r="S56" t="s">
        <v>5602</v>
      </c>
      <c r="T56" t="s">
        <v>6531</v>
      </c>
      <c r="W56" t="s">
        <v>2733</v>
      </c>
      <c r="X56" t="s">
        <v>6072</v>
      </c>
      <c r="Y56" t="s">
        <v>739</v>
      </c>
      <c r="Z56" t="s">
        <v>500</v>
      </c>
    </row>
    <row r="57" spans="1:26">
      <c r="A57" t="s">
        <v>5821</v>
      </c>
      <c r="D57" t="s">
        <v>1271</v>
      </c>
      <c r="G57" t="s">
        <v>4753</v>
      </c>
      <c r="J57" t="s">
        <v>4808</v>
      </c>
      <c r="K57" t="s">
        <v>5012</v>
      </c>
      <c r="N57" t="s">
        <v>508</v>
      </c>
      <c r="O57" t="s">
        <v>5156</v>
      </c>
      <c r="Q57" t="s">
        <v>1040</v>
      </c>
      <c r="S57" t="s">
        <v>5698</v>
      </c>
      <c r="T57" t="s">
        <v>5297</v>
      </c>
      <c r="W57" t="s">
        <v>3834</v>
      </c>
      <c r="X57" t="s">
        <v>6040</v>
      </c>
      <c r="Y57" t="s">
        <v>819</v>
      </c>
      <c r="Z57" t="s">
        <v>5488</v>
      </c>
    </row>
    <row r="58" spans="1:26">
      <c r="A58" t="s">
        <v>4684</v>
      </c>
      <c r="D58" t="s">
        <v>1385</v>
      </c>
      <c r="G58" t="s">
        <v>4759</v>
      </c>
      <c r="J58" t="s">
        <v>4815</v>
      </c>
      <c r="K58" t="s">
        <v>5008</v>
      </c>
      <c r="N58" t="s">
        <v>726</v>
      </c>
      <c r="O58" t="s">
        <v>5158</v>
      </c>
      <c r="Q58" t="s">
        <v>914</v>
      </c>
      <c r="S58" t="s">
        <v>5761</v>
      </c>
      <c r="T58" t="s">
        <v>5214</v>
      </c>
      <c r="W58" t="s">
        <v>3485</v>
      </c>
      <c r="X58" t="s">
        <v>6095</v>
      </c>
      <c r="Y58" t="s">
        <v>787</v>
      </c>
      <c r="Z58" t="s">
        <v>640</v>
      </c>
    </row>
    <row r="59" spans="1:26">
      <c r="A59" t="s">
        <v>6296</v>
      </c>
      <c r="D59" t="s">
        <v>1409</v>
      </c>
      <c r="G59" t="s">
        <v>4707</v>
      </c>
      <c r="J59" t="s">
        <v>4825</v>
      </c>
      <c r="K59" t="s">
        <v>4934</v>
      </c>
      <c r="N59" t="s">
        <v>626</v>
      </c>
      <c r="O59" t="s">
        <v>5263</v>
      </c>
      <c r="Q59" t="s">
        <v>592</v>
      </c>
      <c r="S59" t="s">
        <v>5738</v>
      </c>
      <c r="T59" t="s">
        <v>5514</v>
      </c>
      <c r="W59" t="s">
        <v>2350</v>
      </c>
      <c r="X59" t="s">
        <v>5960</v>
      </c>
      <c r="Y59" t="s">
        <v>550</v>
      </c>
      <c r="Z59" t="s">
        <v>908</v>
      </c>
    </row>
    <row r="60" spans="1:26">
      <c r="A60" t="s">
        <v>6379</v>
      </c>
      <c r="D60" t="s">
        <v>1263</v>
      </c>
      <c r="G60" t="s">
        <v>4682</v>
      </c>
      <c r="J60" t="s">
        <v>4915</v>
      </c>
      <c r="K60" t="s">
        <v>5042</v>
      </c>
      <c r="N60" t="s">
        <v>821</v>
      </c>
      <c r="O60" t="s">
        <v>5400</v>
      </c>
      <c r="Q60" t="s">
        <v>684</v>
      </c>
      <c r="S60" t="s">
        <v>5731</v>
      </c>
      <c r="T60" t="s">
        <v>6557</v>
      </c>
      <c r="W60" t="s">
        <v>4454</v>
      </c>
      <c r="X60" t="s">
        <v>5996</v>
      </c>
      <c r="Y60" t="s">
        <v>602</v>
      </c>
      <c r="Z60" t="s">
        <v>5136</v>
      </c>
    </row>
    <row r="61" spans="1:26">
      <c r="A61" t="s">
        <v>6325</v>
      </c>
      <c r="D61" t="s">
        <v>1321</v>
      </c>
      <c r="G61" t="s">
        <v>4643</v>
      </c>
      <c r="J61" t="s">
        <v>4770</v>
      </c>
      <c r="K61" t="s">
        <v>5004</v>
      </c>
      <c r="N61" t="s">
        <v>656</v>
      </c>
      <c r="O61" t="s">
        <v>5340</v>
      </c>
      <c r="Q61" t="s">
        <v>751</v>
      </c>
      <c r="S61" t="s">
        <v>5749</v>
      </c>
      <c r="T61" t="s">
        <v>5257</v>
      </c>
      <c r="W61" t="s">
        <v>2735</v>
      </c>
      <c r="X61" t="s">
        <v>6089</v>
      </c>
      <c r="Y61" t="s">
        <v>878</v>
      </c>
      <c r="Z61" t="s">
        <v>5279</v>
      </c>
    </row>
    <row r="62" spans="1:26">
      <c r="A62" t="s">
        <v>849</v>
      </c>
      <c r="D62" t="s">
        <v>1389</v>
      </c>
      <c r="G62" t="s">
        <v>4658</v>
      </c>
      <c r="J62" t="s">
        <v>4906</v>
      </c>
      <c r="K62" t="s">
        <v>5108</v>
      </c>
      <c r="N62" t="s">
        <v>628</v>
      </c>
      <c r="O62" t="s">
        <v>4792</v>
      </c>
      <c r="Q62" t="s">
        <v>947</v>
      </c>
      <c r="S62" t="s">
        <v>5683</v>
      </c>
      <c r="T62" t="s">
        <v>4866</v>
      </c>
      <c r="W62" t="s">
        <v>1718</v>
      </c>
      <c r="X62" t="s">
        <v>6097</v>
      </c>
      <c r="Y62" t="s">
        <v>512</v>
      </c>
      <c r="Z62" t="s">
        <v>521</v>
      </c>
    </row>
    <row r="63" spans="1:26">
      <c r="A63" t="s">
        <v>6307</v>
      </c>
      <c r="D63" t="s">
        <v>1416</v>
      </c>
      <c r="G63" t="s">
        <v>4364</v>
      </c>
      <c r="J63" t="s">
        <v>4864</v>
      </c>
      <c r="K63" t="s">
        <v>5038</v>
      </c>
      <c r="N63" t="s">
        <v>763</v>
      </c>
      <c r="O63" t="s">
        <v>5160</v>
      </c>
      <c r="Q63" t="s">
        <v>916</v>
      </c>
      <c r="S63" t="s">
        <v>5653</v>
      </c>
      <c r="T63" t="s">
        <v>4881</v>
      </c>
      <c r="W63" t="s">
        <v>3836</v>
      </c>
      <c r="X63" t="s">
        <v>5941</v>
      </c>
      <c r="Y63" t="s">
        <v>5766</v>
      </c>
      <c r="Z63" t="s">
        <v>779</v>
      </c>
    </row>
    <row r="64" spans="1:26">
      <c r="A64" t="s">
        <v>6293</v>
      </c>
      <c r="D64" t="s">
        <v>1296</v>
      </c>
      <c r="G64" t="s">
        <v>4684</v>
      </c>
      <c r="J64" t="s">
        <v>4802</v>
      </c>
      <c r="K64" t="s">
        <v>4968</v>
      </c>
      <c r="N64" t="s">
        <v>590</v>
      </c>
      <c r="O64" t="s">
        <v>5484</v>
      </c>
      <c r="Q64" t="s">
        <v>765</v>
      </c>
      <c r="S64" t="s">
        <v>5692</v>
      </c>
      <c r="T64" t="s">
        <v>6241</v>
      </c>
      <c r="W64" t="s">
        <v>4364</v>
      </c>
      <c r="X64" t="s">
        <v>5937</v>
      </c>
      <c r="Y64" t="s">
        <v>1050</v>
      </c>
      <c r="Z64" t="s">
        <v>825</v>
      </c>
    </row>
    <row r="65" spans="1:26">
      <c r="A65" t="s">
        <v>6246</v>
      </c>
      <c r="D65" t="s">
        <v>1291</v>
      </c>
      <c r="G65" t="s">
        <v>4064</v>
      </c>
      <c r="J65" t="s">
        <v>4930</v>
      </c>
      <c r="K65" t="s">
        <v>4974</v>
      </c>
      <c r="N65" t="s">
        <v>578</v>
      </c>
      <c r="O65" t="s">
        <v>5402</v>
      </c>
      <c r="Q65" t="s">
        <v>741</v>
      </c>
      <c r="S65" t="s">
        <v>5718</v>
      </c>
      <c r="T65" t="s">
        <v>6539</v>
      </c>
      <c r="W65" t="s">
        <v>2585</v>
      </c>
      <c r="X65" t="s">
        <v>6101</v>
      </c>
      <c r="Y65" t="s">
        <v>508</v>
      </c>
      <c r="Z65" t="s">
        <v>4891</v>
      </c>
    </row>
    <row r="66" spans="1:26">
      <c r="A66" t="s">
        <v>6265</v>
      </c>
      <c r="D66" t="s">
        <v>1205</v>
      </c>
      <c r="G66" t="s">
        <v>4747</v>
      </c>
      <c r="J66" t="s">
        <v>4842</v>
      </c>
      <c r="K66" t="s">
        <v>5097</v>
      </c>
      <c r="N66" t="s">
        <v>675</v>
      </c>
      <c r="O66" t="s">
        <v>5253</v>
      </c>
      <c r="Q66" t="s">
        <v>894</v>
      </c>
      <c r="S66" t="s">
        <v>5694</v>
      </c>
      <c r="T66" t="s">
        <v>6554</v>
      </c>
      <c r="W66" t="s">
        <v>1709</v>
      </c>
      <c r="X66" t="s">
        <v>6106</v>
      </c>
      <c r="Y66" t="s">
        <v>1009</v>
      </c>
      <c r="Z66" t="s">
        <v>5896</v>
      </c>
    </row>
    <row r="67" spans="1:26">
      <c r="A67" t="s">
        <v>6289</v>
      </c>
      <c r="D67" t="s">
        <v>1173</v>
      </c>
      <c r="G67" t="s">
        <v>4754</v>
      </c>
      <c r="J67" t="s">
        <v>4828</v>
      </c>
      <c r="K67" t="s">
        <v>5057</v>
      </c>
      <c r="N67" t="s">
        <v>914</v>
      </c>
      <c r="O67" t="s">
        <v>5329</v>
      </c>
      <c r="Q67" t="s">
        <v>666</v>
      </c>
      <c r="S67" t="s">
        <v>5615</v>
      </c>
      <c r="T67" t="s">
        <v>6565</v>
      </c>
      <c r="W67" t="s">
        <v>1786</v>
      </c>
      <c r="X67" t="s">
        <v>5992</v>
      </c>
      <c r="Y67" t="s">
        <v>1054</v>
      </c>
      <c r="Z67" t="s">
        <v>5870</v>
      </c>
    </row>
    <row r="68" spans="1:26">
      <c r="A68" t="s">
        <v>6343</v>
      </c>
      <c r="D68" t="s">
        <v>1178</v>
      </c>
      <c r="G68" t="s">
        <v>4646</v>
      </c>
      <c r="J68" t="s">
        <v>4895</v>
      </c>
      <c r="K68" t="s">
        <v>5110</v>
      </c>
      <c r="N68" t="s">
        <v>592</v>
      </c>
      <c r="O68" t="s">
        <v>4776</v>
      </c>
      <c r="Q68" t="s">
        <v>950</v>
      </c>
      <c r="S68" t="s">
        <v>5696</v>
      </c>
      <c r="T68" t="s">
        <v>6560</v>
      </c>
      <c r="W68" t="s">
        <v>2494</v>
      </c>
      <c r="X68" t="s">
        <v>6018</v>
      </c>
      <c r="Y68" t="s">
        <v>726</v>
      </c>
      <c r="Z68" t="s">
        <v>5839</v>
      </c>
    </row>
    <row r="69" spans="1:26">
      <c r="A69" t="s">
        <v>6340</v>
      </c>
      <c r="D69" t="s">
        <v>1265</v>
      </c>
      <c r="G69" t="s">
        <v>4698</v>
      </c>
      <c r="J69" t="s">
        <v>4794</v>
      </c>
      <c r="K69" t="s">
        <v>4952</v>
      </c>
      <c r="N69" t="s">
        <v>684</v>
      </c>
      <c r="O69" t="s">
        <v>5233</v>
      </c>
      <c r="Q69" t="s">
        <v>1062</v>
      </c>
      <c r="S69" t="s">
        <v>5726</v>
      </c>
      <c r="T69" t="s">
        <v>6567</v>
      </c>
      <c r="W69" t="s">
        <v>2486</v>
      </c>
      <c r="X69" t="s">
        <v>6092</v>
      </c>
      <c r="Y69" t="s">
        <v>626</v>
      </c>
      <c r="Z69" t="s">
        <v>5821</v>
      </c>
    </row>
    <row r="70" spans="1:26">
      <c r="A70" t="s">
        <v>1254</v>
      </c>
      <c r="D70" t="s">
        <v>1319</v>
      </c>
      <c r="G70" t="s">
        <v>849</v>
      </c>
      <c r="J70" t="s">
        <v>4932</v>
      </c>
      <c r="K70" t="s">
        <v>5048</v>
      </c>
      <c r="N70" t="s">
        <v>751</v>
      </c>
      <c r="O70" t="s">
        <v>5259</v>
      </c>
      <c r="Q70" t="s">
        <v>1088</v>
      </c>
      <c r="S70" t="s">
        <v>5604</v>
      </c>
      <c r="T70" t="s">
        <v>6543</v>
      </c>
      <c r="W70" t="s">
        <v>3338</v>
      </c>
      <c r="X70" t="s">
        <v>6022</v>
      </c>
      <c r="Y70" t="s">
        <v>821</v>
      </c>
      <c r="Z70" t="s">
        <v>4684</v>
      </c>
    </row>
    <row r="71" spans="1:26">
      <c r="A71" t="s">
        <v>6391</v>
      </c>
      <c r="D71" t="s">
        <v>1198</v>
      </c>
      <c r="G71" t="s">
        <v>4666</v>
      </c>
      <c r="J71" t="s">
        <v>4866</v>
      </c>
      <c r="K71" t="s">
        <v>5078</v>
      </c>
      <c r="N71" t="s">
        <v>535</v>
      </c>
      <c r="O71" t="s">
        <v>5149</v>
      </c>
      <c r="Q71" t="s">
        <v>1107</v>
      </c>
      <c r="S71" t="s">
        <v>684</v>
      </c>
      <c r="T71" t="s">
        <v>6537</v>
      </c>
      <c r="W71" t="s">
        <v>3823</v>
      </c>
      <c r="X71" t="s">
        <v>6004</v>
      </c>
      <c r="Y71" t="s">
        <v>6162</v>
      </c>
      <c r="Z71" t="s">
        <v>2585</v>
      </c>
    </row>
    <row r="72" spans="1:26">
      <c r="A72" t="s">
        <v>6356</v>
      </c>
      <c r="D72" t="s">
        <v>1175</v>
      </c>
      <c r="G72" t="s">
        <v>4733</v>
      </c>
      <c r="J72" t="s">
        <v>4881</v>
      </c>
      <c r="K72" t="s">
        <v>4982</v>
      </c>
      <c r="N72" t="s">
        <v>686</v>
      </c>
      <c r="O72" t="s">
        <v>5370</v>
      </c>
      <c r="Q72" t="s">
        <v>989</v>
      </c>
      <c r="S72" t="s">
        <v>896</v>
      </c>
      <c r="T72" t="s">
        <v>6583</v>
      </c>
      <c r="W72" t="s">
        <v>3963</v>
      </c>
      <c r="X72" t="s">
        <v>6000</v>
      </c>
      <c r="Y72" t="s">
        <v>6153</v>
      </c>
      <c r="Z72" t="s">
        <v>1709</v>
      </c>
    </row>
    <row r="73" spans="1:26">
      <c r="A73" t="s">
        <v>6277</v>
      </c>
      <c r="D73" t="s">
        <v>1356</v>
      </c>
      <c r="G73" t="s">
        <v>4737</v>
      </c>
      <c r="J73" t="s">
        <v>4778</v>
      </c>
      <c r="K73" t="s">
        <v>5059</v>
      </c>
      <c r="N73" t="s">
        <v>916</v>
      </c>
      <c r="O73" t="s">
        <v>5475</v>
      </c>
      <c r="Q73" t="s">
        <v>1001</v>
      </c>
      <c r="S73" t="s">
        <v>888</v>
      </c>
      <c r="T73" t="s">
        <v>6573</v>
      </c>
      <c r="W73" t="s">
        <v>4064</v>
      </c>
      <c r="X73" t="s">
        <v>6050</v>
      </c>
      <c r="Y73" t="s">
        <v>656</v>
      </c>
      <c r="Z73" t="s">
        <v>1786</v>
      </c>
    </row>
    <row r="74" spans="1:26">
      <c r="A74" t="s">
        <v>6282</v>
      </c>
      <c r="D74" t="s">
        <v>1251</v>
      </c>
      <c r="G74" t="s">
        <v>2975</v>
      </c>
      <c r="J74" t="s">
        <v>4774</v>
      </c>
      <c r="K74" t="s">
        <v>5070</v>
      </c>
      <c r="N74" t="s">
        <v>765</v>
      </c>
      <c r="O74" t="s">
        <v>5500</v>
      </c>
      <c r="Q74" t="s">
        <v>1126</v>
      </c>
      <c r="S74" t="s">
        <v>606</v>
      </c>
      <c r="T74" t="s">
        <v>6588</v>
      </c>
      <c r="W74" t="s">
        <v>1620</v>
      </c>
      <c r="X74" t="s">
        <v>5956</v>
      </c>
      <c r="Y74" t="s">
        <v>590</v>
      </c>
      <c r="Z74" t="s">
        <v>5886</v>
      </c>
    </row>
    <row r="75" spans="1:26">
      <c r="A75" t="s">
        <v>6284</v>
      </c>
      <c r="D75" t="s">
        <v>1421</v>
      </c>
      <c r="G75" t="s">
        <v>4193</v>
      </c>
      <c r="J75" t="s">
        <v>4878</v>
      </c>
      <c r="K75" t="s">
        <v>5044</v>
      </c>
      <c r="N75" t="s">
        <v>741</v>
      </c>
      <c r="O75" t="s">
        <v>4815</v>
      </c>
      <c r="Q75" t="s">
        <v>1071</v>
      </c>
      <c r="S75" t="s">
        <v>660</v>
      </c>
      <c r="T75" t="s">
        <v>6575</v>
      </c>
      <c r="W75" t="s">
        <v>3693</v>
      </c>
      <c r="X75" t="s">
        <v>6007</v>
      </c>
      <c r="Y75" t="s">
        <v>914</v>
      </c>
      <c r="Z75" t="s">
        <v>5872</v>
      </c>
    </row>
    <row r="76" spans="1:26">
      <c r="A76" t="s">
        <v>6393</v>
      </c>
      <c r="D76" t="s">
        <v>1334</v>
      </c>
      <c r="G76" t="s">
        <v>2171</v>
      </c>
      <c r="J76" t="s">
        <v>4765</v>
      </c>
      <c r="K76" t="s">
        <v>4998</v>
      </c>
      <c r="N76" t="s">
        <v>743</v>
      </c>
      <c r="O76" t="s">
        <v>4825</v>
      </c>
      <c r="Q76" t="s">
        <v>1006</v>
      </c>
      <c r="S76" t="s">
        <v>797</v>
      </c>
      <c r="W76" t="s">
        <v>2747</v>
      </c>
      <c r="X76" t="s">
        <v>6099</v>
      </c>
      <c r="Y76" t="s">
        <v>684</v>
      </c>
      <c r="Z76" t="s">
        <v>2486</v>
      </c>
    </row>
    <row r="77" spans="1:26">
      <c r="A77" t="s">
        <v>6266</v>
      </c>
      <c r="D77" t="s">
        <v>1211</v>
      </c>
      <c r="G77" t="s">
        <v>4746</v>
      </c>
      <c r="J77" t="s">
        <v>4767</v>
      </c>
      <c r="K77" t="s">
        <v>5100</v>
      </c>
      <c r="N77" t="s">
        <v>894</v>
      </c>
      <c r="O77" t="s">
        <v>5327</v>
      </c>
      <c r="Q77" t="s">
        <v>983</v>
      </c>
      <c r="S77" t="s">
        <v>5705</v>
      </c>
      <c r="W77" t="s">
        <v>2799</v>
      </c>
      <c r="X77" t="s">
        <v>5920</v>
      </c>
      <c r="Y77" t="s">
        <v>535</v>
      </c>
      <c r="Z77" t="s">
        <v>5855</v>
      </c>
    </row>
    <row r="78" spans="1:26">
      <c r="A78" t="s">
        <v>6253</v>
      </c>
      <c r="D78" t="s">
        <v>1281</v>
      </c>
      <c r="G78" t="s">
        <v>4639</v>
      </c>
      <c r="J78" t="s">
        <v>4830</v>
      </c>
      <c r="K78" t="s">
        <v>5061</v>
      </c>
      <c r="N78" t="s">
        <v>666</v>
      </c>
      <c r="O78" t="s">
        <v>5524</v>
      </c>
      <c r="Q78" t="s">
        <v>1004</v>
      </c>
      <c r="S78" t="s">
        <v>476</v>
      </c>
      <c r="W78" t="s">
        <v>2287</v>
      </c>
      <c r="X78" t="s">
        <v>6005</v>
      </c>
      <c r="Y78" t="s">
        <v>686</v>
      </c>
      <c r="Z78" t="s">
        <v>5879</v>
      </c>
    </row>
    <row r="79" spans="1:26">
      <c r="A79" t="s">
        <v>6345</v>
      </c>
      <c r="D79" t="s">
        <v>1243</v>
      </c>
      <c r="G79" t="s">
        <v>4762</v>
      </c>
      <c r="J79" t="s">
        <v>4812</v>
      </c>
      <c r="K79" t="s">
        <v>5098</v>
      </c>
      <c r="N79" t="s">
        <v>834</v>
      </c>
      <c r="O79" t="s">
        <v>4915</v>
      </c>
      <c r="Q79" t="s">
        <v>985</v>
      </c>
      <c r="S79" t="s">
        <v>799</v>
      </c>
      <c r="W79" t="s">
        <v>1577</v>
      </c>
      <c r="X79" t="s">
        <v>5964</v>
      </c>
      <c r="Y79" t="s">
        <v>916</v>
      </c>
      <c r="Z79" t="s">
        <v>5900</v>
      </c>
    </row>
    <row r="80" spans="1:26">
      <c r="A80" t="s">
        <v>6310</v>
      </c>
      <c r="D80" t="s">
        <v>1260</v>
      </c>
      <c r="G80" t="s">
        <v>4708</v>
      </c>
      <c r="J80" t="s">
        <v>4920</v>
      </c>
      <c r="K80" t="s">
        <v>4980</v>
      </c>
      <c r="N80" t="s">
        <v>789</v>
      </c>
      <c r="O80" t="s">
        <v>5477</v>
      </c>
      <c r="Q80" t="s">
        <v>1119</v>
      </c>
      <c r="S80" t="s">
        <v>5699</v>
      </c>
      <c r="W80" t="s">
        <v>1622</v>
      </c>
      <c r="X80" t="s">
        <v>6065</v>
      </c>
      <c r="Y80" t="s">
        <v>894</v>
      </c>
      <c r="Z80" t="s">
        <v>5827</v>
      </c>
    </row>
    <row r="81" spans="1:26">
      <c r="A81" t="s">
        <v>6332</v>
      </c>
      <c r="D81" t="s">
        <v>1337</v>
      </c>
      <c r="G81" t="s">
        <v>4676</v>
      </c>
      <c r="J81" t="s">
        <v>4850</v>
      </c>
      <c r="K81" t="s">
        <v>4963</v>
      </c>
      <c r="N81" t="s">
        <v>781</v>
      </c>
      <c r="O81" t="s">
        <v>5351</v>
      </c>
      <c r="Q81" t="s">
        <v>1080</v>
      </c>
      <c r="S81" t="s">
        <v>580</v>
      </c>
      <c r="W81" t="s">
        <v>3365</v>
      </c>
      <c r="X81" t="s">
        <v>6030</v>
      </c>
      <c r="Y81" t="s">
        <v>666</v>
      </c>
      <c r="Z81" t="s">
        <v>5831</v>
      </c>
    </row>
    <row r="82" spans="1:26">
      <c r="A82" t="s">
        <v>6308</v>
      </c>
      <c r="D82" t="s">
        <v>1145</v>
      </c>
      <c r="G82" t="s">
        <v>4667</v>
      </c>
      <c r="J82" t="s">
        <v>4897</v>
      </c>
      <c r="K82" t="s">
        <v>4956</v>
      </c>
      <c r="N82" t="s">
        <v>604</v>
      </c>
      <c r="O82" t="s">
        <v>5360</v>
      </c>
      <c r="Q82" t="s">
        <v>994</v>
      </c>
      <c r="S82" t="s">
        <v>859</v>
      </c>
      <c r="W82" t="s">
        <v>2975</v>
      </c>
      <c r="X82" t="s">
        <v>6051</v>
      </c>
      <c r="Y82" t="s">
        <v>834</v>
      </c>
      <c r="Z82" t="s">
        <v>5866</v>
      </c>
    </row>
    <row r="83" spans="1:26">
      <c r="A83" t="s">
        <v>6314</v>
      </c>
      <c r="D83" t="s">
        <v>1238</v>
      </c>
      <c r="G83" t="s">
        <v>4695</v>
      </c>
      <c r="J83" t="s">
        <v>4768</v>
      </c>
      <c r="K83" t="s">
        <v>5112</v>
      </c>
      <c r="N83" t="s">
        <v>630</v>
      </c>
      <c r="O83" t="s">
        <v>5507</v>
      </c>
      <c r="Q83" t="s">
        <v>1085</v>
      </c>
      <c r="S83" t="s">
        <v>500</v>
      </c>
      <c r="W83" t="s">
        <v>4193</v>
      </c>
      <c r="X83" t="s">
        <v>5972</v>
      </c>
      <c r="Y83" t="s">
        <v>5336</v>
      </c>
      <c r="Z83" t="s">
        <v>5841</v>
      </c>
    </row>
    <row r="84" spans="1:26">
      <c r="A84" t="s">
        <v>6271</v>
      </c>
      <c r="D84" t="s">
        <v>1343</v>
      </c>
      <c r="G84" t="s">
        <v>4696</v>
      </c>
      <c r="J84" t="s">
        <v>4868</v>
      </c>
      <c r="K84" t="s">
        <v>5030</v>
      </c>
      <c r="N84" t="s">
        <v>771</v>
      </c>
      <c r="O84" t="s">
        <v>4770</v>
      </c>
      <c r="Q84" t="s">
        <v>1133</v>
      </c>
      <c r="S84" t="s">
        <v>714</v>
      </c>
      <c r="W84" t="s">
        <v>1518</v>
      </c>
      <c r="X84" t="s">
        <v>5938</v>
      </c>
      <c r="Y84" t="s">
        <v>4362</v>
      </c>
      <c r="Z84" t="s">
        <v>5912</v>
      </c>
    </row>
    <row r="85" spans="1:26">
      <c r="A85" t="s">
        <v>6244</v>
      </c>
      <c r="D85" t="s">
        <v>1190</v>
      </c>
      <c r="G85" t="s">
        <v>4709</v>
      </c>
      <c r="J85" t="s">
        <v>4810</v>
      </c>
      <c r="K85" t="s">
        <v>5114</v>
      </c>
      <c r="N85" t="s">
        <v>632</v>
      </c>
      <c r="O85" t="s">
        <v>4906</v>
      </c>
      <c r="Q85" t="s">
        <v>1099</v>
      </c>
      <c r="S85" t="s">
        <v>5488</v>
      </c>
      <c r="W85" t="s">
        <v>2665</v>
      </c>
      <c r="X85" t="s">
        <v>6080</v>
      </c>
      <c r="Y85" t="s">
        <v>5349</v>
      </c>
      <c r="Z85" t="s">
        <v>3885</v>
      </c>
    </row>
    <row r="86" spans="1:26">
      <c r="A86" t="s">
        <v>6323</v>
      </c>
      <c r="D86" t="s">
        <v>1248</v>
      </c>
      <c r="G86" t="s">
        <v>4705</v>
      </c>
      <c r="J86" t="s">
        <v>4780</v>
      </c>
      <c r="K86" t="s">
        <v>4994</v>
      </c>
      <c r="N86" t="s">
        <v>773</v>
      </c>
      <c r="O86" t="s">
        <v>4864</v>
      </c>
      <c r="Q86" t="s">
        <v>1082</v>
      </c>
      <c r="S86" t="s">
        <v>640</v>
      </c>
      <c r="W86" t="s">
        <v>1579</v>
      </c>
      <c r="X86" t="s">
        <v>6082</v>
      </c>
      <c r="Y86" t="s">
        <v>789</v>
      </c>
      <c r="Z86" t="s">
        <v>5889</v>
      </c>
    </row>
    <row r="87" spans="1:26">
      <c r="A87" t="s">
        <v>6294</v>
      </c>
      <c r="D87" t="s">
        <v>1218</v>
      </c>
      <c r="G87" t="s">
        <v>4636</v>
      </c>
      <c r="J87" t="s">
        <v>4909</v>
      </c>
      <c r="K87" t="s">
        <v>5116</v>
      </c>
      <c r="N87" t="s">
        <v>687</v>
      </c>
      <c r="O87" t="s">
        <v>5224</v>
      </c>
      <c r="Q87" t="s">
        <v>976</v>
      </c>
      <c r="S87" t="s">
        <v>4862</v>
      </c>
      <c r="W87" t="s">
        <v>2801</v>
      </c>
      <c r="X87" t="s">
        <v>6016</v>
      </c>
      <c r="Y87" t="s">
        <v>781</v>
      </c>
      <c r="Z87" t="s">
        <v>5902</v>
      </c>
    </row>
    <row r="88" spans="1:26">
      <c r="A88" t="s">
        <v>6358</v>
      </c>
      <c r="D88" t="s">
        <v>1292</v>
      </c>
      <c r="G88" t="s">
        <v>4640</v>
      </c>
      <c r="J88" t="s">
        <v>4883</v>
      </c>
      <c r="K88" t="s">
        <v>5118</v>
      </c>
      <c r="N88" t="s">
        <v>556</v>
      </c>
      <c r="O88" t="s">
        <v>5141</v>
      </c>
      <c r="Q88" t="s">
        <v>978</v>
      </c>
      <c r="S88" t="s">
        <v>5673</v>
      </c>
      <c r="W88" t="s">
        <v>2171</v>
      </c>
      <c r="X88" t="s">
        <v>5974</v>
      </c>
      <c r="Y88" t="s">
        <v>604</v>
      </c>
      <c r="Z88" t="s">
        <v>2816</v>
      </c>
    </row>
    <row r="89" spans="1:26">
      <c r="A89" t="s">
        <v>6375</v>
      </c>
      <c r="D89" t="s">
        <v>1345</v>
      </c>
      <c r="G89" t="s">
        <v>801</v>
      </c>
      <c r="J89" t="s">
        <v>4782</v>
      </c>
      <c r="K89" t="s">
        <v>4965</v>
      </c>
      <c r="N89" t="s">
        <v>823</v>
      </c>
      <c r="O89" t="s">
        <v>5446</v>
      </c>
      <c r="Q89" t="s">
        <v>1044</v>
      </c>
      <c r="S89" t="s">
        <v>4905</v>
      </c>
      <c r="W89" t="s">
        <v>2566</v>
      </c>
      <c r="X89" t="s">
        <v>5958</v>
      </c>
      <c r="Y89" t="s">
        <v>630</v>
      </c>
      <c r="Z89" t="s">
        <v>5893</v>
      </c>
    </row>
    <row r="90" spans="1:26">
      <c r="A90" t="s">
        <v>6301</v>
      </c>
      <c r="D90" t="s">
        <v>1273</v>
      </c>
      <c r="G90" t="s">
        <v>528</v>
      </c>
      <c r="J90" t="s">
        <v>4787</v>
      </c>
      <c r="K90" t="s">
        <v>5080</v>
      </c>
      <c r="N90" t="s">
        <v>753</v>
      </c>
      <c r="O90" t="s">
        <v>5191</v>
      </c>
      <c r="Q90" t="s">
        <v>987</v>
      </c>
      <c r="S90" t="s">
        <v>5400</v>
      </c>
      <c r="W90" t="s">
        <v>3695</v>
      </c>
      <c r="X90" t="s">
        <v>5944</v>
      </c>
      <c r="Y90" t="s">
        <v>771</v>
      </c>
      <c r="Z90" t="s">
        <v>5816</v>
      </c>
    </row>
    <row r="91" spans="1:26">
      <c r="A91" t="s">
        <v>6238</v>
      </c>
      <c r="D91" t="s">
        <v>1367</v>
      </c>
      <c r="G91" t="s">
        <v>526</v>
      </c>
      <c r="J91" t="s">
        <v>4796</v>
      </c>
      <c r="K91" t="s">
        <v>4984</v>
      </c>
      <c r="N91" t="s">
        <v>514</v>
      </c>
      <c r="O91" t="s">
        <v>5301</v>
      </c>
      <c r="Q91" t="s">
        <v>938</v>
      </c>
      <c r="S91" t="s">
        <v>5340</v>
      </c>
      <c r="W91" t="s">
        <v>2977</v>
      </c>
      <c r="X91" t="s">
        <v>6012</v>
      </c>
      <c r="Y91" t="s">
        <v>1812</v>
      </c>
      <c r="Z91" t="s">
        <v>5818</v>
      </c>
    </row>
    <row r="92" spans="1:26">
      <c r="A92" t="s">
        <v>6240</v>
      </c>
      <c r="D92" t="s">
        <v>1377</v>
      </c>
      <c r="G92" t="s">
        <v>4654</v>
      </c>
      <c r="J92" t="s">
        <v>4888</v>
      </c>
      <c r="K92" t="s">
        <v>5055</v>
      </c>
      <c r="N92" t="s">
        <v>563</v>
      </c>
      <c r="O92" t="s">
        <v>5342</v>
      </c>
      <c r="Q92" t="s">
        <v>1135</v>
      </c>
      <c r="S92" t="s">
        <v>5492</v>
      </c>
      <c r="W92" t="s">
        <v>3776</v>
      </c>
      <c r="X92" t="s">
        <v>5962</v>
      </c>
      <c r="Y92" t="s">
        <v>1432</v>
      </c>
      <c r="Z92" t="s">
        <v>5843</v>
      </c>
    </row>
    <row r="93" spans="1:26">
      <c r="A93" t="s">
        <v>6299</v>
      </c>
      <c r="D93" t="s">
        <v>1298</v>
      </c>
      <c r="G93" t="s">
        <v>4633</v>
      </c>
      <c r="J93" t="s">
        <v>4784</v>
      </c>
      <c r="K93" t="s">
        <v>4948</v>
      </c>
      <c r="N93" t="s">
        <v>805</v>
      </c>
      <c r="O93" t="s">
        <v>5219</v>
      </c>
      <c r="Q93" t="s">
        <v>942</v>
      </c>
      <c r="S93" t="s">
        <v>3205</v>
      </c>
      <c r="W93" t="s">
        <v>1581</v>
      </c>
      <c r="X93" t="s">
        <v>6020</v>
      </c>
      <c r="Y93" t="s">
        <v>4135</v>
      </c>
    </row>
    <row r="94" spans="1:26">
      <c r="A94" t="s">
        <v>6320</v>
      </c>
      <c r="D94" t="s">
        <v>1322</v>
      </c>
      <c r="G94" t="s">
        <v>4673</v>
      </c>
      <c r="J94" t="s">
        <v>4832</v>
      </c>
      <c r="K94" t="s">
        <v>5093</v>
      </c>
      <c r="N94" t="s">
        <v>654</v>
      </c>
      <c r="O94" t="s">
        <v>4802</v>
      </c>
      <c r="Q94" t="s">
        <v>1011</v>
      </c>
      <c r="S94" t="s">
        <v>5769</v>
      </c>
      <c r="W94" t="s">
        <v>2587</v>
      </c>
      <c r="X94" t="s">
        <v>6039</v>
      </c>
      <c r="Y94" t="s">
        <v>632</v>
      </c>
    </row>
    <row r="95" spans="1:26">
      <c r="A95" t="s">
        <v>6328</v>
      </c>
      <c r="D95" t="s">
        <v>1147</v>
      </c>
      <c r="G95" t="s">
        <v>4659</v>
      </c>
      <c r="J95" t="s">
        <v>4853</v>
      </c>
      <c r="K95" t="s">
        <v>4936</v>
      </c>
      <c r="N95" t="s">
        <v>874</v>
      </c>
      <c r="O95" t="s">
        <v>5506</v>
      </c>
      <c r="Q95" t="s">
        <v>965</v>
      </c>
      <c r="S95" t="s">
        <v>4984</v>
      </c>
      <c r="W95" t="s">
        <v>2803</v>
      </c>
      <c r="X95" t="s">
        <v>5990</v>
      </c>
      <c r="Y95" t="s">
        <v>773</v>
      </c>
    </row>
    <row r="96" spans="1:26">
      <c r="A96" t="s">
        <v>6330</v>
      </c>
      <c r="D96" t="s">
        <v>1287</v>
      </c>
      <c r="G96" t="s">
        <v>4648</v>
      </c>
      <c r="J96" t="s">
        <v>4838</v>
      </c>
      <c r="K96" t="s">
        <v>5015</v>
      </c>
      <c r="N96" t="s">
        <v>851</v>
      </c>
      <c r="O96" t="s">
        <v>5245</v>
      </c>
      <c r="Q96" t="s">
        <v>1115</v>
      </c>
      <c r="S96" t="s">
        <v>5751</v>
      </c>
      <c r="W96" t="s">
        <v>3825</v>
      </c>
      <c r="X96" t="s">
        <v>5930</v>
      </c>
      <c r="Y96" t="s">
        <v>687</v>
      </c>
    </row>
    <row r="97" spans="1:25">
      <c r="A97" t="s">
        <v>6316</v>
      </c>
      <c r="D97" t="s">
        <v>1375</v>
      </c>
      <c r="G97" t="s">
        <v>4763</v>
      </c>
      <c r="J97" t="s">
        <v>4870</v>
      </c>
      <c r="K97" t="s">
        <v>4986</v>
      </c>
      <c r="N97" t="s">
        <v>813</v>
      </c>
      <c r="O97" t="s">
        <v>5452</v>
      </c>
      <c r="Q97" t="s">
        <v>932</v>
      </c>
      <c r="S97" t="s">
        <v>5720</v>
      </c>
      <c r="W97" t="s">
        <v>1624</v>
      </c>
      <c r="X97" t="s">
        <v>5922</v>
      </c>
      <c r="Y97" t="s">
        <v>556</v>
      </c>
    </row>
    <row r="98" spans="1:25">
      <c r="A98" t="s">
        <v>6248</v>
      </c>
      <c r="D98" t="s">
        <v>1396</v>
      </c>
      <c r="G98" t="s">
        <v>4728</v>
      </c>
      <c r="J98" t="s">
        <v>4885</v>
      </c>
      <c r="K98" t="s">
        <v>5040</v>
      </c>
      <c r="N98" t="s">
        <v>537</v>
      </c>
      <c r="O98" t="s">
        <v>5453</v>
      </c>
      <c r="Q98" t="s">
        <v>1143</v>
      </c>
      <c r="S98" t="s">
        <v>5685</v>
      </c>
      <c r="W98" t="s">
        <v>2077</v>
      </c>
      <c r="X98" t="s">
        <v>6103</v>
      </c>
      <c r="Y98" t="s">
        <v>5790</v>
      </c>
    </row>
    <row r="99" spans="1:25">
      <c r="A99" t="s">
        <v>6275</v>
      </c>
      <c r="D99" t="s">
        <v>1250</v>
      </c>
      <c r="G99" t="s">
        <v>4724</v>
      </c>
      <c r="J99" t="s">
        <v>4855</v>
      </c>
      <c r="K99" t="s">
        <v>5026</v>
      </c>
      <c r="N99" t="s">
        <v>836</v>
      </c>
      <c r="O99" t="s">
        <v>4842</v>
      </c>
      <c r="Q99" t="s">
        <v>1073</v>
      </c>
      <c r="S99" t="s">
        <v>5656</v>
      </c>
      <c r="W99" t="s">
        <v>3048</v>
      </c>
      <c r="X99" t="s">
        <v>5982</v>
      </c>
      <c r="Y99" t="s">
        <v>5800</v>
      </c>
    </row>
    <row r="100" spans="1:25">
      <c r="A100" t="s">
        <v>6347</v>
      </c>
      <c r="D100" t="s">
        <v>1393</v>
      </c>
      <c r="G100" t="s">
        <v>4706</v>
      </c>
      <c r="J100" t="s">
        <v>4899</v>
      </c>
      <c r="K100" t="s">
        <v>5107</v>
      </c>
      <c r="N100" t="s">
        <v>700</v>
      </c>
      <c r="O100" t="s">
        <v>5225</v>
      </c>
      <c r="Q100" t="s">
        <v>1101</v>
      </c>
      <c r="S100" t="s">
        <v>5642</v>
      </c>
      <c r="W100" t="s">
        <v>2749</v>
      </c>
      <c r="X100" t="s">
        <v>6061</v>
      </c>
      <c r="Y100" t="s">
        <v>823</v>
      </c>
    </row>
    <row r="101" spans="1:25">
      <c r="A101" t="s">
        <v>6387</v>
      </c>
      <c r="D101" t="s">
        <v>1245</v>
      </c>
      <c r="G101" t="s">
        <v>4729</v>
      </c>
      <c r="J101" t="s">
        <v>4834</v>
      </c>
      <c r="K101" t="s">
        <v>5095</v>
      </c>
      <c r="N101" t="s">
        <v>613</v>
      </c>
      <c r="O101" t="s">
        <v>4773</v>
      </c>
      <c r="Q101" t="s">
        <v>991</v>
      </c>
      <c r="S101" t="s">
        <v>5610</v>
      </c>
      <c r="W101" t="s">
        <v>1433</v>
      </c>
      <c r="X101" t="s">
        <v>5934</v>
      </c>
      <c r="Y101" t="s">
        <v>753</v>
      </c>
    </row>
    <row r="102" spans="1:25">
      <c r="A102" t="s">
        <v>6273</v>
      </c>
      <c r="D102" t="s">
        <v>1213</v>
      </c>
      <c r="G102" t="s">
        <v>574</v>
      </c>
      <c r="J102" t="s">
        <v>4927</v>
      </c>
      <c r="K102" t="s">
        <v>5028</v>
      </c>
      <c r="N102" t="s">
        <v>615</v>
      </c>
      <c r="O102" t="s">
        <v>5431</v>
      </c>
      <c r="Q102" t="s">
        <v>1075</v>
      </c>
      <c r="S102" t="s">
        <v>5744</v>
      </c>
      <c r="W102" t="s">
        <v>4137</v>
      </c>
      <c r="X102" t="s">
        <v>6068</v>
      </c>
      <c r="Y102" t="s">
        <v>514</v>
      </c>
    </row>
    <row r="103" spans="1:25">
      <c r="A103" t="s">
        <v>6257</v>
      </c>
      <c r="D103" t="s">
        <v>1355</v>
      </c>
      <c r="G103" t="s">
        <v>4686</v>
      </c>
      <c r="J103" t="s">
        <v>4818</v>
      </c>
      <c r="K103" t="s">
        <v>4992</v>
      </c>
      <c r="N103" t="s">
        <v>658</v>
      </c>
      <c r="O103" t="s">
        <v>5293</v>
      </c>
      <c r="Q103" t="s">
        <v>1019</v>
      </c>
      <c r="S103" t="s">
        <v>5680</v>
      </c>
      <c r="W103" t="s">
        <v>3838</v>
      </c>
      <c r="X103" t="s">
        <v>5976</v>
      </c>
      <c r="Y103" t="s">
        <v>563</v>
      </c>
    </row>
    <row r="104" spans="1:25">
      <c r="A104" t="s">
        <v>6366</v>
      </c>
      <c r="D104" t="s">
        <v>1339</v>
      </c>
      <c r="G104" t="s">
        <v>4620</v>
      </c>
      <c r="J104" t="s">
        <v>4822</v>
      </c>
      <c r="K104" t="s">
        <v>5053</v>
      </c>
      <c r="N104" t="s">
        <v>791</v>
      </c>
      <c r="O104" t="s">
        <v>4828</v>
      </c>
      <c r="Q104" t="s">
        <v>924</v>
      </c>
      <c r="S104" t="s">
        <v>5627</v>
      </c>
      <c r="W104" t="s">
        <v>1434</v>
      </c>
      <c r="X104" t="s">
        <v>6014</v>
      </c>
      <c r="Y104" t="s">
        <v>805</v>
      </c>
    </row>
    <row r="105" spans="1:25">
      <c r="A105" t="s">
        <v>6377</v>
      </c>
      <c r="D105" t="s">
        <v>1300</v>
      </c>
      <c r="G105" t="s">
        <v>4638</v>
      </c>
      <c r="J105" t="s">
        <v>4922</v>
      </c>
      <c r="K105" t="s">
        <v>4995</v>
      </c>
      <c r="N105" t="s">
        <v>918</v>
      </c>
      <c r="O105" t="s">
        <v>5196</v>
      </c>
      <c r="Q105" t="s">
        <v>1023</v>
      </c>
      <c r="S105" t="s">
        <v>5629</v>
      </c>
      <c r="W105" t="s">
        <v>1933</v>
      </c>
      <c r="X105" t="s">
        <v>6084</v>
      </c>
      <c r="Y105" t="s">
        <v>654</v>
      </c>
    </row>
    <row r="106" spans="1:25">
      <c r="A106" t="s">
        <v>6334</v>
      </c>
      <c r="D106" t="s">
        <v>1308</v>
      </c>
      <c r="G106" t="s">
        <v>713</v>
      </c>
      <c r="J106" t="s">
        <v>4890</v>
      </c>
      <c r="K106" t="s">
        <v>4938</v>
      </c>
      <c r="N106" t="s">
        <v>570</v>
      </c>
      <c r="O106" t="s">
        <v>4895</v>
      </c>
      <c r="Q106" t="s">
        <v>1092</v>
      </c>
      <c r="S106" t="s">
        <v>5753</v>
      </c>
      <c r="W106" t="s">
        <v>3256</v>
      </c>
      <c r="X106" t="s">
        <v>5998</v>
      </c>
      <c r="Y106" t="s">
        <v>874</v>
      </c>
    </row>
    <row r="107" spans="1:25">
      <c r="A107" t="s">
        <v>6338</v>
      </c>
      <c r="D107" t="s">
        <v>1153</v>
      </c>
      <c r="G107" t="s">
        <v>902</v>
      </c>
      <c r="J107" t="s">
        <v>4912</v>
      </c>
      <c r="K107" t="s">
        <v>4988</v>
      </c>
      <c r="N107" t="s">
        <v>896</v>
      </c>
      <c r="O107" t="s">
        <v>5466</v>
      </c>
      <c r="Q107" t="s">
        <v>1052</v>
      </c>
      <c r="S107" t="s">
        <v>5734</v>
      </c>
      <c r="W107" t="s">
        <v>1814</v>
      </c>
      <c r="X107" t="s">
        <v>6074</v>
      </c>
      <c r="Y107" t="s">
        <v>851</v>
      </c>
    </row>
    <row r="108" spans="1:25">
      <c r="A108" t="s">
        <v>6381</v>
      </c>
      <c r="D108" t="s">
        <v>1275</v>
      </c>
      <c r="G108" t="s">
        <v>4675</v>
      </c>
      <c r="J108" t="s">
        <v>4874</v>
      </c>
      <c r="K108" t="s">
        <v>5104</v>
      </c>
      <c r="N108" t="s">
        <v>888</v>
      </c>
      <c r="O108" t="s">
        <v>5353</v>
      </c>
      <c r="Q108" t="s">
        <v>1015</v>
      </c>
      <c r="S108" t="s">
        <v>5755</v>
      </c>
      <c r="W108" t="s">
        <v>1583</v>
      </c>
      <c r="X108" t="s">
        <v>5932</v>
      </c>
      <c r="Y108" t="s">
        <v>813</v>
      </c>
    </row>
    <row r="109" spans="1:25">
      <c r="A109" t="s">
        <v>6361</v>
      </c>
      <c r="D109" t="s">
        <v>1313</v>
      </c>
      <c r="G109" t="s">
        <v>4710</v>
      </c>
      <c r="J109" t="s">
        <v>2735</v>
      </c>
      <c r="K109" t="s">
        <v>1115</v>
      </c>
      <c r="N109" t="s">
        <v>606</v>
      </c>
      <c r="O109" t="s">
        <v>4794</v>
      </c>
      <c r="Q109" t="s">
        <v>1046</v>
      </c>
      <c r="S109" t="s">
        <v>5690</v>
      </c>
      <c r="W109" t="s">
        <v>1788</v>
      </c>
      <c r="X109" t="s">
        <v>6108</v>
      </c>
      <c r="Y109" t="s">
        <v>537</v>
      </c>
    </row>
    <row r="110" spans="1:25">
      <c r="A110" t="s">
        <v>6352</v>
      </c>
      <c r="D110" t="s">
        <v>1267</v>
      </c>
      <c r="G110" t="s">
        <v>4622</v>
      </c>
      <c r="J110" t="s">
        <v>709</v>
      </c>
      <c r="N110" t="s">
        <v>660</v>
      </c>
      <c r="O110" t="s">
        <v>5239</v>
      </c>
      <c r="Q110" t="s">
        <v>1094</v>
      </c>
      <c r="S110" t="s">
        <v>5711</v>
      </c>
      <c r="W110" t="s">
        <v>3881</v>
      </c>
      <c r="X110" t="s">
        <v>6105</v>
      </c>
      <c r="Y110" t="s">
        <v>836</v>
      </c>
    </row>
    <row r="111" spans="1:25">
      <c r="A111" t="s">
        <v>6336</v>
      </c>
      <c r="D111" t="s">
        <v>1332</v>
      </c>
      <c r="G111" t="s">
        <v>863</v>
      </c>
      <c r="N111" t="s">
        <v>797</v>
      </c>
      <c r="O111" t="s">
        <v>5390</v>
      </c>
      <c r="Q111" t="s">
        <v>1137</v>
      </c>
      <c r="S111" t="s">
        <v>5742</v>
      </c>
      <c r="W111" t="s">
        <v>2398</v>
      </c>
      <c r="Y111" t="s">
        <v>700</v>
      </c>
    </row>
    <row r="112" spans="1:25">
      <c r="A112" t="s">
        <v>6291</v>
      </c>
      <c r="D112" t="s">
        <v>1269</v>
      </c>
      <c r="G112" t="s">
        <v>4624</v>
      </c>
      <c r="N112" t="s">
        <v>476</v>
      </c>
      <c r="O112" t="s">
        <v>5182</v>
      </c>
      <c r="Q112" t="s">
        <v>981</v>
      </c>
      <c r="S112" t="s">
        <v>5668</v>
      </c>
      <c r="W112" t="s">
        <v>3840</v>
      </c>
      <c r="Y112" t="s">
        <v>613</v>
      </c>
    </row>
    <row r="113" spans="1:25">
      <c r="A113" t="s">
        <v>6389</v>
      </c>
      <c r="D113" t="s">
        <v>1232</v>
      </c>
      <c r="G113" t="s">
        <v>4650</v>
      </c>
      <c r="N113" t="s">
        <v>799</v>
      </c>
      <c r="O113" t="s">
        <v>5383</v>
      </c>
      <c r="Q113" t="s">
        <v>934</v>
      </c>
      <c r="S113" t="s">
        <v>4507</v>
      </c>
      <c r="W113" t="s">
        <v>2873</v>
      </c>
      <c r="Y113" t="s">
        <v>615</v>
      </c>
    </row>
    <row r="114" spans="1:25">
      <c r="A114" t="s">
        <v>6383</v>
      </c>
      <c r="D114" t="s">
        <v>1324</v>
      </c>
      <c r="G114" t="s">
        <v>4687</v>
      </c>
      <c r="N114" t="s">
        <v>580</v>
      </c>
      <c r="O114" t="s">
        <v>4932</v>
      </c>
      <c r="Q114" t="s">
        <v>1077</v>
      </c>
      <c r="S114" t="s">
        <v>5758</v>
      </c>
      <c r="W114" t="s">
        <v>3340</v>
      </c>
      <c r="Y114" t="s">
        <v>6188</v>
      </c>
    </row>
    <row r="115" spans="1:25">
      <c r="A115" t="s">
        <v>6354</v>
      </c>
      <c r="D115" t="s">
        <v>1379</v>
      </c>
      <c r="G115" t="s">
        <v>4645</v>
      </c>
      <c r="N115" t="s">
        <v>859</v>
      </c>
      <c r="O115" t="s">
        <v>5199</v>
      </c>
      <c r="Q115" t="s">
        <v>1117</v>
      </c>
      <c r="S115" t="s">
        <v>5662</v>
      </c>
      <c r="W115" t="s">
        <v>4271</v>
      </c>
      <c r="Y115" t="s">
        <v>658</v>
      </c>
    </row>
    <row r="116" spans="1:25">
      <c r="A116" t="s">
        <v>6303</v>
      </c>
      <c r="D116" t="s">
        <v>1326</v>
      </c>
      <c r="G116" t="s">
        <v>4689</v>
      </c>
      <c r="N116" t="s">
        <v>677</v>
      </c>
      <c r="O116" t="s">
        <v>5457</v>
      </c>
      <c r="Q116" t="s">
        <v>967</v>
      </c>
      <c r="S116" t="s">
        <v>5619</v>
      </c>
      <c r="W116" t="s">
        <v>3203</v>
      </c>
      <c r="Y116" t="s">
        <v>791</v>
      </c>
    </row>
    <row r="117" spans="1:25">
      <c r="A117" t="s">
        <v>6368</v>
      </c>
      <c r="D117" t="s">
        <v>1220</v>
      </c>
      <c r="G117" t="s">
        <v>4668</v>
      </c>
      <c r="N117" t="s">
        <v>588</v>
      </c>
      <c r="O117" t="s">
        <v>5208</v>
      </c>
      <c r="Q117" t="s">
        <v>1057</v>
      </c>
      <c r="S117" t="s">
        <v>5635</v>
      </c>
      <c r="W117" t="s">
        <v>1978</v>
      </c>
      <c r="Y117" t="s">
        <v>918</v>
      </c>
    </row>
    <row r="118" spans="1:25">
      <c r="A118" t="s">
        <v>6286</v>
      </c>
      <c r="D118" t="s">
        <v>1252</v>
      </c>
      <c r="G118" t="s">
        <v>4744</v>
      </c>
      <c r="N118" t="s">
        <v>543</v>
      </c>
      <c r="O118" t="s">
        <v>5170</v>
      </c>
      <c r="Q118" t="s">
        <v>940</v>
      </c>
      <c r="S118" t="s">
        <v>5746</v>
      </c>
      <c r="W118" t="s">
        <v>1980</v>
      </c>
      <c r="Y118" t="s">
        <v>570</v>
      </c>
    </row>
    <row r="119" spans="1:25">
      <c r="A119" t="s">
        <v>6288</v>
      </c>
      <c r="D119" t="s">
        <v>1315</v>
      </c>
      <c r="G119" t="s">
        <v>4681</v>
      </c>
      <c r="N119" t="s">
        <v>921</v>
      </c>
      <c r="O119" t="s">
        <v>5297</v>
      </c>
      <c r="Q119" t="s">
        <v>927</v>
      </c>
      <c r="S119" t="s">
        <v>5645</v>
      </c>
      <c r="W119" t="s">
        <v>2079</v>
      </c>
      <c r="Y119" t="s">
        <v>896</v>
      </c>
    </row>
    <row r="120" spans="1:25">
      <c r="D120" t="s">
        <v>1310</v>
      </c>
      <c r="G120" t="s">
        <v>4677</v>
      </c>
      <c r="N120" t="s">
        <v>775</v>
      </c>
      <c r="O120" t="s">
        <v>5214</v>
      </c>
      <c r="Q120" t="s">
        <v>1025</v>
      </c>
      <c r="S120" t="s">
        <v>5701</v>
      </c>
      <c r="W120" t="s">
        <v>3965</v>
      </c>
      <c r="Y120" t="s">
        <v>888</v>
      </c>
    </row>
    <row r="121" spans="1:25">
      <c r="D121" t="s">
        <v>1246</v>
      </c>
      <c r="G121" t="s">
        <v>4661</v>
      </c>
      <c r="N121" t="s">
        <v>539</v>
      </c>
      <c r="O121" t="s">
        <v>5514</v>
      </c>
      <c r="Q121" t="s">
        <v>969</v>
      </c>
      <c r="S121" t="s">
        <v>5687</v>
      </c>
      <c r="W121" t="s">
        <v>3666</v>
      </c>
      <c r="Y121" t="s">
        <v>3961</v>
      </c>
    </row>
    <row r="122" spans="1:25">
      <c r="D122" t="s">
        <v>1207</v>
      </c>
      <c r="N122" t="s">
        <v>734</v>
      </c>
      <c r="O122" t="s">
        <v>5257</v>
      </c>
      <c r="Q122" t="s">
        <v>961</v>
      </c>
      <c r="S122" t="s">
        <v>5620</v>
      </c>
      <c r="W122" t="s">
        <v>3205</v>
      </c>
      <c r="Y122" t="s">
        <v>606</v>
      </c>
    </row>
    <row r="123" spans="1:25">
      <c r="D123" t="s">
        <v>1347</v>
      </c>
      <c r="N123" t="s">
        <v>807</v>
      </c>
      <c r="O123" t="s">
        <v>4866</v>
      </c>
      <c r="Q123" t="s">
        <v>971</v>
      </c>
      <c r="S123" t="s">
        <v>5606</v>
      </c>
      <c r="W123" t="s">
        <v>1521</v>
      </c>
      <c r="Y123" t="s">
        <v>660</v>
      </c>
    </row>
    <row r="124" spans="1:25">
      <c r="D124" t="s">
        <v>1155</v>
      </c>
      <c r="N124" t="s">
        <v>484</v>
      </c>
      <c r="O124" t="s">
        <v>5407</v>
      </c>
      <c r="Q124" t="s">
        <v>1017</v>
      </c>
      <c r="S124" t="s">
        <v>5647</v>
      </c>
      <c r="W124" t="s">
        <v>2062</v>
      </c>
    </row>
    <row r="125" spans="1:25">
      <c r="D125" t="s">
        <v>1167</v>
      </c>
      <c r="N125" t="s">
        <v>868</v>
      </c>
      <c r="O125" t="s">
        <v>5286</v>
      </c>
      <c r="Q125" t="s">
        <v>1103</v>
      </c>
      <c r="S125" t="s">
        <v>5600</v>
      </c>
      <c r="W125" t="s">
        <v>1949</v>
      </c>
    </row>
    <row r="126" spans="1:25">
      <c r="D126" t="s">
        <v>1425</v>
      </c>
      <c r="N126" t="s">
        <v>777</v>
      </c>
      <c r="O126" t="s">
        <v>5325</v>
      </c>
      <c r="Q126" t="s">
        <v>996</v>
      </c>
      <c r="S126" t="s">
        <v>5658</v>
      </c>
      <c r="W126" t="s">
        <v>3827</v>
      </c>
    </row>
    <row r="127" spans="1:25">
      <c r="D127" t="s">
        <v>1186</v>
      </c>
      <c r="N127" t="s">
        <v>884</v>
      </c>
      <c r="O127" t="s">
        <v>5318</v>
      </c>
      <c r="Q127" t="s">
        <v>1037</v>
      </c>
      <c r="S127" t="s">
        <v>5631</v>
      </c>
      <c r="W127" t="s">
        <v>3829</v>
      </c>
    </row>
    <row r="128" spans="1:25">
      <c r="D128" t="s">
        <v>1180</v>
      </c>
      <c r="N128" t="s">
        <v>758</v>
      </c>
      <c r="O128" t="s">
        <v>5320</v>
      </c>
      <c r="Q128" t="s">
        <v>944</v>
      </c>
      <c r="W128" t="s">
        <v>4139</v>
      </c>
    </row>
    <row r="129" spans="4:23">
      <c r="D129" t="s">
        <v>1328</v>
      </c>
      <c r="N129" t="s">
        <v>608</v>
      </c>
      <c r="O129" t="s">
        <v>4765</v>
      </c>
      <c r="Q129" t="s">
        <v>1123</v>
      </c>
      <c r="W129" t="s">
        <v>3577</v>
      </c>
    </row>
    <row r="130" spans="4:23">
      <c r="D130" t="s">
        <v>1399</v>
      </c>
      <c r="N130" t="s">
        <v>552</v>
      </c>
      <c r="O130" t="s">
        <v>5440</v>
      </c>
      <c r="Q130" t="s">
        <v>1109</v>
      </c>
      <c r="W130" t="s">
        <v>4273</v>
      </c>
    </row>
    <row r="131" spans="4:23">
      <c r="D131" t="s">
        <v>1383</v>
      </c>
      <c r="N131" t="s">
        <v>644</v>
      </c>
      <c r="O131" t="s">
        <v>5535</v>
      </c>
      <c r="Q131" t="s">
        <v>1032</v>
      </c>
      <c r="W131" t="s">
        <v>3697</v>
      </c>
    </row>
    <row r="132" spans="4:23">
      <c r="D132" t="s">
        <v>1302</v>
      </c>
      <c r="N132" t="s">
        <v>634</v>
      </c>
      <c r="O132" t="s">
        <v>5420</v>
      </c>
      <c r="Q132" t="s">
        <v>1008</v>
      </c>
      <c r="W132" t="s">
        <v>3778</v>
      </c>
    </row>
    <row r="133" spans="4:23">
      <c r="D133" t="s">
        <v>1427</v>
      </c>
      <c r="N133" t="s">
        <v>499</v>
      </c>
      <c r="O133" t="s">
        <v>4767</v>
      </c>
      <c r="Q133" t="s">
        <v>952</v>
      </c>
      <c r="W133" t="s">
        <v>2589</v>
      </c>
    </row>
    <row r="134" spans="4:23">
      <c r="D134" t="s">
        <v>1330</v>
      </c>
      <c r="N134" t="s">
        <v>636</v>
      </c>
      <c r="O134" t="s">
        <v>4830</v>
      </c>
      <c r="Q134" t="s">
        <v>1033</v>
      </c>
      <c r="W134" t="s">
        <v>1626</v>
      </c>
    </row>
    <row r="135" spans="4:23">
      <c r="D135" t="s">
        <v>1196</v>
      </c>
      <c r="N135" t="s">
        <v>494</v>
      </c>
      <c r="O135" t="s">
        <v>5192</v>
      </c>
      <c r="Q135" t="s">
        <v>1028</v>
      </c>
      <c r="W135" t="s">
        <v>1435</v>
      </c>
    </row>
    <row r="136" spans="4:23">
      <c r="D136" t="s">
        <v>1192</v>
      </c>
      <c r="N136" t="s">
        <v>668</v>
      </c>
      <c r="O136" t="s">
        <v>5269</v>
      </c>
      <c r="Q136" t="s">
        <v>1064</v>
      </c>
      <c r="W136" t="s">
        <v>2289</v>
      </c>
    </row>
    <row r="137" spans="4:23">
      <c r="D137" t="s">
        <v>1169</v>
      </c>
      <c r="N137" t="s">
        <v>669</v>
      </c>
      <c r="O137" t="s">
        <v>5404</v>
      </c>
      <c r="Q137" t="s">
        <v>1121</v>
      </c>
      <c r="W137" t="s">
        <v>4195</v>
      </c>
    </row>
    <row r="138" spans="4:23">
      <c r="D138" t="s">
        <v>1239</v>
      </c>
      <c r="N138" t="s">
        <v>518</v>
      </c>
      <c r="O138" t="s">
        <v>4812</v>
      </c>
      <c r="Q138" t="s">
        <v>946</v>
      </c>
      <c r="W138" t="s">
        <v>2979</v>
      </c>
    </row>
    <row r="139" spans="4:23">
      <c r="D139" t="s">
        <v>1423</v>
      </c>
      <c r="N139" t="s">
        <v>886</v>
      </c>
      <c r="O139" t="s">
        <v>5167</v>
      </c>
      <c r="Q139" t="s">
        <v>980</v>
      </c>
      <c r="W139" t="s">
        <v>3049</v>
      </c>
    </row>
    <row r="140" spans="4:23">
      <c r="D140" t="s">
        <v>1176</v>
      </c>
      <c r="N140" t="s">
        <v>638</v>
      </c>
      <c r="O140" t="s">
        <v>5273</v>
      </c>
      <c r="Q140" t="s">
        <v>1021</v>
      </c>
      <c r="W140" t="s">
        <v>2064</v>
      </c>
    </row>
    <row r="141" spans="4:23">
      <c r="D141" t="s">
        <v>1304</v>
      </c>
      <c r="N141" t="s">
        <v>719</v>
      </c>
      <c r="O141" t="s">
        <v>5220</v>
      </c>
      <c r="Q141" t="s">
        <v>973</v>
      </c>
      <c r="W141" t="s">
        <v>2667</v>
      </c>
    </row>
    <row r="142" spans="4:23">
      <c r="D142" t="s">
        <v>1161</v>
      </c>
      <c r="N142" t="s">
        <v>646</v>
      </c>
      <c r="O142" t="s">
        <v>5302</v>
      </c>
      <c r="Q142" t="s">
        <v>1048</v>
      </c>
      <c r="W142" t="s">
        <v>3883</v>
      </c>
    </row>
    <row r="143" spans="4:23">
      <c r="D143" t="s">
        <v>1277</v>
      </c>
      <c r="N143" t="s">
        <v>809</v>
      </c>
      <c r="O143" t="s">
        <v>4920</v>
      </c>
      <c r="Q143" t="s">
        <v>936</v>
      </c>
      <c r="W143" t="s">
        <v>2805</v>
      </c>
    </row>
    <row r="144" spans="4:23">
      <c r="D144" t="s">
        <v>1163</v>
      </c>
      <c r="N144" t="s">
        <v>671</v>
      </c>
      <c r="O144" t="s">
        <v>5132</v>
      </c>
      <c r="Q144" t="s">
        <v>1128</v>
      </c>
      <c r="W144" t="s">
        <v>2568</v>
      </c>
    </row>
    <row r="145" spans="4:23">
      <c r="D145" t="s">
        <v>1182</v>
      </c>
      <c r="N145" t="s">
        <v>903</v>
      </c>
      <c r="O145" t="s">
        <v>5181</v>
      </c>
      <c r="Q145" t="s">
        <v>1065</v>
      </c>
      <c r="W145" t="s">
        <v>3149</v>
      </c>
    </row>
    <row r="146" spans="4:23">
      <c r="D146" t="s">
        <v>1407</v>
      </c>
      <c r="N146" t="s">
        <v>767</v>
      </c>
      <c r="O146" t="s">
        <v>5448</v>
      </c>
      <c r="Q146" t="s">
        <v>1090</v>
      </c>
      <c r="W146" t="s">
        <v>3668</v>
      </c>
    </row>
    <row r="147" spans="4:23">
      <c r="D147" t="s">
        <v>1349</v>
      </c>
      <c r="N147" t="s">
        <v>702</v>
      </c>
      <c r="O147" t="s">
        <v>5168</v>
      </c>
      <c r="Q147" t="s">
        <v>1034</v>
      </c>
      <c r="W147" t="s">
        <v>2874</v>
      </c>
    </row>
    <row r="148" spans="4:23">
      <c r="D148" t="s">
        <v>1294</v>
      </c>
      <c r="N148" t="s">
        <v>828</v>
      </c>
      <c r="O148" t="s">
        <v>5261</v>
      </c>
      <c r="Q148" t="s">
        <v>1039</v>
      </c>
      <c r="W148" t="s">
        <v>2876</v>
      </c>
    </row>
    <row r="149" spans="4:23">
      <c r="D149" t="s">
        <v>1358</v>
      </c>
      <c r="N149" t="s">
        <v>745</v>
      </c>
      <c r="O149" t="s">
        <v>5455</v>
      </c>
      <c r="W149" t="s">
        <v>1720</v>
      </c>
    </row>
    <row r="150" spans="4:23">
      <c r="D150" t="s">
        <v>1391</v>
      </c>
      <c r="N150" t="s">
        <v>689</v>
      </c>
      <c r="O150" t="s">
        <v>4850</v>
      </c>
      <c r="W150" t="s">
        <v>1566</v>
      </c>
    </row>
    <row r="151" spans="4:23">
      <c r="D151" t="s">
        <v>1306</v>
      </c>
      <c r="N151" t="s">
        <v>648</v>
      </c>
      <c r="O151" t="s">
        <v>5334</v>
      </c>
      <c r="W151" t="s">
        <v>1982</v>
      </c>
    </row>
    <row r="152" spans="4:23">
      <c r="D152" t="s">
        <v>1222</v>
      </c>
      <c r="N152" t="s">
        <v>500</v>
      </c>
      <c r="O152" t="s">
        <v>5210</v>
      </c>
      <c r="W152" t="s">
        <v>3669</v>
      </c>
    </row>
    <row r="153" spans="4:23">
      <c r="D153" t="s">
        <v>1341</v>
      </c>
      <c r="N153" t="s">
        <v>714</v>
      </c>
      <c r="O153" t="s">
        <v>5416</v>
      </c>
      <c r="W153" t="s">
        <v>2807</v>
      </c>
    </row>
    <row r="154" spans="4:23">
      <c r="D154" t="s">
        <v>1200</v>
      </c>
      <c r="N154" t="s">
        <v>755</v>
      </c>
      <c r="O154" t="s">
        <v>5494</v>
      </c>
      <c r="W154" t="s">
        <v>2193</v>
      </c>
    </row>
    <row r="155" spans="4:23">
      <c r="N155" t="s">
        <v>640</v>
      </c>
      <c r="O155" t="s">
        <v>4897</v>
      </c>
      <c r="W155" t="s">
        <v>2864</v>
      </c>
    </row>
    <row r="156" spans="4:23">
      <c r="N156" t="s">
        <v>908</v>
      </c>
      <c r="O156" t="s">
        <v>5362</v>
      </c>
      <c r="W156" t="s">
        <v>3699</v>
      </c>
    </row>
    <row r="157" spans="4:23">
      <c r="N157" t="s">
        <v>610</v>
      </c>
      <c r="O157" t="s">
        <v>5145</v>
      </c>
      <c r="W157" t="s">
        <v>3342</v>
      </c>
    </row>
    <row r="158" spans="4:23">
      <c r="N158" t="s">
        <v>869</v>
      </c>
      <c r="O158" t="s">
        <v>5205</v>
      </c>
      <c r="W158" t="s">
        <v>2750</v>
      </c>
    </row>
    <row r="159" spans="4:23">
      <c r="N159" t="s">
        <v>521</v>
      </c>
      <c r="O159" t="s">
        <v>4911</v>
      </c>
      <c r="W159" t="s">
        <v>2337</v>
      </c>
    </row>
    <row r="160" spans="4:23">
      <c r="N160" t="s">
        <v>779</v>
      </c>
      <c r="O160" t="s">
        <v>5186</v>
      </c>
      <c r="W160" t="s">
        <v>2400</v>
      </c>
    </row>
    <row r="161" spans="1:23">
      <c r="N161" t="s">
        <v>825</v>
      </c>
      <c r="O161" t="s">
        <v>5437</v>
      </c>
      <c r="W161" t="s">
        <v>1711</v>
      </c>
    </row>
    <row r="162" spans="1:23">
      <c r="N162" t="s">
        <v>523</v>
      </c>
      <c r="O162" t="s">
        <v>5498</v>
      </c>
      <c r="W162" t="s">
        <v>4035</v>
      </c>
    </row>
    <row r="163" spans="1:23">
      <c r="N163" t="s">
        <v>736</v>
      </c>
      <c r="O163" t="s">
        <v>5367</v>
      </c>
      <c r="W163" t="s">
        <v>4456</v>
      </c>
    </row>
    <row r="164" spans="1:23">
      <c r="N164" t="s">
        <v>575</v>
      </c>
      <c r="O164" t="s">
        <v>5379</v>
      </c>
      <c r="W164" t="s">
        <v>1935</v>
      </c>
    </row>
    <row r="165" spans="1:23">
      <c r="N165" t="s">
        <v>793</v>
      </c>
      <c r="O165" t="s">
        <v>5234</v>
      </c>
      <c r="W165" t="s">
        <v>4275</v>
      </c>
    </row>
    <row r="166" spans="1:23">
      <c r="N166" t="s">
        <v>642</v>
      </c>
      <c r="O166" t="s">
        <v>5388</v>
      </c>
      <c r="W166" t="s">
        <v>2949</v>
      </c>
    </row>
    <row r="167" spans="1:23">
      <c r="N167" t="s">
        <v>898</v>
      </c>
      <c r="O167" t="s">
        <v>5381</v>
      </c>
      <c r="W167" t="s">
        <v>3051</v>
      </c>
    </row>
    <row r="168" spans="1:23">
      <c r="N168" t="s">
        <v>596</v>
      </c>
      <c r="O168" t="s">
        <v>5322</v>
      </c>
      <c r="W168" t="s">
        <v>4345</v>
      </c>
    </row>
    <row r="169" spans="1:23">
      <c r="A169" s="332"/>
      <c r="B169" s="3"/>
      <c r="N169" t="s">
        <v>795</v>
      </c>
      <c r="O169" t="s">
        <v>4780</v>
      </c>
      <c r="W169" t="s">
        <v>1722</v>
      </c>
    </row>
    <row r="170" spans="1:23">
      <c r="A170" s="332"/>
      <c r="B170" s="3"/>
      <c r="N170" t="s">
        <v>572</v>
      </c>
      <c r="O170" t="s">
        <v>4909</v>
      </c>
      <c r="W170" t="s">
        <v>1984</v>
      </c>
    </row>
    <row r="171" spans="1:23">
      <c r="A171" s="332"/>
      <c r="B171" s="3"/>
      <c r="N171" t="s">
        <v>728</v>
      </c>
      <c r="O171" t="s">
        <v>5165</v>
      </c>
      <c r="W171" t="s">
        <v>3885</v>
      </c>
    </row>
    <row r="172" spans="1:23">
      <c r="A172" s="332"/>
      <c r="B172" s="3"/>
      <c r="N172" t="s">
        <v>617</v>
      </c>
      <c r="O172" t="s">
        <v>5373</v>
      </c>
      <c r="W172" t="s">
        <v>1986</v>
      </c>
    </row>
    <row r="173" spans="1:23">
      <c r="A173" s="332"/>
      <c r="B173" s="3"/>
      <c r="N173" t="s">
        <v>582</v>
      </c>
      <c r="O173" t="s">
        <v>5421</v>
      </c>
      <c r="W173" t="s">
        <v>2402</v>
      </c>
    </row>
    <row r="174" spans="1:23">
      <c r="A174" s="333"/>
      <c r="B174" s="3"/>
      <c r="N174" t="s">
        <v>853</v>
      </c>
      <c r="O174" t="s">
        <v>4883</v>
      </c>
      <c r="W174" t="s">
        <v>2488</v>
      </c>
    </row>
    <row r="175" spans="1:23">
      <c r="A175" s="332"/>
      <c r="B175" s="3"/>
      <c r="N175" t="s">
        <v>910</v>
      </c>
      <c r="O175" t="s">
        <v>5423</v>
      </c>
      <c r="W175" t="s">
        <v>3515</v>
      </c>
    </row>
    <row r="176" spans="1:23">
      <c r="A176" s="332"/>
      <c r="B176" s="3"/>
      <c r="N176" t="s">
        <v>487</v>
      </c>
      <c r="O176" t="s">
        <v>5463</v>
      </c>
      <c r="W176" t="s">
        <v>3367</v>
      </c>
    </row>
    <row r="177" spans="1:23">
      <c r="A177" s="333"/>
      <c r="B177" s="3"/>
      <c r="N177" t="s">
        <v>747</v>
      </c>
      <c r="O177" t="s">
        <v>5255</v>
      </c>
      <c r="W177" t="s">
        <v>3887</v>
      </c>
    </row>
    <row r="178" spans="1:23">
      <c r="A178" s="333"/>
      <c r="B178" s="3"/>
      <c r="N178" t="s">
        <v>880</v>
      </c>
      <c r="O178" t="s">
        <v>5504</v>
      </c>
      <c r="W178" t="s">
        <v>3258</v>
      </c>
    </row>
    <row r="179" spans="1:23">
      <c r="A179" s="332"/>
      <c r="B179" s="3"/>
      <c r="N179" t="s">
        <v>586</v>
      </c>
      <c r="O179" t="s">
        <v>4782</v>
      </c>
      <c r="W179" t="s">
        <v>4366</v>
      </c>
    </row>
    <row r="180" spans="1:23">
      <c r="A180" s="332"/>
      <c r="B180" s="3"/>
      <c r="N180" t="s">
        <v>704</v>
      </c>
      <c r="O180" t="s">
        <v>5271</v>
      </c>
      <c r="W180" t="s">
        <v>1988</v>
      </c>
    </row>
    <row r="181" spans="1:23">
      <c r="A181" s="332"/>
      <c r="B181" s="3"/>
      <c r="N181" t="s">
        <v>650</v>
      </c>
      <c r="O181" t="s">
        <v>5282</v>
      </c>
      <c r="W181" t="s">
        <v>1790</v>
      </c>
    </row>
    <row r="182" spans="1:23">
      <c r="A182" s="332"/>
      <c r="B182" s="3"/>
      <c r="N182" t="s">
        <v>619</v>
      </c>
      <c r="O182" t="s">
        <v>5134</v>
      </c>
      <c r="W182" t="s">
        <v>4220</v>
      </c>
    </row>
    <row r="183" spans="1:23">
      <c r="A183" s="332"/>
      <c r="B183" s="3"/>
      <c r="N183" t="s">
        <v>847</v>
      </c>
      <c r="O183" t="s">
        <v>5194</v>
      </c>
      <c r="W183" t="s">
        <v>2951</v>
      </c>
    </row>
    <row r="184" spans="1:23">
      <c r="A184" s="332"/>
      <c r="B184" s="3"/>
      <c r="N184" t="s">
        <v>621</v>
      </c>
      <c r="O184" t="s">
        <v>4787</v>
      </c>
      <c r="W184" t="s">
        <v>3053</v>
      </c>
    </row>
    <row r="185" spans="1:23">
      <c r="A185" s="332"/>
      <c r="B185" s="3"/>
      <c r="N185" t="s">
        <v>565</v>
      </c>
      <c r="O185" t="s">
        <v>5510</v>
      </c>
      <c r="W185" t="s">
        <v>1990</v>
      </c>
    </row>
    <row r="186" spans="1:23">
      <c r="A186" s="332"/>
      <c r="B186" s="3"/>
      <c r="N186" t="s">
        <v>730</v>
      </c>
      <c r="O186" t="s">
        <v>5121</v>
      </c>
      <c r="W186" t="s">
        <v>1627</v>
      </c>
    </row>
    <row r="187" spans="1:23">
      <c r="A187" s="332"/>
      <c r="B187" s="3"/>
      <c r="N187" t="s">
        <v>849</v>
      </c>
      <c r="O187" t="s">
        <v>5142</v>
      </c>
      <c r="W187" t="s">
        <v>1568</v>
      </c>
    </row>
    <row r="188" spans="1:23">
      <c r="A188" s="332"/>
      <c r="B188" s="3"/>
      <c r="N188" t="s">
        <v>611</v>
      </c>
      <c r="O188" t="s">
        <v>5355</v>
      </c>
      <c r="W188" t="s">
        <v>2496</v>
      </c>
    </row>
    <row r="189" spans="1:23">
      <c r="A189" s="332"/>
      <c r="B189" s="3"/>
      <c r="N189" t="s">
        <v>706</v>
      </c>
      <c r="O189" t="s">
        <v>4796</v>
      </c>
      <c r="W189" t="s">
        <v>2528</v>
      </c>
    </row>
    <row r="190" spans="1:23">
      <c r="A190" s="333"/>
      <c r="B190" s="3"/>
      <c r="N190" t="s">
        <v>842</v>
      </c>
      <c r="O190" t="s">
        <v>5521</v>
      </c>
      <c r="W190" t="s">
        <v>3889</v>
      </c>
    </row>
    <row r="191" spans="1:23">
      <c r="A191" s="332"/>
      <c r="B191" s="3"/>
      <c r="N191" t="s">
        <v>861</v>
      </c>
      <c r="O191" t="s">
        <v>5425</v>
      </c>
      <c r="W191" t="s">
        <v>2669</v>
      </c>
    </row>
    <row r="192" spans="1:23">
      <c r="A192" s="332"/>
      <c r="B192" s="3"/>
      <c r="N192" t="s">
        <v>567</v>
      </c>
      <c r="O192" t="s">
        <v>5527</v>
      </c>
      <c r="W192" t="s">
        <v>2195</v>
      </c>
    </row>
    <row r="193" spans="1:23">
      <c r="A193" s="332"/>
      <c r="B193" s="3"/>
      <c r="N193" t="s">
        <v>576</v>
      </c>
      <c r="O193" t="s">
        <v>704</v>
      </c>
      <c r="W193" t="s">
        <v>2591</v>
      </c>
    </row>
    <row r="194" spans="1:23">
      <c r="A194" s="332"/>
      <c r="B194" s="3"/>
      <c r="N194" t="s">
        <v>811</v>
      </c>
      <c r="O194" t="s">
        <v>5147</v>
      </c>
      <c r="W194" t="s">
        <v>4458</v>
      </c>
    </row>
    <row r="195" spans="1:23">
      <c r="N195" t="s">
        <v>478</v>
      </c>
      <c r="O195" t="s">
        <v>4874</v>
      </c>
      <c r="W195" t="s">
        <v>2923</v>
      </c>
    </row>
    <row r="196" spans="1:23">
      <c r="N196" t="s">
        <v>844</v>
      </c>
      <c r="O196" t="s">
        <v>5284</v>
      </c>
      <c r="W196" t="s">
        <v>3780</v>
      </c>
    </row>
    <row r="197" spans="1:23">
      <c r="N197" t="s">
        <v>541</v>
      </c>
      <c r="O197" t="s">
        <v>5516</v>
      </c>
      <c r="W197" t="s">
        <v>3207</v>
      </c>
    </row>
    <row r="198" spans="1:23">
      <c r="N198" t="s">
        <v>545</v>
      </c>
      <c r="O198" t="s">
        <v>5492</v>
      </c>
      <c r="W198" t="s">
        <v>1523</v>
      </c>
    </row>
    <row r="199" spans="1:23">
      <c r="N199" t="s">
        <v>558</v>
      </c>
      <c r="O199" t="s">
        <v>5246</v>
      </c>
      <c r="W199" t="s">
        <v>4460</v>
      </c>
    </row>
    <row r="200" spans="1:23">
      <c r="N200" t="s">
        <v>801</v>
      </c>
      <c r="O200" t="s">
        <v>3365</v>
      </c>
      <c r="W200" t="s">
        <v>1756</v>
      </c>
    </row>
    <row r="201" spans="1:23">
      <c r="N201" t="s">
        <v>528</v>
      </c>
      <c r="O201" t="s">
        <v>5345</v>
      </c>
      <c r="W201" t="s">
        <v>3891</v>
      </c>
    </row>
    <row r="202" spans="1:23">
      <c r="N202" t="s">
        <v>526</v>
      </c>
      <c r="O202" t="s">
        <v>5127</v>
      </c>
      <c r="W202" t="s">
        <v>3299</v>
      </c>
    </row>
    <row r="203" spans="1:23">
      <c r="N203" t="s">
        <v>589</v>
      </c>
      <c r="O203" t="s">
        <v>5176</v>
      </c>
      <c r="W203" t="s">
        <v>3126</v>
      </c>
    </row>
    <row r="204" spans="1:23">
      <c r="N204" t="s">
        <v>827</v>
      </c>
      <c r="O204" t="s">
        <v>565</v>
      </c>
      <c r="W204" t="s">
        <v>3622</v>
      </c>
    </row>
    <row r="205" spans="1:23">
      <c r="N205" t="s">
        <v>679</v>
      </c>
      <c r="O205" t="s">
        <v>4646</v>
      </c>
      <c r="W205" t="s">
        <v>3842</v>
      </c>
    </row>
    <row r="206" spans="1:23">
      <c r="N206" t="s">
        <v>691</v>
      </c>
      <c r="O206" t="s">
        <v>849</v>
      </c>
      <c r="W206" t="s">
        <v>2671</v>
      </c>
    </row>
    <row r="207" spans="1:23">
      <c r="N207" t="s">
        <v>846</v>
      </c>
      <c r="O207" t="s">
        <v>5249</v>
      </c>
      <c r="W207" t="s">
        <v>2953</v>
      </c>
    </row>
    <row r="208" spans="1:23">
      <c r="N208" t="s">
        <v>802</v>
      </c>
      <c r="O208" t="s">
        <v>5347</v>
      </c>
      <c r="W208" t="s">
        <v>1816</v>
      </c>
    </row>
    <row r="209" spans="14:23">
      <c r="N209" t="s">
        <v>480</v>
      </c>
      <c r="O209" t="s">
        <v>5394</v>
      </c>
      <c r="W209" t="s">
        <v>3260</v>
      </c>
    </row>
    <row r="210" spans="14:23">
      <c r="N210" t="s">
        <v>900</v>
      </c>
      <c r="O210" t="s">
        <v>5295</v>
      </c>
      <c r="W210" t="s">
        <v>1584</v>
      </c>
    </row>
    <row r="211" spans="14:23">
      <c r="N211" t="s">
        <v>871</v>
      </c>
      <c r="O211" t="s">
        <v>5155</v>
      </c>
      <c r="W211" t="s">
        <v>4141</v>
      </c>
    </row>
    <row r="212" spans="14:23">
      <c r="N212" t="s">
        <v>732</v>
      </c>
      <c r="O212" t="s">
        <v>4728</v>
      </c>
      <c r="W212" t="s">
        <v>2752</v>
      </c>
    </row>
    <row r="213" spans="14:23">
      <c r="N213" t="s">
        <v>482</v>
      </c>
      <c r="O213" t="s">
        <v>5537</v>
      </c>
      <c r="W213" t="s">
        <v>4197</v>
      </c>
    </row>
    <row r="214" spans="14:23">
      <c r="N214" t="s">
        <v>574</v>
      </c>
      <c r="O214" t="s">
        <v>5393</v>
      </c>
      <c r="W214" t="s">
        <v>2529</v>
      </c>
    </row>
    <row r="215" spans="14:23">
      <c r="N215" t="s">
        <v>713</v>
      </c>
      <c r="O215" t="s">
        <v>5479</v>
      </c>
      <c r="W215" t="s">
        <v>4008</v>
      </c>
    </row>
    <row r="216" spans="14:23">
      <c r="N216" t="s">
        <v>489</v>
      </c>
      <c r="O216" t="s">
        <v>5123</v>
      </c>
      <c r="W216" t="s">
        <v>3439</v>
      </c>
    </row>
    <row r="217" spans="14:23">
      <c r="N217" t="s">
        <v>902</v>
      </c>
      <c r="O217" t="s">
        <v>5486</v>
      </c>
      <c r="W217" t="s">
        <v>3579</v>
      </c>
    </row>
    <row r="218" spans="14:23">
      <c r="N218" t="s">
        <v>863</v>
      </c>
      <c r="O218" t="s">
        <v>5529</v>
      </c>
      <c r="W218" t="s">
        <v>4416</v>
      </c>
    </row>
    <row r="219" spans="14:23">
      <c r="N219" t="s">
        <v>652</v>
      </c>
      <c r="O219" t="s">
        <v>5398</v>
      </c>
      <c r="W219" t="s">
        <v>3151</v>
      </c>
    </row>
    <row r="220" spans="14:23">
      <c r="N220" t="s">
        <v>738</v>
      </c>
      <c r="O220" t="s">
        <v>5227</v>
      </c>
      <c r="W220" t="s">
        <v>2531</v>
      </c>
    </row>
    <row r="221" spans="14:23">
      <c r="N221" t="s">
        <v>708</v>
      </c>
      <c r="O221" t="s">
        <v>5313</v>
      </c>
      <c r="W221" t="s">
        <v>3055</v>
      </c>
    </row>
    <row r="222" spans="14:23">
      <c r="N222" t="s">
        <v>569</v>
      </c>
      <c r="O222" t="s">
        <v>5229</v>
      </c>
      <c r="W222" t="s">
        <v>4037</v>
      </c>
    </row>
    <row r="223" spans="14:23">
      <c r="N223" t="s">
        <v>547</v>
      </c>
      <c r="O223" t="s">
        <v>5236</v>
      </c>
      <c r="W223" t="s">
        <v>3369</v>
      </c>
    </row>
    <row r="224" spans="14:23">
      <c r="N224" t="s">
        <v>623</v>
      </c>
      <c r="O224" t="s">
        <v>5418</v>
      </c>
      <c r="W224" t="s">
        <v>3153</v>
      </c>
    </row>
    <row r="225" spans="14:23">
      <c r="N225" t="s">
        <v>709</v>
      </c>
      <c r="O225" t="s">
        <v>5152</v>
      </c>
      <c r="W225" t="s">
        <v>4418</v>
      </c>
    </row>
    <row r="226" spans="14:23">
      <c r="N226" t="s">
        <v>510</v>
      </c>
      <c r="O226" t="s">
        <v>5346</v>
      </c>
      <c r="W226" t="s">
        <v>4199</v>
      </c>
    </row>
    <row r="227" spans="14:23">
      <c r="N227" t="s">
        <v>882</v>
      </c>
      <c r="O227" t="s">
        <v>5523</v>
      </c>
      <c r="W227" t="s">
        <v>2533</v>
      </c>
    </row>
    <row r="228" spans="14:23">
      <c r="N228" t="s">
        <v>737</v>
      </c>
      <c r="O228" t="s">
        <v>5177</v>
      </c>
      <c r="W228" t="s">
        <v>2981</v>
      </c>
    </row>
    <row r="229" spans="14:23">
      <c r="N229" t="s">
        <v>721</v>
      </c>
      <c r="O229" t="s">
        <v>5153</v>
      </c>
      <c r="W229" t="s">
        <v>2352</v>
      </c>
    </row>
    <row r="230" spans="14:23">
      <c r="N230" t="s">
        <v>560</v>
      </c>
      <c r="O230" t="s">
        <v>5364</v>
      </c>
      <c r="W230" t="s">
        <v>4039</v>
      </c>
    </row>
    <row r="231" spans="14:23">
      <c r="N231" t="s">
        <v>495</v>
      </c>
      <c r="O231" t="s">
        <v>5154</v>
      </c>
      <c r="W231" t="s">
        <v>2809</v>
      </c>
    </row>
    <row r="232" spans="14:23">
      <c r="N232" t="s">
        <v>838</v>
      </c>
      <c r="O232" t="s">
        <v>5178</v>
      </c>
      <c r="W232" t="s">
        <v>3701</v>
      </c>
    </row>
    <row r="233" spans="14:23">
      <c r="N233" t="s">
        <v>814</v>
      </c>
      <c r="O233" t="s">
        <v>5315</v>
      </c>
      <c r="W233" t="s">
        <v>3624</v>
      </c>
    </row>
    <row r="234" spans="14:23">
      <c r="N234" t="s">
        <v>803</v>
      </c>
      <c r="O234" t="s">
        <v>5128</v>
      </c>
      <c r="W234" t="s">
        <v>1586</v>
      </c>
    </row>
    <row r="235" spans="14:23">
      <c r="N235" t="s">
        <v>890</v>
      </c>
      <c r="O235" t="s">
        <v>4485</v>
      </c>
      <c r="W235" t="s">
        <v>1629</v>
      </c>
    </row>
    <row r="236" spans="14:23">
      <c r="N236" t="s">
        <v>664</v>
      </c>
      <c r="O236" t="s">
        <v>5241</v>
      </c>
      <c r="W236" t="s">
        <v>3057</v>
      </c>
    </row>
    <row r="237" spans="14:23">
      <c r="N237" t="s">
        <v>722</v>
      </c>
      <c r="O237" t="s">
        <v>5462</v>
      </c>
      <c r="W237" t="s">
        <v>4201</v>
      </c>
    </row>
    <row r="238" spans="14:23">
      <c r="N238" t="s">
        <v>497</v>
      </c>
      <c r="O238" t="s">
        <v>4494</v>
      </c>
      <c r="W238" t="s">
        <v>2291</v>
      </c>
    </row>
    <row r="239" spans="14:23">
      <c r="N239" t="s">
        <v>749</v>
      </c>
      <c r="O239" t="s">
        <v>5358</v>
      </c>
      <c r="W239" t="s">
        <v>2925</v>
      </c>
    </row>
    <row r="240" spans="14:23">
      <c r="N240" t="s">
        <v>883</v>
      </c>
      <c r="O240" t="s">
        <v>4483</v>
      </c>
      <c r="W240" t="s">
        <v>2490</v>
      </c>
    </row>
    <row r="241" spans="14:23">
      <c r="N241" t="s">
        <v>662</v>
      </c>
      <c r="O241" t="s">
        <v>5365</v>
      </c>
      <c r="W241" t="s">
        <v>3441</v>
      </c>
    </row>
    <row r="242" spans="14:23">
      <c r="N242" t="s">
        <v>674</v>
      </c>
      <c r="O242" t="s">
        <v>5450</v>
      </c>
      <c r="W242" t="s">
        <v>2354</v>
      </c>
    </row>
    <row r="243" spans="14:23">
      <c r="N243" t="s">
        <v>783</v>
      </c>
      <c r="O243" t="s">
        <v>5202</v>
      </c>
      <c r="W243" t="s">
        <v>4143</v>
      </c>
    </row>
    <row r="244" spans="14:23">
      <c r="N244" t="s">
        <v>750</v>
      </c>
      <c r="O244" t="s">
        <v>5231</v>
      </c>
      <c r="W244" t="s">
        <v>1524</v>
      </c>
    </row>
    <row r="245" spans="14:23">
      <c r="N245" t="s">
        <v>923</v>
      </c>
      <c r="O245" t="s">
        <v>5242</v>
      </c>
      <c r="W245" t="s">
        <v>2339</v>
      </c>
    </row>
    <row r="246" spans="14:23">
      <c r="N246" t="s">
        <v>653</v>
      </c>
      <c r="O246" t="s">
        <v>5162</v>
      </c>
      <c r="W246" t="s">
        <v>2983</v>
      </c>
    </row>
    <row r="247" spans="14:23">
      <c r="N247" t="s">
        <v>527</v>
      </c>
      <c r="O247" t="s">
        <v>5288</v>
      </c>
      <c r="W247" t="s">
        <v>2737</v>
      </c>
    </row>
    <row r="248" spans="14:23">
      <c r="N248" t="s">
        <v>663</v>
      </c>
      <c r="O248" t="s">
        <v>5427</v>
      </c>
      <c r="W248" t="s">
        <v>2492</v>
      </c>
    </row>
    <row r="249" spans="14:23">
      <c r="N249" t="s">
        <v>760</v>
      </c>
      <c r="O249" t="s">
        <v>5512</v>
      </c>
      <c r="W249" t="s">
        <v>3059</v>
      </c>
    </row>
    <row r="250" spans="14:23">
      <c r="N250" t="s">
        <v>784</v>
      </c>
      <c r="O250" t="s">
        <v>5274</v>
      </c>
      <c r="W250" t="s">
        <v>3209</v>
      </c>
    </row>
    <row r="251" spans="14:23">
      <c r="N251" t="s">
        <v>733</v>
      </c>
      <c r="O251" t="s">
        <v>5411</v>
      </c>
      <c r="W251" t="s">
        <v>4222</v>
      </c>
    </row>
    <row r="252" spans="14:23">
      <c r="N252" t="s">
        <v>716</v>
      </c>
      <c r="O252" t="s">
        <v>5377</v>
      </c>
      <c r="W252" t="s">
        <v>3060</v>
      </c>
    </row>
    <row r="253" spans="14:23">
      <c r="N253" t="s">
        <v>498</v>
      </c>
      <c r="O253" t="s">
        <v>5459</v>
      </c>
      <c r="W253" t="s">
        <v>1631</v>
      </c>
    </row>
    <row r="254" spans="14:23">
      <c r="N254" t="s">
        <v>673</v>
      </c>
      <c r="O254" t="s">
        <v>5173</v>
      </c>
      <c r="W254" t="s">
        <v>3154</v>
      </c>
    </row>
    <row r="255" spans="14:23">
      <c r="O255" t="s">
        <v>5470</v>
      </c>
      <c r="W255" t="s">
        <v>3517</v>
      </c>
    </row>
    <row r="256" spans="14:23">
      <c r="O256" t="s">
        <v>5265</v>
      </c>
      <c r="W256" t="s">
        <v>2122</v>
      </c>
    </row>
    <row r="257" spans="15:23">
      <c r="O257" t="s">
        <v>5385</v>
      </c>
      <c r="W257" t="s">
        <v>1437</v>
      </c>
    </row>
    <row r="258" spans="15:23">
      <c r="O258" t="s">
        <v>5211</v>
      </c>
      <c r="W258" t="s">
        <v>3782</v>
      </c>
    </row>
    <row r="259" spans="15:23">
      <c r="O259" t="s">
        <v>5392</v>
      </c>
      <c r="W259" t="s">
        <v>3061</v>
      </c>
    </row>
    <row r="260" spans="15:23">
      <c r="O260" t="s">
        <v>5276</v>
      </c>
      <c r="W260" t="s">
        <v>1937</v>
      </c>
    </row>
    <row r="261" spans="15:23">
      <c r="O261" t="s">
        <v>5317</v>
      </c>
      <c r="W261" t="s">
        <v>2570</v>
      </c>
    </row>
    <row r="262" spans="15:23">
      <c r="O262" t="s">
        <v>5277</v>
      </c>
      <c r="W262" t="s">
        <v>3344</v>
      </c>
    </row>
    <row r="263" spans="15:23">
      <c r="O263" t="s">
        <v>5509</v>
      </c>
      <c r="W263" t="s">
        <v>1588</v>
      </c>
    </row>
    <row r="264" spans="15:23">
      <c r="O264" t="s">
        <v>5335</v>
      </c>
      <c r="W264" t="s">
        <v>4223</v>
      </c>
    </row>
    <row r="265" spans="15:23">
      <c r="O265" t="s">
        <v>5415</v>
      </c>
      <c r="W265" t="s">
        <v>3831</v>
      </c>
    </row>
    <row r="266" spans="15:23">
      <c r="O266" t="s">
        <v>5372</v>
      </c>
      <c r="W266" t="s">
        <v>1758</v>
      </c>
    </row>
    <row r="267" spans="15:23">
      <c r="O267" t="s">
        <v>5472</v>
      </c>
      <c r="W267" t="s">
        <v>1992</v>
      </c>
    </row>
    <row r="268" spans="15:23">
      <c r="O268" t="s">
        <v>5204</v>
      </c>
      <c r="W268" t="s">
        <v>2673</v>
      </c>
    </row>
    <row r="269" spans="15:23">
      <c r="O269" t="s">
        <v>5473</v>
      </c>
      <c r="W269" t="s">
        <v>4347</v>
      </c>
    </row>
    <row r="270" spans="15:23">
      <c r="O270" t="s">
        <v>5357</v>
      </c>
      <c r="W270" t="s">
        <v>3893</v>
      </c>
    </row>
    <row r="271" spans="15:23">
      <c r="O271" t="s">
        <v>5179</v>
      </c>
      <c r="W271" t="s">
        <v>3491</v>
      </c>
    </row>
    <row r="272" spans="15:23">
      <c r="O272" t="s">
        <v>5461</v>
      </c>
      <c r="W272" t="s">
        <v>1890</v>
      </c>
    </row>
    <row r="273" spans="15:23">
      <c r="O273" t="s">
        <v>5496</v>
      </c>
      <c r="W273" t="s">
        <v>3832</v>
      </c>
    </row>
    <row r="274" spans="15:23">
      <c r="O274" t="s">
        <v>5184</v>
      </c>
      <c r="W274" t="s">
        <v>2173</v>
      </c>
    </row>
    <row r="275" spans="15:23">
      <c r="O275" t="s">
        <v>5212</v>
      </c>
      <c r="W275" t="s">
        <v>3844</v>
      </c>
    </row>
    <row r="276" spans="15:23">
      <c r="O276" t="s">
        <v>5435</v>
      </c>
      <c r="W276" t="s">
        <v>1938</v>
      </c>
    </row>
    <row r="277" spans="15:23">
      <c r="W277" t="s">
        <v>2811</v>
      </c>
    </row>
    <row r="278" spans="15:23">
      <c r="W278" t="s">
        <v>1589</v>
      </c>
    </row>
    <row r="279" spans="15:23">
      <c r="W279" t="s">
        <v>3845</v>
      </c>
    </row>
    <row r="280" spans="15:23">
      <c r="W280" t="s">
        <v>3345</v>
      </c>
    </row>
    <row r="281" spans="15:23">
      <c r="W281" t="s">
        <v>3626</v>
      </c>
    </row>
    <row r="282" spans="15:23">
      <c r="W282" t="s">
        <v>4420</v>
      </c>
    </row>
    <row r="283" spans="15:23">
      <c r="W283" t="s">
        <v>3128</v>
      </c>
    </row>
    <row r="284" spans="15:23">
      <c r="W284" t="s">
        <v>3129</v>
      </c>
    </row>
    <row r="285" spans="15:23">
      <c r="W285" t="s">
        <v>1632</v>
      </c>
    </row>
    <row r="286" spans="15:23">
      <c r="W286" t="s">
        <v>2066</v>
      </c>
    </row>
    <row r="287" spans="15:23">
      <c r="W287" t="s">
        <v>3301</v>
      </c>
    </row>
    <row r="288" spans="15:23">
      <c r="W288" t="s">
        <v>2123</v>
      </c>
    </row>
    <row r="289" spans="23:23">
      <c r="W289" t="s">
        <v>4203</v>
      </c>
    </row>
    <row r="290" spans="23:23">
      <c r="W290" t="s">
        <v>3846</v>
      </c>
    </row>
    <row r="291" spans="23:23">
      <c r="W291" t="s">
        <v>2738</v>
      </c>
    </row>
    <row r="292" spans="23:23">
      <c r="W292" t="s">
        <v>3346</v>
      </c>
    </row>
    <row r="293" spans="23:23">
      <c r="W293" t="s">
        <v>3302</v>
      </c>
    </row>
    <row r="294" spans="23:23">
      <c r="W294" t="s">
        <v>3487</v>
      </c>
    </row>
    <row r="295" spans="23:23">
      <c r="W295" t="s">
        <v>3304</v>
      </c>
    </row>
    <row r="296" spans="23:23">
      <c r="W296" t="s">
        <v>4224</v>
      </c>
    </row>
    <row r="297" spans="23:23">
      <c r="W297" t="s">
        <v>3130</v>
      </c>
    </row>
    <row r="298" spans="23:23">
      <c r="W298" t="s">
        <v>4205</v>
      </c>
    </row>
    <row r="299" spans="23:23">
      <c r="W299" t="s">
        <v>2812</v>
      </c>
    </row>
    <row r="300" spans="23:23">
      <c r="W300" t="s">
        <v>2984</v>
      </c>
    </row>
    <row r="301" spans="23:23">
      <c r="W301" t="s">
        <v>3848</v>
      </c>
    </row>
    <row r="302" spans="23:23">
      <c r="W302" t="s">
        <v>4066</v>
      </c>
    </row>
    <row r="303" spans="23:23">
      <c r="W303" t="s">
        <v>1438</v>
      </c>
    </row>
    <row r="304" spans="23:23">
      <c r="W304" t="s">
        <v>1939</v>
      </c>
    </row>
    <row r="305" spans="23:23">
      <c r="W305" t="s">
        <v>2674</v>
      </c>
    </row>
    <row r="306" spans="23:23">
      <c r="W306" t="s">
        <v>3518</v>
      </c>
    </row>
    <row r="307" spans="23:23">
      <c r="W307" t="s">
        <v>2593</v>
      </c>
    </row>
    <row r="308" spans="23:23">
      <c r="W308" t="s">
        <v>4226</v>
      </c>
    </row>
    <row r="309" spans="23:23">
      <c r="W309" t="s">
        <v>4349</v>
      </c>
    </row>
    <row r="310" spans="23:23">
      <c r="W310" t="s">
        <v>2740</v>
      </c>
    </row>
    <row r="311" spans="23:23">
      <c r="W311" t="s">
        <v>3254</v>
      </c>
    </row>
    <row r="312" spans="23:23">
      <c r="W312" t="s">
        <v>1440</v>
      </c>
    </row>
    <row r="313" spans="23:23">
      <c r="W313" t="s">
        <v>3132</v>
      </c>
    </row>
    <row r="314" spans="23:23">
      <c r="W314" t="s">
        <v>3959</v>
      </c>
    </row>
    <row r="315" spans="23:23">
      <c r="W315" t="s">
        <v>2595</v>
      </c>
    </row>
    <row r="316" spans="23:23">
      <c r="W316" t="s">
        <v>1633</v>
      </c>
    </row>
    <row r="317" spans="23:23">
      <c r="W317" t="s">
        <v>3627</v>
      </c>
    </row>
    <row r="318" spans="23:23">
      <c r="W318" t="s">
        <v>4041</v>
      </c>
    </row>
    <row r="319" spans="23:23">
      <c r="W319" t="s">
        <v>2754</v>
      </c>
    </row>
    <row r="320" spans="23:23">
      <c r="W320" t="s">
        <v>4207</v>
      </c>
    </row>
    <row r="321" spans="23:23">
      <c r="W321" t="s">
        <v>3134</v>
      </c>
    </row>
    <row r="322" spans="23:23">
      <c r="W322" t="s">
        <v>1759</v>
      </c>
    </row>
    <row r="323" spans="23:23">
      <c r="W323" t="s">
        <v>1761</v>
      </c>
    </row>
    <row r="324" spans="23:23">
      <c r="W324" t="s">
        <v>4277</v>
      </c>
    </row>
    <row r="325" spans="23:23">
      <c r="W325" t="s">
        <v>4356</v>
      </c>
    </row>
    <row r="326" spans="23:23">
      <c r="W326" t="s">
        <v>2676</v>
      </c>
    </row>
    <row r="327" spans="23:23">
      <c r="W327" t="s">
        <v>2678</v>
      </c>
    </row>
    <row r="328" spans="23:23">
      <c r="W328" t="s">
        <v>1993</v>
      </c>
    </row>
    <row r="329" spans="23:23">
      <c r="W329" t="s">
        <v>4279</v>
      </c>
    </row>
    <row r="330" spans="23:23">
      <c r="W330" t="s">
        <v>2955</v>
      </c>
    </row>
    <row r="331" spans="23:23">
      <c r="W331" t="s">
        <v>2926</v>
      </c>
    </row>
    <row r="332" spans="23:23">
      <c r="W332" t="s">
        <v>3348</v>
      </c>
    </row>
    <row r="333" spans="23:23">
      <c r="W333" t="s">
        <v>1525</v>
      </c>
    </row>
    <row r="334" spans="23:23">
      <c r="W334" t="s">
        <v>2535</v>
      </c>
    </row>
    <row r="335" spans="23:23">
      <c r="W335" t="s">
        <v>2537</v>
      </c>
    </row>
    <row r="336" spans="23:23">
      <c r="W336" t="s">
        <v>4358</v>
      </c>
    </row>
    <row r="337" spans="23:23">
      <c r="W337" t="s">
        <v>1527</v>
      </c>
    </row>
    <row r="338" spans="23:23">
      <c r="W338" t="s">
        <v>2928</v>
      </c>
    </row>
    <row r="339" spans="23:23">
      <c r="W339" t="s">
        <v>3155</v>
      </c>
    </row>
    <row r="340" spans="23:23">
      <c r="W340" t="s">
        <v>4144</v>
      </c>
    </row>
    <row r="341" spans="23:23">
      <c r="W341" t="s">
        <v>1792</v>
      </c>
    </row>
    <row r="342" spans="23:23">
      <c r="W342" t="s">
        <v>1442</v>
      </c>
    </row>
    <row r="343" spans="23:23">
      <c r="W343" t="s">
        <v>1716</v>
      </c>
    </row>
    <row r="344" spans="23:23">
      <c r="W344" t="s">
        <v>3371</v>
      </c>
    </row>
    <row r="345" spans="23:23">
      <c r="W345" t="s">
        <v>1635</v>
      </c>
    </row>
    <row r="346" spans="23:23">
      <c r="W346" t="s">
        <v>1529</v>
      </c>
    </row>
    <row r="347" spans="23:23">
      <c r="W347" t="s">
        <v>2340</v>
      </c>
    </row>
    <row r="348" spans="23:23">
      <c r="W348" t="s">
        <v>2404</v>
      </c>
    </row>
    <row r="349" spans="23:23">
      <c r="W349" t="s">
        <v>1892</v>
      </c>
    </row>
    <row r="350" spans="23:23">
      <c r="W350" t="s">
        <v>4360</v>
      </c>
    </row>
    <row r="351" spans="23:23">
      <c r="W351" t="s">
        <v>3493</v>
      </c>
    </row>
    <row r="352" spans="23:23">
      <c r="W352" t="s">
        <v>1995</v>
      </c>
    </row>
    <row r="353" spans="23:23">
      <c r="W353" t="s">
        <v>4010</v>
      </c>
    </row>
    <row r="354" spans="23:23">
      <c r="W354" t="s">
        <v>3262</v>
      </c>
    </row>
    <row r="355" spans="23:23">
      <c r="W355" t="s">
        <v>3350</v>
      </c>
    </row>
    <row r="356" spans="23:23">
      <c r="W356" t="s">
        <v>1951</v>
      </c>
    </row>
    <row r="357" spans="23:23">
      <c r="W357" t="s">
        <v>2756</v>
      </c>
    </row>
    <row r="358" spans="23:23">
      <c r="W358" t="s">
        <v>3373</v>
      </c>
    </row>
    <row r="359" spans="23:23">
      <c r="W359" t="s">
        <v>1444</v>
      </c>
    </row>
    <row r="360" spans="23:23">
      <c r="W360" t="s">
        <v>2986</v>
      </c>
    </row>
    <row r="361" spans="23:23">
      <c r="W361" t="s">
        <v>4228</v>
      </c>
    </row>
    <row r="362" spans="23:23">
      <c r="W362" t="s">
        <v>3157</v>
      </c>
    </row>
    <row r="363" spans="23:23">
      <c r="W363" t="s">
        <v>3671</v>
      </c>
    </row>
    <row r="364" spans="23:23">
      <c r="W364" t="s">
        <v>3629</v>
      </c>
    </row>
    <row r="365" spans="23:23">
      <c r="W365" t="s">
        <v>3352</v>
      </c>
    </row>
    <row r="366" spans="23:23">
      <c r="W366" t="s">
        <v>2758</v>
      </c>
    </row>
    <row r="367" spans="23:23">
      <c r="W367" t="s">
        <v>3631</v>
      </c>
    </row>
    <row r="368" spans="23:23">
      <c r="W368" t="s">
        <v>2406</v>
      </c>
    </row>
    <row r="369" spans="23:23">
      <c r="W369" t="s">
        <v>4281</v>
      </c>
    </row>
    <row r="370" spans="23:23">
      <c r="W370" t="s">
        <v>3489</v>
      </c>
    </row>
    <row r="371" spans="23:23">
      <c r="W371" t="s">
        <v>2124</v>
      </c>
    </row>
    <row r="372" spans="23:23">
      <c r="W372" t="s">
        <v>3895</v>
      </c>
    </row>
    <row r="373" spans="23:23">
      <c r="W373" t="s">
        <v>3354</v>
      </c>
    </row>
    <row r="374" spans="23:23">
      <c r="W374" t="s">
        <v>2760</v>
      </c>
    </row>
    <row r="375" spans="23:23">
      <c r="W375" t="s">
        <v>1997</v>
      </c>
    </row>
    <row r="376" spans="23:23">
      <c r="W376" t="s">
        <v>1446</v>
      </c>
    </row>
    <row r="377" spans="23:23">
      <c r="W377" t="s">
        <v>3520</v>
      </c>
    </row>
    <row r="378" spans="23:23">
      <c r="W378" t="s">
        <v>1448</v>
      </c>
    </row>
    <row r="379" spans="23:23">
      <c r="W379" t="s">
        <v>3522</v>
      </c>
    </row>
    <row r="380" spans="23:23">
      <c r="W380" t="s">
        <v>3673</v>
      </c>
    </row>
    <row r="381" spans="23:23">
      <c r="W381" t="s">
        <v>4012</v>
      </c>
    </row>
    <row r="382" spans="23:23">
      <c r="W382" t="s">
        <v>3375</v>
      </c>
    </row>
    <row r="383" spans="23:23">
      <c r="W383" t="s">
        <v>2197</v>
      </c>
    </row>
    <row r="384" spans="23:23">
      <c r="W384" t="s">
        <v>2742</v>
      </c>
    </row>
    <row r="385" spans="23:23">
      <c r="W385" t="s">
        <v>2878</v>
      </c>
    </row>
    <row r="386" spans="23:23">
      <c r="W386" t="s">
        <v>4421</v>
      </c>
    </row>
    <row r="387" spans="23:23">
      <c r="W387" t="s">
        <v>3967</v>
      </c>
    </row>
    <row r="388" spans="23:23">
      <c r="W388" t="s">
        <v>1450</v>
      </c>
    </row>
    <row r="389" spans="23:23">
      <c r="W389" t="s">
        <v>3850</v>
      </c>
    </row>
    <row r="390" spans="23:23">
      <c r="W390" t="s">
        <v>2199</v>
      </c>
    </row>
    <row r="391" spans="23:23">
      <c r="W391" t="s">
        <v>1724</v>
      </c>
    </row>
    <row r="392" spans="23:23">
      <c r="W392" t="s">
        <v>1531</v>
      </c>
    </row>
    <row r="393" spans="23:23">
      <c r="W393" t="s">
        <v>3703</v>
      </c>
    </row>
    <row r="394" spans="23:23">
      <c r="W394" t="s">
        <v>4209</v>
      </c>
    </row>
    <row r="395" spans="23:23">
      <c r="W395" t="s">
        <v>4211</v>
      </c>
    </row>
    <row r="396" spans="23:23">
      <c r="W396" t="s">
        <v>2498</v>
      </c>
    </row>
    <row r="397" spans="23:23">
      <c r="W397" t="s">
        <v>3159</v>
      </c>
    </row>
    <row r="398" spans="23:23">
      <c r="W398" t="s">
        <v>3610</v>
      </c>
    </row>
    <row r="399" spans="23:23">
      <c r="W399" t="s">
        <v>3062</v>
      </c>
    </row>
    <row r="400" spans="23:23">
      <c r="W400" t="s">
        <v>3210</v>
      </c>
    </row>
    <row r="401" spans="23:23">
      <c r="W401" t="s">
        <v>2081</v>
      </c>
    </row>
    <row r="402" spans="23:23">
      <c r="W402" t="s">
        <v>4399</v>
      </c>
    </row>
    <row r="403" spans="23:23">
      <c r="W403" t="s">
        <v>2916</v>
      </c>
    </row>
    <row r="404" spans="23:23">
      <c r="W404" t="s">
        <v>3705</v>
      </c>
    </row>
    <row r="405" spans="23:23">
      <c r="W405" t="s">
        <v>3897</v>
      </c>
    </row>
    <row r="406" spans="23:23">
      <c r="W406" t="s">
        <v>1953</v>
      </c>
    </row>
    <row r="407" spans="23:23">
      <c r="W407" t="s">
        <v>4230</v>
      </c>
    </row>
    <row r="408" spans="23:23">
      <c r="W408" t="s">
        <v>2408</v>
      </c>
    </row>
    <row r="409" spans="23:23">
      <c r="W409" t="s">
        <v>3160</v>
      </c>
    </row>
    <row r="410" spans="23:23">
      <c r="W410" t="s">
        <v>4213</v>
      </c>
    </row>
    <row r="411" spans="23:23">
      <c r="W411" t="s">
        <v>1955</v>
      </c>
    </row>
    <row r="412" spans="23:23">
      <c r="W412" t="s">
        <v>2355</v>
      </c>
    </row>
    <row r="413" spans="23:23">
      <c r="W413" t="s">
        <v>3264</v>
      </c>
    </row>
    <row r="414" spans="23:23">
      <c r="W414" t="s">
        <v>2680</v>
      </c>
    </row>
    <row r="415" spans="23:23">
      <c r="W415" t="s">
        <v>3265</v>
      </c>
    </row>
    <row r="416" spans="23:23">
      <c r="W416" t="s">
        <v>4401</v>
      </c>
    </row>
    <row r="417" spans="23:23">
      <c r="W417" t="s">
        <v>2500</v>
      </c>
    </row>
    <row r="418" spans="23:23">
      <c r="W418" t="s">
        <v>1569</v>
      </c>
    </row>
    <row r="419" spans="23:23">
      <c r="W419" t="s">
        <v>1571</v>
      </c>
    </row>
    <row r="420" spans="23:23">
      <c r="W420" t="s">
        <v>3707</v>
      </c>
    </row>
    <row r="421" spans="23:23">
      <c r="W421" t="s">
        <v>1918</v>
      </c>
    </row>
    <row r="422" spans="23:23">
      <c r="W422" t="s">
        <v>3709</v>
      </c>
    </row>
    <row r="423" spans="23:23">
      <c r="W423" t="s">
        <v>2762</v>
      </c>
    </row>
    <row r="424" spans="23:23">
      <c r="W424" t="s">
        <v>2114</v>
      </c>
    </row>
    <row r="425" spans="23:23">
      <c r="W425" t="s">
        <v>2356</v>
      </c>
    </row>
    <row r="426" spans="23:23">
      <c r="W426" t="s">
        <v>1637</v>
      </c>
    </row>
    <row r="427" spans="23:23">
      <c r="W427" t="s">
        <v>4000</v>
      </c>
    </row>
    <row r="428" spans="23:23">
      <c r="W428" t="s">
        <v>2957</v>
      </c>
    </row>
    <row r="429" spans="23:23">
      <c r="W429" t="s">
        <v>3612</v>
      </c>
    </row>
    <row r="430" spans="23:23">
      <c r="W430" t="s">
        <v>2706</v>
      </c>
    </row>
    <row r="431" spans="23:23">
      <c r="W431" t="s">
        <v>2175</v>
      </c>
    </row>
    <row r="432" spans="23:23">
      <c r="W432" t="s">
        <v>1726</v>
      </c>
    </row>
    <row r="433" spans="23:23">
      <c r="W433" t="s">
        <v>3852</v>
      </c>
    </row>
    <row r="434" spans="23:23">
      <c r="W434" t="s">
        <v>2959</v>
      </c>
    </row>
    <row r="435" spans="23:23">
      <c r="W435" t="s">
        <v>3064</v>
      </c>
    </row>
    <row r="436" spans="23:23">
      <c r="W436" t="s">
        <v>4068</v>
      </c>
    </row>
    <row r="437" spans="23:23">
      <c r="W437" t="s">
        <v>3969</v>
      </c>
    </row>
    <row r="438" spans="23:23">
      <c r="W438" t="s">
        <v>3810</v>
      </c>
    </row>
    <row r="439" spans="23:23">
      <c r="W439" t="s">
        <v>1557</v>
      </c>
    </row>
    <row r="440" spans="23:23">
      <c r="W440" t="s">
        <v>2708</v>
      </c>
    </row>
    <row r="441" spans="23:23">
      <c r="W441" t="s">
        <v>3586</v>
      </c>
    </row>
    <row r="442" spans="23:23">
      <c r="W442" t="s">
        <v>4070</v>
      </c>
    </row>
    <row r="443" spans="23:23">
      <c r="W443" t="s">
        <v>3267</v>
      </c>
    </row>
    <row r="444" spans="23:23">
      <c r="W444" t="s">
        <v>2083</v>
      </c>
    </row>
    <row r="445" spans="23:23">
      <c r="W445" t="s">
        <v>1754</v>
      </c>
    </row>
    <row r="446" spans="23:23">
      <c r="W446" t="s">
        <v>3495</v>
      </c>
    </row>
    <row r="447" spans="23:23">
      <c r="W447" t="s">
        <v>1728</v>
      </c>
    </row>
    <row r="448" spans="23:23">
      <c r="W448" t="s">
        <v>1999</v>
      </c>
    </row>
    <row r="449" spans="23:23">
      <c r="W449" t="s">
        <v>4232</v>
      </c>
    </row>
    <row r="450" spans="23:23">
      <c r="W450" t="s">
        <v>2710</v>
      </c>
    </row>
    <row r="451" spans="23:23">
      <c r="W451" t="s">
        <v>1794</v>
      </c>
    </row>
    <row r="452" spans="23:23">
      <c r="W452" t="s">
        <v>1730</v>
      </c>
    </row>
    <row r="453" spans="23:23">
      <c r="W453" t="s">
        <v>1452</v>
      </c>
    </row>
    <row r="454" spans="23:23">
      <c r="W454" t="s">
        <v>2712</v>
      </c>
    </row>
    <row r="455" spans="23:23">
      <c r="W455" t="s">
        <v>2918</v>
      </c>
    </row>
    <row r="456" spans="23:23">
      <c r="W456" t="s">
        <v>4234</v>
      </c>
    </row>
    <row r="457" spans="23:23">
      <c r="W457" t="s">
        <v>2714</v>
      </c>
    </row>
    <row r="458" spans="23:23">
      <c r="W458" t="s">
        <v>3971</v>
      </c>
    </row>
    <row r="459" spans="23:23">
      <c r="W459" t="s">
        <v>4236</v>
      </c>
    </row>
    <row r="460" spans="23:23">
      <c r="W460" t="s">
        <v>2358</v>
      </c>
    </row>
    <row r="461" spans="23:23">
      <c r="W461" t="s">
        <v>1590</v>
      </c>
    </row>
    <row r="462" spans="23:23">
      <c r="W462" t="s">
        <v>1732</v>
      </c>
    </row>
    <row r="463" spans="23:23">
      <c r="W463" t="s">
        <v>1559</v>
      </c>
    </row>
    <row r="464" spans="23:23">
      <c r="W464" t="s">
        <v>3973</v>
      </c>
    </row>
    <row r="465" spans="23:23">
      <c r="W465" t="s">
        <v>4002</v>
      </c>
    </row>
    <row r="466" spans="23:23">
      <c r="W466" t="s">
        <v>4043</v>
      </c>
    </row>
    <row r="467" spans="23:23">
      <c r="W467" t="s">
        <v>3588</v>
      </c>
    </row>
    <row r="468" spans="23:23">
      <c r="W468" t="s">
        <v>3675</v>
      </c>
    </row>
    <row r="469" spans="23:23">
      <c r="W469" t="s">
        <v>3442</v>
      </c>
    </row>
    <row r="470" spans="23:23">
      <c r="W470" t="s">
        <v>2571</v>
      </c>
    </row>
    <row r="471" spans="23:23">
      <c r="W471" t="s">
        <v>3614</v>
      </c>
    </row>
    <row r="472" spans="23:23">
      <c r="W472" t="s">
        <v>1561</v>
      </c>
    </row>
    <row r="473" spans="23:23">
      <c r="W473" t="s">
        <v>4283</v>
      </c>
    </row>
    <row r="474" spans="23:23">
      <c r="W474" t="s">
        <v>3102</v>
      </c>
    </row>
    <row r="475" spans="23:23">
      <c r="W475" t="s">
        <v>2716</v>
      </c>
    </row>
    <row r="476" spans="23:23">
      <c r="W476" t="s">
        <v>3104</v>
      </c>
    </row>
    <row r="477" spans="23:23">
      <c r="W477" t="s">
        <v>2988</v>
      </c>
    </row>
    <row r="478" spans="23:23">
      <c r="W478" t="s">
        <v>1818</v>
      </c>
    </row>
    <row r="479" spans="23:23">
      <c r="W479" t="s">
        <v>1533</v>
      </c>
    </row>
    <row r="480" spans="23:23">
      <c r="W480" t="s">
        <v>3677</v>
      </c>
    </row>
    <row r="481" spans="23:23">
      <c r="W481" t="s">
        <v>2085</v>
      </c>
    </row>
    <row r="482" spans="23:23">
      <c r="W482" t="s">
        <v>3524</v>
      </c>
    </row>
    <row r="483" spans="23:23">
      <c r="W483" t="s">
        <v>2718</v>
      </c>
    </row>
    <row r="484" spans="23:23">
      <c r="W484" t="s">
        <v>3106</v>
      </c>
    </row>
    <row r="485" spans="23:23">
      <c r="W485" t="s">
        <v>2201</v>
      </c>
    </row>
    <row r="486" spans="23:23">
      <c r="W486" t="s">
        <v>4045</v>
      </c>
    </row>
    <row r="487" spans="23:23">
      <c r="W487" t="s">
        <v>3616</v>
      </c>
    </row>
    <row r="488" spans="23:23">
      <c r="W488" t="s">
        <v>1894</v>
      </c>
    </row>
    <row r="489" spans="23:23">
      <c r="W489" t="s">
        <v>2410</v>
      </c>
    </row>
    <row r="490" spans="23:23">
      <c r="W490" t="s">
        <v>2720</v>
      </c>
    </row>
    <row r="491" spans="23:23">
      <c r="W491" t="s">
        <v>3377</v>
      </c>
    </row>
    <row r="492" spans="23:23">
      <c r="W492" t="s">
        <v>4180</v>
      </c>
    </row>
    <row r="493" spans="23:23">
      <c r="W493" t="s">
        <v>1535</v>
      </c>
    </row>
    <row r="494" spans="23:23">
      <c r="W494" t="s">
        <v>3162</v>
      </c>
    </row>
    <row r="495" spans="23:23">
      <c r="W495" t="s">
        <v>1537</v>
      </c>
    </row>
    <row r="496" spans="23:23">
      <c r="W496" t="s">
        <v>3812</v>
      </c>
    </row>
    <row r="497" spans="23:23">
      <c r="W497" t="s">
        <v>2920</v>
      </c>
    </row>
    <row r="498" spans="23:23">
      <c r="W498" t="s">
        <v>3164</v>
      </c>
    </row>
    <row r="499" spans="23:23">
      <c r="W499" t="s">
        <v>2001</v>
      </c>
    </row>
    <row r="500" spans="23:23">
      <c r="W500" t="s">
        <v>3678</v>
      </c>
    </row>
    <row r="501" spans="23:23">
      <c r="W501" t="s">
        <v>1820</v>
      </c>
    </row>
    <row r="502" spans="23:23">
      <c r="W502" t="s">
        <v>4047</v>
      </c>
    </row>
    <row r="503" spans="23:23">
      <c r="W503" t="s">
        <v>2318</v>
      </c>
    </row>
    <row r="504" spans="23:23">
      <c r="W504" t="s">
        <v>3590</v>
      </c>
    </row>
    <row r="505" spans="23:23">
      <c r="W505" t="s">
        <v>3108</v>
      </c>
    </row>
    <row r="506" spans="23:23">
      <c r="W506" t="s">
        <v>1796</v>
      </c>
    </row>
    <row r="507" spans="23:23">
      <c r="W507" t="s">
        <v>4403</v>
      </c>
    </row>
    <row r="508" spans="23:23">
      <c r="W508" t="s">
        <v>2961</v>
      </c>
    </row>
    <row r="509" spans="23:23">
      <c r="W509" t="s">
        <v>4405</v>
      </c>
    </row>
    <row r="510" spans="23:23">
      <c r="W510" t="s">
        <v>2116</v>
      </c>
    </row>
    <row r="511" spans="23:23">
      <c r="W511" t="s">
        <v>4237</v>
      </c>
    </row>
    <row r="512" spans="23:23">
      <c r="W512" t="s">
        <v>4004</v>
      </c>
    </row>
    <row r="513" spans="23:23">
      <c r="W513" t="s">
        <v>2990</v>
      </c>
    </row>
    <row r="514" spans="23:23">
      <c r="W514" t="s">
        <v>2814</v>
      </c>
    </row>
    <row r="515" spans="23:23">
      <c r="W515" t="s">
        <v>2118</v>
      </c>
    </row>
    <row r="516" spans="23:23">
      <c r="W516" t="s">
        <v>2360</v>
      </c>
    </row>
    <row r="517" spans="23:23">
      <c r="W517" t="s">
        <v>3496</v>
      </c>
    </row>
    <row r="518" spans="23:23">
      <c r="W518" t="s">
        <v>3899</v>
      </c>
    </row>
    <row r="519" spans="23:23">
      <c r="W519" t="s">
        <v>4407</v>
      </c>
    </row>
    <row r="520" spans="23:23">
      <c r="W520" t="s">
        <v>3814</v>
      </c>
    </row>
    <row r="521" spans="23:23">
      <c r="W521" t="s">
        <v>2202</v>
      </c>
    </row>
    <row r="522" spans="23:23">
      <c r="W522" t="s">
        <v>2722</v>
      </c>
    </row>
    <row r="523" spans="23:23">
      <c r="W523" t="s">
        <v>2573</v>
      </c>
    </row>
    <row r="524" spans="23:23">
      <c r="W524" t="s">
        <v>2204</v>
      </c>
    </row>
    <row r="525" spans="23:23">
      <c r="W525" t="s">
        <v>4285</v>
      </c>
    </row>
    <row r="526" spans="23:23">
      <c r="W526" t="s">
        <v>3295</v>
      </c>
    </row>
    <row r="527" spans="23:23">
      <c r="W527" t="s">
        <v>2764</v>
      </c>
    </row>
    <row r="528" spans="23:23">
      <c r="W528" t="s">
        <v>3526</v>
      </c>
    </row>
    <row r="529" spans="23:23">
      <c r="W529" t="s">
        <v>1798</v>
      </c>
    </row>
    <row r="530" spans="23:23">
      <c r="W530" t="s">
        <v>2087</v>
      </c>
    </row>
    <row r="531" spans="23:23">
      <c r="W531" t="s">
        <v>3854</v>
      </c>
    </row>
    <row r="532" spans="23:23">
      <c r="W532" t="s">
        <v>4006</v>
      </c>
    </row>
    <row r="533" spans="23:23">
      <c r="W533" t="s">
        <v>4408</v>
      </c>
    </row>
    <row r="534" spans="23:23">
      <c r="W534" t="s">
        <v>2177</v>
      </c>
    </row>
    <row r="535" spans="23:23">
      <c r="W535" t="s">
        <v>1592</v>
      </c>
    </row>
    <row r="536" spans="23:23">
      <c r="W536" t="s">
        <v>3110</v>
      </c>
    </row>
    <row r="537" spans="23:23">
      <c r="W537" t="s">
        <v>3816</v>
      </c>
    </row>
    <row r="538" spans="23:23">
      <c r="W538" t="s">
        <v>2412</v>
      </c>
    </row>
    <row r="539" spans="23:23">
      <c r="W539" t="s">
        <v>3269</v>
      </c>
    </row>
    <row r="540" spans="23:23">
      <c r="W540" t="s">
        <v>3297</v>
      </c>
    </row>
    <row r="541" spans="23:23">
      <c r="W541" t="s">
        <v>1639</v>
      </c>
    </row>
    <row r="542" spans="23:23">
      <c r="W542" t="s">
        <v>3618</v>
      </c>
    </row>
    <row r="543" spans="23:23">
      <c r="W543" t="s">
        <v>1920</v>
      </c>
    </row>
    <row r="544" spans="23:23">
      <c r="W544" t="s">
        <v>3112</v>
      </c>
    </row>
    <row r="545" spans="23:23">
      <c r="W545" t="s">
        <v>4287</v>
      </c>
    </row>
    <row r="546" spans="23:23">
      <c r="W546" t="s">
        <v>4410</v>
      </c>
    </row>
    <row r="547" spans="23:23">
      <c r="W547" t="s">
        <v>3680</v>
      </c>
    </row>
    <row r="548" spans="23:23">
      <c r="W548" t="s">
        <v>3682</v>
      </c>
    </row>
    <row r="549" spans="23:23">
      <c r="W549" t="s">
        <v>3783</v>
      </c>
    </row>
    <row r="550" spans="23:23">
      <c r="W550" t="s">
        <v>3166</v>
      </c>
    </row>
    <row r="551" spans="23:23">
      <c r="W551" t="s">
        <v>2362</v>
      </c>
    </row>
    <row r="552" spans="23:23">
      <c r="W552" t="s">
        <v>2922</v>
      </c>
    </row>
    <row r="553" spans="23:23">
      <c r="W553" t="s">
        <v>2206</v>
      </c>
    </row>
    <row r="554" spans="23:23">
      <c r="W554" t="s">
        <v>2320</v>
      </c>
    </row>
    <row r="555" spans="23:23">
      <c r="W555" t="s">
        <v>4072</v>
      </c>
    </row>
    <row r="556" spans="23:23">
      <c r="W556" t="s">
        <v>2292</v>
      </c>
    </row>
    <row r="557" spans="23:23">
      <c r="W557" t="s">
        <v>3066</v>
      </c>
    </row>
    <row r="558" spans="23:23">
      <c r="W558" t="s">
        <v>2322</v>
      </c>
    </row>
    <row r="559" spans="23:23">
      <c r="W559" t="s">
        <v>4412</v>
      </c>
    </row>
    <row r="560" spans="23:23">
      <c r="W560" t="s">
        <v>2575</v>
      </c>
    </row>
    <row r="561" spans="23:23">
      <c r="W561" t="s">
        <v>2120</v>
      </c>
    </row>
    <row r="562" spans="23:23">
      <c r="W562" t="s">
        <v>3711</v>
      </c>
    </row>
    <row r="563" spans="23:23">
      <c r="W563" t="s">
        <v>3620</v>
      </c>
    </row>
    <row r="564" spans="23:23">
      <c r="W564" t="s">
        <v>4414</v>
      </c>
    </row>
    <row r="565" spans="23:23">
      <c r="W565" t="s">
        <v>2089</v>
      </c>
    </row>
    <row r="566" spans="23:23">
      <c r="W566" t="s">
        <v>3633</v>
      </c>
    </row>
    <row r="567" spans="23:23">
      <c r="W567" t="s">
        <v>3271</v>
      </c>
    </row>
    <row r="568" spans="23:23">
      <c r="W568" t="s">
        <v>1563</v>
      </c>
    </row>
    <row r="569" spans="23:23">
      <c r="W569" t="s">
        <v>2414</v>
      </c>
    </row>
    <row r="570" spans="23:23">
      <c r="W570" t="s">
        <v>3212</v>
      </c>
    </row>
    <row r="571" spans="23:23">
      <c r="W571" t="s">
        <v>3444</v>
      </c>
    </row>
    <row r="572" spans="23:23">
      <c r="W572" t="s">
        <v>2724</v>
      </c>
    </row>
    <row r="573" spans="23:23">
      <c r="W573" t="s">
        <v>2766</v>
      </c>
    </row>
    <row r="574" spans="23:23">
      <c r="W574" t="s">
        <v>2597</v>
      </c>
    </row>
    <row r="575" spans="23:23">
      <c r="W575" t="s">
        <v>1956</v>
      </c>
    </row>
    <row r="576" spans="23:23">
      <c r="W576" t="s">
        <v>2963</v>
      </c>
    </row>
    <row r="577" spans="23:23">
      <c r="W577" t="s">
        <v>3114</v>
      </c>
    </row>
    <row r="578" spans="23:23">
      <c r="W578" t="s">
        <v>2324</v>
      </c>
    </row>
    <row r="579" spans="23:23">
      <c r="W579" t="s">
        <v>2816</v>
      </c>
    </row>
    <row r="580" spans="23:23">
      <c r="W580" t="s">
        <v>3214</v>
      </c>
    </row>
    <row r="581" spans="23:23">
      <c r="W581" t="s">
        <v>1821</v>
      </c>
    </row>
    <row r="582" spans="23:23">
      <c r="W582" t="s">
        <v>2964</v>
      </c>
    </row>
    <row r="583" spans="23:23">
      <c r="W583" t="s">
        <v>3068</v>
      </c>
    </row>
    <row r="584" spans="23:23">
      <c r="W584" t="s">
        <v>2364</v>
      </c>
    </row>
    <row r="585" spans="23:23">
      <c r="W585" t="s">
        <v>3356</v>
      </c>
    </row>
    <row r="586" spans="23:23">
      <c r="W586" t="s">
        <v>2966</v>
      </c>
    </row>
    <row r="587" spans="23:23">
      <c r="W587" t="s">
        <v>4368</v>
      </c>
    </row>
    <row r="588" spans="23:23">
      <c r="W588" t="s">
        <v>2208</v>
      </c>
    </row>
    <row r="589" spans="23:23">
      <c r="W589" t="s">
        <v>4289</v>
      </c>
    </row>
    <row r="590" spans="23:23">
      <c r="W590" t="s">
        <v>4462</v>
      </c>
    </row>
    <row r="591" spans="23:23">
      <c r="W591" t="s">
        <v>4048</v>
      </c>
    </row>
    <row r="592" spans="23:23">
      <c r="W592" t="s">
        <v>3635</v>
      </c>
    </row>
    <row r="593" spans="23:23">
      <c r="W593" t="s">
        <v>1896</v>
      </c>
    </row>
    <row r="594" spans="23:23">
      <c r="W594" t="s">
        <v>1823</v>
      </c>
    </row>
    <row r="595" spans="23:23">
      <c r="W595" t="s">
        <v>2726</v>
      </c>
    </row>
    <row r="596" spans="23:23">
      <c r="W596" t="s">
        <v>3116</v>
      </c>
    </row>
    <row r="597" spans="23:23">
      <c r="W597" t="s">
        <v>2326</v>
      </c>
    </row>
    <row r="598" spans="23:23">
      <c r="W598" t="s">
        <v>2126</v>
      </c>
    </row>
    <row r="599" spans="23:23">
      <c r="W599" t="s">
        <v>2818</v>
      </c>
    </row>
    <row r="600" spans="23:23">
      <c r="W600" t="s">
        <v>1641</v>
      </c>
    </row>
    <row r="601" spans="23:23">
      <c r="W601" t="s">
        <v>2728</v>
      </c>
    </row>
    <row r="602" spans="23:23">
      <c r="W602" t="s">
        <v>2992</v>
      </c>
    </row>
    <row r="603" spans="23:23">
      <c r="W603" t="s">
        <v>2681</v>
      </c>
    </row>
    <row r="604" spans="23:23">
      <c r="W604" t="s">
        <v>3684</v>
      </c>
    </row>
    <row r="605" spans="23:23">
      <c r="W605" t="s">
        <v>3498</v>
      </c>
    </row>
    <row r="606" spans="23:23">
      <c r="W606" t="s">
        <v>4014</v>
      </c>
    </row>
    <row r="607" spans="23:23">
      <c r="W607" t="s">
        <v>3358</v>
      </c>
    </row>
    <row r="608" spans="23:23">
      <c r="W608" t="s">
        <v>2539</v>
      </c>
    </row>
    <row r="609" spans="23:23">
      <c r="W609" t="s">
        <v>2599</v>
      </c>
    </row>
    <row r="610" spans="23:23">
      <c r="W610" t="s">
        <v>2730</v>
      </c>
    </row>
    <row r="611" spans="23:23">
      <c r="W611" t="s">
        <v>2415</v>
      </c>
    </row>
    <row r="612" spans="23:23">
      <c r="W612" t="s">
        <v>2128</v>
      </c>
    </row>
    <row r="613" spans="23:23">
      <c r="W613" t="s">
        <v>1734</v>
      </c>
    </row>
    <row r="614" spans="23:23">
      <c r="W614" t="s">
        <v>2820</v>
      </c>
    </row>
    <row r="615" spans="23:23">
      <c r="W615" t="s">
        <v>4423</v>
      </c>
    </row>
    <row r="616" spans="23:23">
      <c r="W616" t="s">
        <v>3637</v>
      </c>
    </row>
    <row r="617" spans="23:23">
      <c r="W617" t="s">
        <v>2601</v>
      </c>
    </row>
    <row r="618" spans="23:23">
      <c r="W618" t="s">
        <v>3500</v>
      </c>
    </row>
    <row r="619" spans="23:23">
      <c r="W619" t="s">
        <v>1958</v>
      </c>
    </row>
    <row r="620" spans="23:23">
      <c r="W620" t="s">
        <v>1594</v>
      </c>
    </row>
    <row r="621" spans="23:23">
      <c r="W621" t="s">
        <v>3686</v>
      </c>
    </row>
    <row r="622" spans="23:23">
      <c r="W622" t="s">
        <v>2366</v>
      </c>
    </row>
    <row r="623" spans="23:23">
      <c r="W623" t="s">
        <v>4464</v>
      </c>
    </row>
    <row r="624" spans="23:23">
      <c r="W624" t="s">
        <v>1898</v>
      </c>
    </row>
    <row r="625" spans="23:23">
      <c r="W625" t="s">
        <v>2130</v>
      </c>
    </row>
    <row r="626" spans="23:23">
      <c r="W626" t="s">
        <v>4466</v>
      </c>
    </row>
    <row r="627" spans="23:23">
      <c r="W627" t="s">
        <v>2768</v>
      </c>
    </row>
    <row r="628" spans="23:23">
      <c r="W628" t="s">
        <v>2770</v>
      </c>
    </row>
    <row r="629" spans="23:23">
      <c r="W629" t="s">
        <v>1800</v>
      </c>
    </row>
    <row r="630" spans="23:23">
      <c r="W630" t="s">
        <v>3360</v>
      </c>
    </row>
    <row r="631" spans="23:23">
      <c r="W631" t="s">
        <v>2880</v>
      </c>
    </row>
    <row r="632" spans="23:23">
      <c r="W632" t="s">
        <v>4291</v>
      </c>
    </row>
    <row r="633" spans="23:23">
      <c r="W633" t="s">
        <v>4074</v>
      </c>
    </row>
    <row r="634" spans="23:23">
      <c r="W634" t="s">
        <v>1736</v>
      </c>
    </row>
    <row r="635" spans="23:23">
      <c r="W635" t="s">
        <v>2210</v>
      </c>
    </row>
    <row r="636" spans="23:23">
      <c r="W636" t="s">
        <v>2577</v>
      </c>
    </row>
    <row r="637" spans="23:23">
      <c r="W637" t="s">
        <v>3446</v>
      </c>
    </row>
    <row r="638" spans="23:23">
      <c r="W638" t="s">
        <v>2417</v>
      </c>
    </row>
    <row r="639" spans="23:23">
      <c r="W639" t="s">
        <v>2968</v>
      </c>
    </row>
    <row r="640" spans="23:23">
      <c r="W640" t="s">
        <v>4239</v>
      </c>
    </row>
    <row r="641" spans="23:23">
      <c r="W641" t="s">
        <v>3901</v>
      </c>
    </row>
    <row r="642" spans="23:23">
      <c r="W642" t="s">
        <v>1596</v>
      </c>
    </row>
    <row r="643" spans="23:23">
      <c r="W643" t="s">
        <v>2683</v>
      </c>
    </row>
    <row r="644" spans="23:23">
      <c r="W644" t="s">
        <v>1802</v>
      </c>
    </row>
    <row r="645" spans="23:23">
      <c r="W645" t="s">
        <v>2294</v>
      </c>
    </row>
    <row r="646" spans="23:23">
      <c r="W646" t="s">
        <v>2091</v>
      </c>
    </row>
    <row r="647" spans="23:23">
      <c r="W647" t="s">
        <v>2179</v>
      </c>
    </row>
    <row r="648" spans="23:23">
      <c r="W648" t="s">
        <v>1922</v>
      </c>
    </row>
    <row r="649" spans="23:23">
      <c r="W649" t="s">
        <v>3379</v>
      </c>
    </row>
    <row r="650" spans="23:23">
      <c r="W650" t="s">
        <v>2132</v>
      </c>
    </row>
    <row r="651" spans="23:23">
      <c r="W651" t="s">
        <v>4182</v>
      </c>
    </row>
    <row r="652" spans="23:23">
      <c r="W652" t="s">
        <v>4293</v>
      </c>
    </row>
    <row r="653" spans="23:23">
      <c r="W653" t="s">
        <v>1825</v>
      </c>
    </row>
    <row r="654" spans="23:23">
      <c r="W654" t="s">
        <v>2181</v>
      </c>
    </row>
    <row r="655" spans="23:23">
      <c r="W655" t="s">
        <v>4184</v>
      </c>
    </row>
    <row r="656" spans="23:23">
      <c r="W656" t="s">
        <v>3478</v>
      </c>
    </row>
    <row r="657" spans="23:23">
      <c r="W657" t="s">
        <v>4146</v>
      </c>
    </row>
    <row r="658" spans="23:23">
      <c r="W658" t="s">
        <v>4148</v>
      </c>
    </row>
    <row r="659" spans="23:23">
      <c r="W659" t="s">
        <v>2419</v>
      </c>
    </row>
    <row r="660" spans="23:23">
      <c r="W660" t="s">
        <v>2540</v>
      </c>
    </row>
    <row r="661" spans="23:23">
      <c r="W661" t="s">
        <v>2421</v>
      </c>
    </row>
    <row r="662" spans="23:23">
      <c r="W662" t="s">
        <v>4468</v>
      </c>
    </row>
    <row r="663" spans="23:23">
      <c r="W663" t="s">
        <v>4186</v>
      </c>
    </row>
    <row r="664" spans="23:23">
      <c r="W664" t="s">
        <v>1900</v>
      </c>
    </row>
    <row r="665" spans="23:23">
      <c r="W665" t="s">
        <v>1924</v>
      </c>
    </row>
    <row r="666" spans="23:23">
      <c r="W666" t="s">
        <v>3070</v>
      </c>
    </row>
    <row r="667" spans="23:23">
      <c r="W667" t="s">
        <v>2183</v>
      </c>
    </row>
    <row r="668" spans="23:23">
      <c r="W668" t="s">
        <v>3817</v>
      </c>
    </row>
    <row r="669" spans="23:23">
      <c r="W669" t="s">
        <v>2579</v>
      </c>
    </row>
    <row r="670" spans="23:23">
      <c r="W670" t="s">
        <v>2212</v>
      </c>
    </row>
    <row r="671" spans="23:23">
      <c r="W671" t="s">
        <v>2296</v>
      </c>
    </row>
    <row r="672" spans="23:23">
      <c r="W672" t="s">
        <v>2298</v>
      </c>
    </row>
    <row r="673" spans="23:23">
      <c r="W673" t="s">
        <v>4050</v>
      </c>
    </row>
    <row r="674" spans="23:23">
      <c r="W674" t="s">
        <v>3903</v>
      </c>
    </row>
    <row r="675" spans="23:23">
      <c r="W675" t="s">
        <v>2970</v>
      </c>
    </row>
    <row r="676" spans="23:23">
      <c r="W676" t="s">
        <v>4052</v>
      </c>
    </row>
    <row r="677" spans="23:23">
      <c r="W677" t="s">
        <v>2835</v>
      </c>
    </row>
    <row r="678" spans="23:23">
      <c r="W678" t="s">
        <v>2994</v>
      </c>
    </row>
    <row r="679" spans="23:23">
      <c r="W679" t="s">
        <v>2328</v>
      </c>
    </row>
    <row r="680" spans="23:23">
      <c r="W680" t="s">
        <v>1643</v>
      </c>
    </row>
    <row r="681" spans="23:23">
      <c r="W681" t="s">
        <v>3381</v>
      </c>
    </row>
    <row r="682" spans="23:23">
      <c r="W682" t="s">
        <v>3168</v>
      </c>
    </row>
    <row r="683" spans="23:23">
      <c r="W683" t="s">
        <v>3592</v>
      </c>
    </row>
    <row r="684" spans="23:23">
      <c r="W684" t="s">
        <v>1539</v>
      </c>
    </row>
    <row r="685" spans="23:23">
      <c r="W685" t="s">
        <v>3785</v>
      </c>
    </row>
    <row r="686" spans="23:23">
      <c r="W686" t="s">
        <v>2214</v>
      </c>
    </row>
    <row r="687" spans="23:23">
      <c r="W687" t="s">
        <v>2330</v>
      </c>
    </row>
    <row r="688" spans="23:23">
      <c r="W688" t="s">
        <v>4370</v>
      </c>
    </row>
    <row r="689" spans="23:23">
      <c r="W689" t="s">
        <v>3273</v>
      </c>
    </row>
    <row r="690" spans="23:23">
      <c r="W690" t="s">
        <v>1738</v>
      </c>
    </row>
    <row r="691" spans="23:23">
      <c r="W691" t="s">
        <v>2134</v>
      </c>
    </row>
    <row r="692" spans="23:23">
      <c r="W692" t="s">
        <v>2135</v>
      </c>
    </row>
    <row r="693" spans="23:23">
      <c r="W693" t="s">
        <v>2367</v>
      </c>
    </row>
    <row r="694" spans="23:23">
      <c r="W694" t="s">
        <v>3170</v>
      </c>
    </row>
    <row r="695" spans="23:23">
      <c r="W695" t="s">
        <v>2603</v>
      </c>
    </row>
    <row r="696" spans="23:23">
      <c r="W696" t="s">
        <v>2930</v>
      </c>
    </row>
    <row r="697" spans="23:23">
      <c r="W697" t="s">
        <v>3905</v>
      </c>
    </row>
    <row r="698" spans="23:23">
      <c r="W698" t="s">
        <v>4150</v>
      </c>
    </row>
    <row r="699" spans="23:23">
      <c r="W699" t="s">
        <v>3118</v>
      </c>
    </row>
    <row r="700" spans="23:23">
      <c r="W700" t="s">
        <v>2837</v>
      </c>
    </row>
    <row r="701" spans="23:23">
      <c r="W701" t="s">
        <v>2996</v>
      </c>
    </row>
    <row r="702" spans="23:23">
      <c r="W702" t="s">
        <v>2423</v>
      </c>
    </row>
    <row r="703" spans="23:23">
      <c r="W703" t="s">
        <v>4016</v>
      </c>
    </row>
    <row r="704" spans="23:23">
      <c r="W704" t="s">
        <v>2332</v>
      </c>
    </row>
    <row r="705" spans="23:23">
      <c r="W705" t="s">
        <v>1645</v>
      </c>
    </row>
    <row r="706" spans="23:23">
      <c r="W706" t="s">
        <v>4241</v>
      </c>
    </row>
    <row r="707" spans="23:23">
      <c r="W707" t="s">
        <v>1665</v>
      </c>
    </row>
    <row r="708" spans="23:23">
      <c r="W708" t="s">
        <v>4152</v>
      </c>
    </row>
    <row r="709" spans="23:23">
      <c r="W709" t="s">
        <v>4154</v>
      </c>
    </row>
    <row r="710" spans="23:23">
      <c r="W710" t="s">
        <v>1647</v>
      </c>
    </row>
    <row r="711" spans="23:23">
      <c r="W711" t="s">
        <v>4295</v>
      </c>
    </row>
    <row r="712" spans="23:23">
      <c r="W712" t="s">
        <v>1926</v>
      </c>
    </row>
    <row r="713" spans="23:23">
      <c r="W713" t="s">
        <v>1667</v>
      </c>
    </row>
    <row r="714" spans="23:23">
      <c r="W714" t="s">
        <v>3274</v>
      </c>
    </row>
    <row r="715" spans="23:23">
      <c r="W715" t="s">
        <v>1763</v>
      </c>
    </row>
    <row r="716" spans="23:23">
      <c r="W716" t="s">
        <v>1902</v>
      </c>
    </row>
    <row r="717" spans="23:23">
      <c r="W717" t="s">
        <v>2027</v>
      </c>
    </row>
    <row r="718" spans="23:23">
      <c r="W718" t="s">
        <v>2424</v>
      </c>
    </row>
    <row r="719" spans="23:23">
      <c r="W719" t="s">
        <v>2215</v>
      </c>
    </row>
    <row r="720" spans="23:23">
      <c r="W720" t="s">
        <v>3024</v>
      </c>
    </row>
    <row r="721" spans="23:23">
      <c r="W721" t="s">
        <v>2502</v>
      </c>
    </row>
    <row r="722" spans="23:23">
      <c r="W722" t="s">
        <v>3907</v>
      </c>
    </row>
    <row r="723" spans="23:23">
      <c r="W723" t="s">
        <v>4372</v>
      </c>
    </row>
    <row r="724" spans="23:23">
      <c r="W724" t="s">
        <v>3383</v>
      </c>
    </row>
    <row r="725" spans="23:23">
      <c r="W725" t="s">
        <v>3026</v>
      </c>
    </row>
    <row r="726" spans="23:23">
      <c r="W726" t="s">
        <v>3975</v>
      </c>
    </row>
    <row r="727" spans="23:23">
      <c r="W727" t="s">
        <v>2504</v>
      </c>
    </row>
    <row r="728" spans="23:23">
      <c r="W728" t="s">
        <v>1649</v>
      </c>
    </row>
    <row r="729" spans="23:23">
      <c r="W729" t="s">
        <v>3171</v>
      </c>
    </row>
    <row r="730" spans="23:23">
      <c r="W730" t="s">
        <v>2136</v>
      </c>
    </row>
    <row r="731" spans="23:23">
      <c r="W731" t="s">
        <v>2217</v>
      </c>
    </row>
    <row r="732" spans="23:23">
      <c r="W732" t="s">
        <v>3448</v>
      </c>
    </row>
    <row r="733" spans="23:23">
      <c r="W733" t="s">
        <v>1849</v>
      </c>
    </row>
    <row r="734" spans="23:23">
      <c r="W734" t="s">
        <v>4093</v>
      </c>
    </row>
    <row r="735" spans="23:23">
      <c r="W735" t="s">
        <v>4018</v>
      </c>
    </row>
    <row r="736" spans="23:23">
      <c r="W736" t="s">
        <v>2426</v>
      </c>
    </row>
    <row r="737" spans="23:23">
      <c r="W737" t="s">
        <v>2997</v>
      </c>
    </row>
    <row r="738" spans="23:23">
      <c r="W738" t="s">
        <v>2506</v>
      </c>
    </row>
    <row r="739" spans="23:23">
      <c r="W739" t="s">
        <v>2772</v>
      </c>
    </row>
    <row r="740" spans="23:23">
      <c r="W740" t="s">
        <v>1739</v>
      </c>
    </row>
    <row r="741" spans="23:23">
      <c r="W741" t="s">
        <v>1827</v>
      </c>
    </row>
    <row r="742" spans="23:23">
      <c r="W742" t="s">
        <v>4425</v>
      </c>
    </row>
    <row r="743" spans="23:23">
      <c r="W743" t="s">
        <v>2774</v>
      </c>
    </row>
    <row r="744" spans="23:23">
      <c r="W744" t="s">
        <v>2369</v>
      </c>
    </row>
    <row r="745" spans="23:23">
      <c r="W745" t="s">
        <v>2638</v>
      </c>
    </row>
    <row r="746" spans="23:23">
      <c r="W746" t="s">
        <v>1651</v>
      </c>
    </row>
    <row r="747" spans="23:23">
      <c r="W747" t="s">
        <v>3734</v>
      </c>
    </row>
    <row r="748" spans="23:23">
      <c r="W748" t="s">
        <v>1960</v>
      </c>
    </row>
    <row r="749" spans="23:23">
      <c r="W749" t="s">
        <v>2999</v>
      </c>
    </row>
    <row r="750" spans="23:23">
      <c r="W750" t="s">
        <v>4095</v>
      </c>
    </row>
    <row r="751" spans="23:23">
      <c r="W751" t="s">
        <v>4374</v>
      </c>
    </row>
    <row r="752" spans="23:23">
      <c r="W752" t="s">
        <v>3072</v>
      </c>
    </row>
    <row r="753" spans="23:23">
      <c r="W753" t="s">
        <v>4020</v>
      </c>
    </row>
    <row r="754" spans="23:23">
      <c r="W754" t="s">
        <v>3639</v>
      </c>
    </row>
    <row r="755" spans="23:23">
      <c r="W755" t="s">
        <v>1904</v>
      </c>
    </row>
    <row r="756" spans="23:23">
      <c r="W756" t="s">
        <v>4021</v>
      </c>
    </row>
    <row r="757" spans="23:23">
      <c r="W757" t="s">
        <v>2029</v>
      </c>
    </row>
    <row r="758" spans="23:23">
      <c r="W758" t="s">
        <v>2138</v>
      </c>
    </row>
    <row r="759" spans="23:23">
      <c r="W759" t="s">
        <v>2508</v>
      </c>
    </row>
    <row r="760" spans="23:23">
      <c r="W760" t="s">
        <v>2542</v>
      </c>
    </row>
    <row r="761" spans="23:23">
      <c r="W761" t="s">
        <v>3528</v>
      </c>
    </row>
    <row r="762" spans="23:23">
      <c r="W762" t="s">
        <v>4156</v>
      </c>
    </row>
    <row r="763" spans="23:23">
      <c r="W763" t="s">
        <v>2882</v>
      </c>
    </row>
    <row r="764" spans="23:23">
      <c r="W764" t="s">
        <v>2776</v>
      </c>
    </row>
    <row r="765" spans="23:23">
      <c r="W765" t="s">
        <v>4297</v>
      </c>
    </row>
    <row r="766" spans="23:23">
      <c r="W766" t="s">
        <v>3306</v>
      </c>
    </row>
    <row r="767" spans="23:23">
      <c r="W767" t="s">
        <v>2461</v>
      </c>
    </row>
    <row r="768" spans="23:23">
      <c r="W768" t="s">
        <v>3074</v>
      </c>
    </row>
    <row r="769" spans="23:23">
      <c r="W769" t="s">
        <v>1668</v>
      </c>
    </row>
    <row r="770" spans="23:23">
      <c r="W770" t="s">
        <v>3926</v>
      </c>
    </row>
    <row r="771" spans="23:23">
      <c r="W771" t="s">
        <v>2140</v>
      </c>
    </row>
    <row r="772" spans="23:23">
      <c r="W772" t="s">
        <v>1653</v>
      </c>
    </row>
    <row r="773" spans="23:23">
      <c r="W773" t="s">
        <v>2544</v>
      </c>
    </row>
    <row r="774" spans="23:23">
      <c r="W774" t="s">
        <v>4157</v>
      </c>
    </row>
    <row r="775" spans="23:23">
      <c r="W775" t="s">
        <v>2545</v>
      </c>
    </row>
    <row r="776" spans="23:23">
      <c r="W776" t="s">
        <v>2257</v>
      </c>
    </row>
    <row r="777" spans="23:23">
      <c r="W777" t="s">
        <v>4097</v>
      </c>
    </row>
    <row r="778" spans="23:23">
      <c r="W778" t="s">
        <v>1851</v>
      </c>
    </row>
    <row r="779" spans="23:23">
      <c r="W779" t="s">
        <v>3276</v>
      </c>
    </row>
    <row r="780" spans="23:23">
      <c r="W780" t="s">
        <v>3216</v>
      </c>
    </row>
    <row r="781" spans="23:23">
      <c r="W781" t="s">
        <v>1454</v>
      </c>
    </row>
    <row r="782" spans="23:23">
      <c r="W782" t="s">
        <v>3450</v>
      </c>
    </row>
    <row r="783" spans="23:23">
      <c r="W783" t="s">
        <v>1829</v>
      </c>
    </row>
    <row r="784" spans="23:23">
      <c r="W784" t="s">
        <v>2031</v>
      </c>
    </row>
    <row r="785" spans="23:23">
      <c r="W785" t="s">
        <v>3713</v>
      </c>
    </row>
    <row r="786" spans="23:23">
      <c r="W786" t="s">
        <v>2685</v>
      </c>
    </row>
    <row r="787" spans="23:23">
      <c r="W787" t="s">
        <v>2219</v>
      </c>
    </row>
    <row r="788" spans="23:23">
      <c r="W788" t="s">
        <v>2093</v>
      </c>
    </row>
    <row r="789" spans="23:23">
      <c r="W789" t="s">
        <v>3977</v>
      </c>
    </row>
    <row r="790" spans="23:23">
      <c r="W790" t="s">
        <v>4099</v>
      </c>
    </row>
    <row r="791" spans="23:23">
      <c r="W791" t="s">
        <v>4243</v>
      </c>
    </row>
    <row r="792" spans="23:23">
      <c r="W792" t="s">
        <v>1741</v>
      </c>
    </row>
    <row r="793" spans="23:23">
      <c r="W793" t="s">
        <v>3385</v>
      </c>
    </row>
    <row r="794" spans="23:23">
      <c r="W794" t="s">
        <v>3928</v>
      </c>
    </row>
    <row r="795" spans="23:23">
      <c r="W795" t="s">
        <v>1669</v>
      </c>
    </row>
    <row r="796" spans="23:23">
      <c r="W796" t="s">
        <v>4376</v>
      </c>
    </row>
    <row r="797" spans="23:23">
      <c r="W797" t="s">
        <v>2428</v>
      </c>
    </row>
    <row r="798" spans="23:23">
      <c r="W798" t="s">
        <v>2884</v>
      </c>
    </row>
    <row r="799" spans="23:23">
      <c r="W799" t="s">
        <v>3173</v>
      </c>
    </row>
    <row r="800" spans="23:23">
      <c r="W800" t="s">
        <v>1541</v>
      </c>
    </row>
    <row r="801" spans="23:23">
      <c r="W801" t="s">
        <v>4378</v>
      </c>
    </row>
    <row r="802" spans="23:23">
      <c r="W802" t="s">
        <v>4380</v>
      </c>
    </row>
    <row r="803" spans="23:23">
      <c r="W803" t="s">
        <v>2003</v>
      </c>
    </row>
    <row r="804" spans="23:23">
      <c r="W804" t="s">
        <v>3307</v>
      </c>
    </row>
    <row r="805" spans="23:23">
      <c r="W805" t="s">
        <v>2686</v>
      </c>
    </row>
    <row r="806" spans="23:23">
      <c r="W806" t="s">
        <v>3308</v>
      </c>
    </row>
    <row r="807" spans="23:23">
      <c r="W807" t="s">
        <v>4158</v>
      </c>
    </row>
    <row r="808" spans="23:23">
      <c r="W808" t="s">
        <v>3529</v>
      </c>
    </row>
    <row r="809" spans="23:23">
      <c r="W809" t="s">
        <v>3175</v>
      </c>
    </row>
    <row r="810" spans="23:23">
      <c r="W810" t="s">
        <v>3553</v>
      </c>
    </row>
    <row r="811" spans="23:23">
      <c r="W811" t="s">
        <v>1853</v>
      </c>
    </row>
    <row r="812" spans="23:23">
      <c r="W812" t="s">
        <v>3978</v>
      </c>
    </row>
    <row r="813" spans="23:23">
      <c r="W813" t="s">
        <v>1962</v>
      </c>
    </row>
    <row r="814" spans="23:23">
      <c r="W814" t="s">
        <v>3076</v>
      </c>
    </row>
    <row r="815" spans="23:23">
      <c r="W815" t="s">
        <v>2220</v>
      </c>
    </row>
    <row r="816" spans="23:23">
      <c r="W816" t="s">
        <v>3225</v>
      </c>
    </row>
    <row r="817" spans="23:23">
      <c r="W817" t="s">
        <v>3278</v>
      </c>
    </row>
    <row r="818" spans="23:23">
      <c r="W818" t="s">
        <v>2142</v>
      </c>
    </row>
    <row r="819" spans="23:23">
      <c r="W819" t="s">
        <v>2005</v>
      </c>
    </row>
    <row r="820" spans="23:23">
      <c r="W820" t="s">
        <v>3001</v>
      </c>
    </row>
    <row r="821" spans="23:23">
      <c r="W821" t="s">
        <v>3310</v>
      </c>
    </row>
    <row r="822" spans="23:23">
      <c r="W822" t="s">
        <v>3386</v>
      </c>
    </row>
    <row r="823" spans="23:23">
      <c r="W823" t="s">
        <v>3856</v>
      </c>
    </row>
    <row r="824" spans="23:23">
      <c r="W824" t="s">
        <v>2007</v>
      </c>
    </row>
    <row r="825" spans="23:23">
      <c r="W825" t="s">
        <v>3028</v>
      </c>
    </row>
    <row r="826" spans="23:23">
      <c r="W826" t="s">
        <v>3177</v>
      </c>
    </row>
    <row r="827" spans="23:23">
      <c r="W827" t="s">
        <v>1456</v>
      </c>
    </row>
    <row r="828" spans="23:23">
      <c r="W828" t="s">
        <v>2430</v>
      </c>
    </row>
    <row r="829" spans="23:23">
      <c r="W829" t="s">
        <v>1831</v>
      </c>
    </row>
    <row r="830" spans="23:23">
      <c r="W830" t="s">
        <v>4314</v>
      </c>
    </row>
    <row r="831" spans="23:23">
      <c r="W831" t="s">
        <v>3405</v>
      </c>
    </row>
    <row r="832" spans="23:23">
      <c r="W832" t="s">
        <v>3555</v>
      </c>
    </row>
    <row r="833" spans="23:23">
      <c r="W833" t="s">
        <v>3030</v>
      </c>
    </row>
    <row r="834" spans="23:23">
      <c r="W834" t="s">
        <v>2222</v>
      </c>
    </row>
    <row r="835" spans="23:23">
      <c r="W835" t="s">
        <v>2822</v>
      </c>
    </row>
    <row r="836" spans="23:23">
      <c r="W836" t="s">
        <v>4160</v>
      </c>
    </row>
    <row r="837" spans="23:23">
      <c r="W837" t="s">
        <v>4427</v>
      </c>
    </row>
    <row r="838" spans="23:23">
      <c r="W838" t="s">
        <v>2094</v>
      </c>
    </row>
    <row r="839" spans="23:23">
      <c r="W839" t="s">
        <v>4298</v>
      </c>
    </row>
    <row r="840" spans="23:23">
      <c r="W840" t="s">
        <v>2432</v>
      </c>
    </row>
    <row r="841" spans="23:23">
      <c r="W841" t="s">
        <v>3736</v>
      </c>
    </row>
    <row r="842" spans="23:23">
      <c r="W842" t="s">
        <v>2605</v>
      </c>
    </row>
    <row r="843" spans="23:23">
      <c r="W843" t="s">
        <v>2032</v>
      </c>
    </row>
    <row r="844" spans="23:23">
      <c r="W844" t="s">
        <v>2009</v>
      </c>
    </row>
    <row r="845" spans="23:23">
      <c r="W845" t="s">
        <v>3594</v>
      </c>
    </row>
    <row r="846" spans="23:23">
      <c r="W846" t="s">
        <v>3280</v>
      </c>
    </row>
    <row r="847" spans="23:23">
      <c r="W847" t="s">
        <v>3452</v>
      </c>
    </row>
    <row r="848" spans="23:23">
      <c r="W848" t="s">
        <v>3032</v>
      </c>
    </row>
    <row r="849" spans="23:23">
      <c r="W849" t="s">
        <v>3227</v>
      </c>
    </row>
    <row r="850" spans="23:23">
      <c r="W850" t="s">
        <v>4100</v>
      </c>
    </row>
    <row r="851" spans="23:23">
      <c r="W851" t="s">
        <v>2886</v>
      </c>
    </row>
    <row r="852" spans="23:23">
      <c r="W852" t="s">
        <v>4101</v>
      </c>
    </row>
    <row r="853" spans="23:23">
      <c r="W853" t="s">
        <v>3078</v>
      </c>
    </row>
    <row r="854" spans="23:23">
      <c r="W854" t="s">
        <v>3531</v>
      </c>
    </row>
    <row r="855" spans="23:23">
      <c r="W855" t="s">
        <v>2034</v>
      </c>
    </row>
    <row r="856" spans="23:23">
      <c r="W856" t="s">
        <v>1765</v>
      </c>
    </row>
    <row r="857" spans="23:23">
      <c r="W857" t="s">
        <v>4316</v>
      </c>
    </row>
    <row r="858" spans="23:23">
      <c r="W858" t="s">
        <v>1458</v>
      </c>
    </row>
    <row r="859" spans="23:23">
      <c r="W859" t="s">
        <v>1833</v>
      </c>
    </row>
    <row r="860" spans="23:23">
      <c r="W860" t="s">
        <v>1671</v>
      </c>
    </row>
    <row r="861" spans="23:23">
      <c r="W861" t="s">
        <v>3557</v>
      </c>
    </row>
    <row r="862" spans="23:23">
      <c r="W862" t="s">
        <v>1767</v>
      </c>
    </row>
    <row r="863" spans="23:23">
      <c r="W863" t="s">
        <v>2824</v>
      </c>
    </row>
    <row r="864" spans="23:23">
      <c r="W864" t="s">
        <v>3454</v>
      </c>
    </row>
    <row r="865" spans="23:23">
      <c r="W865" t="s">
        <v>3388</v>
      </c>
    </row>
    <row r="866" spans="23:23">
      <c r="W866" t="s">
        <v>3456</v>
      </c>
    </row>
    <row r="867" spans="23:23">
      <c r="W867" t="s">
        <v>3458</v>
      </c>
    </row>
    <row r="868" spans="23:23">
      <c r="W868" t="s">
        <v>1543</v>
      </c>
    </row>
    <row r="869" spans="23:23">
      <c r="W869" t="s">
        <v>3532</v>
      </c>
    </row>
    <row r="870" spans="23:23">
      <c r="W870" t="s">
        <v>3218</v>
      </c>
    </row>
    <row r="871" spans="23:23">
      <c r="W871" t="s">
        <v>1743</v>
      </c>
    </row>
    <row r="872" spans="23:23">
      <c r="W872" t="s">
        <v>3179</v>
      </c>
    </row>
    <row r="873" spans="23:23">
      <c r="W873" t="s">
        <v>3909</v>
      </c>
    </row>
    <row r="874" spans="23:23">
      <c r="W874" t="s">
        <v>3003</v>
      </c>
    </row>
    <row r="875" spans="23:23">
      <c r="W875" t="s">
        <v>3034</v>
      </c>
    </row>
    <row r="876" spans="23:23">
      <c r="W876" t="s">
        <v>2300</v>
      </c>
    </row>
    <row r="877" spans="23:23">
      <c r="W877" t="s">
        <v>3282</v>
      </c>
    </row>
    <row r="878" spans="23:23">
      <c r="W878" t="s">
        <v>1673</v>
      </c>
    </row>
    <row r="879" spans="23:23">
      <c r="W879" t="s">
        <v>3460</v>
      </c>
    </row>
    <row r="880" spans="23:23">
      <c r="W880" t="s">
        <v>3786</v>
      </c>
    </row>
    <row r="881" spans="23:23">
      <c r="W881" t="s">
        <v>4382</v>
      </c>
    </row>
    <row r="882" spans="23:23">
      <c r="W882" t="s">
        <v>2036</v>
      </c>
    </row>
    <row r="883" spans="23:23">
      <c r="W883" t="s">
        <v>3462</v>
      </c>
    </row>
    <row r="884" spans="23:23">
      <c r="W884" t="s">
        <v>2888</v>
      </c>
    </row>
    <row r="885" spans="23:23">
      <c r="W885" t="s">
        <v>2688</v>
      </c>
    </row>
    <row r="886" spans="23:23">
      <c r="W886" t="s">
        <v>4023</v>
      </c>
    </row>
    <row r="887" spans="23:23">
      <c r="W887" t="s">
        <v>3641</v>
      </c>
    </row>
    <row r="888" spans="23:23">
      <c r="W888" t="s">
        <v>4429</v>
      </c>
    </row>
    <row r="889" spans="23:23">
      <c r="W889" t="s">
        <v>3559</v>
      </c>
    </row>
    <row r="890" spans="23:23">
      <c r="W890" t="s">
        <v>3738</v>
      </c>
    </row>
    <row r="891" spans="23:23">
      <c r="W891" t="s">
        <v>3312</v>
      </c>
    </row>
    <row r="892" spans="23:23">
      <c r="W892" t="s">
        <v>2302</v>
      </c>
    </row>
    <row r="893" spans="23:23">
      <c r="W893" t="s">
        <v>3642</v>
      </c>
    </row>
    <row r="894" spans="23:23">
      <c r="W894" t="s">
        <v>1545</v>
      </c>
    </row>
    <row r="895" spans="23:23">
      <c r="W895" t="s">
        <v>1460</v>
      </c>
    </row>
    <row r="896" spans="23:23">
      <c r="W896" t="s">
        <v>1487</v>
      </c>
    </row>
    <row r="897" spans="23:23">
      <c r="W897" t="s">
        <v>1675</v>
      </c>
    </row>
    <row r="898" spans="23:23">
      <c r="W898" t="s">
        <v>1677</v>
      </c>
    </row>
    <row r="899" spans="23:23">
      <c r="W899" t="s">
        <v>4431</v>
      </c>
    </row>
    <row r="900" spans="23:23">
      <c r="W900" t="s">
        <v>1679</v>
      </c>
    </row>
    <row r="901" spans="23:23">
      <c r="W901" t="s">
        <v>3407</v>
      </c>
    </row>
    <row r="902" spans="23:23">
      <c r="W902" t="s">
        <v>4162</v>
      </c>
    </row>
    <row r="903" spans="23:23">
      <c r="W903" t="s">
        <v>2890</v>
      </c>
    </row>
    <row r="904" spans="23:23">
      <c r="W904" t="s">
        <v>2011</v>
      </c>
    </row>
    <row r="905" spans="23:23">
      <c r="W905" t="s">
        <v>4383</v>
      </c>
    </row>
    <row r="906" spans="23:23">
      <c r="W906" t="s">
        <v>1681</v>
      </c>
    </row>
    <row r="907" spans="23:23">
      <c r="W907" t="s">
        <v>2690</v>
      </c>
    </row>
    <row r="908" spans="23:23">
      <c r="W908" t="s">
        <v>3219</v>
      </c>
    </row>
    <row r="909" spans="23:23">
      <c r="W909" t="s">
        <v>4164</v>
      </c>
    </row>
    <row r="910" spans="23:23">
      <c r="W910" t="s">
        <v>2144</v>
      </c>
    </row>
    <row r="911" spans="23:23">
      <c r="W911" t="s">
        <v>4102</v>
      </c>
    </row>
    <row r="912" spans="23:23">
      <c r="W912" t="s">
        <v>2146</v>
      </c>
    </row>
    <row r="913" spans="23:23">
      <c r="W913" t="s">
        <v>2607</v>
      </c>
    </row>
    <row r="914" spans="23:23">
      <c r="W914" t="s">
        <v>1547</v>
      </c>
    </row>
    <row r="915" spans="23:23">
      <c r="W915" t="s">
        <v>1683</v>
      </c>
    </row>
    <row r="916" spans="23:23">
      <c r="W916" t="s">
        <v>3644</v>
      </c>
    </row>
    <row r="917" spans="23:23">
      <c r="W917" t="s">
        <v>1769</v>
      </c>
    </row>
    <row r="918" spans="23:23">
      <c r="W918" t="s">
        <v>2038</v>
      </c>
    </row>
    <row r="919" spans="23:23">
      <c r="W919" t="s">
        <v>1598</v>
      </c>
    </row>
    <row r="920" spans="23:23">
      <c r="W920" t="s">
        <v>3715</v>
      </c>
    </row>
    <row r="921" spans="23:23">
      <c r="W921" t="s">
        <v>3035</v>
      </c>
    </row>
    <row r="922" spans="23:23">
      <c r="W922" t="s">
        <v>2040</v>
      </c>
    </row>
    <row r="923" spans="23:23">
      <c r="W923" t="s">
        <v>3180</v>
      </c>
    </row>
    <row r="924" spans="23:23">
      <c r="W924" t="s">
        <v>2224</v>
      </c>
    </row>
    <row r="925" spans="23:23">
      <c r="W925" t="s">
        <v>3314</v>
      </c>
    </row>
    <row r="926" spans="23:23">
      <c r="W926" t="s">
        <v>1855</v>
      </c>
    </row>
    <row r="927" spans="23:23">
      <c r="W927" t="s">
        <v>2434</v>
      </c>
    </row>
    <row r="928" spans="23:23">
      <c r="W928" t="s">
        <v>4300</v>
      </c>
    </row>
    <row r="929" spans="23:23">
      <c r="W929" t="s">
        <v>2778</v>
      </c>
    </row>
    <row r="930" spans="23:23">
      <c r="W930" t="s">
        <v>2826</v>
      </c>
    </row>
    <row r="931" spans="23:23">
      <c r="W931" t="s">
        <v>2259</v>
      </c>
    </row>
    <row r="932" spans="23:23">
      <c r="W932" t="s">
        <v>3037</v>
      </c>
    </row>
    <row r="933" spans="23:23">
      <c r="W933" t="s">
        <v>2371</v>
      </c>
    </row>
    <row r="934" spans="23:23">
      <c r="W934" t="s">
        <v>1685</v>
      </c>
    </row>
    <row r="935" spans="23:23">
      <c r="W935" t="s">
        <v>2510</v>
      </c>
    </row>
    <row r="936" spans="23:23">
      <c r="W936" t="s">
        <v>2096</v>
      </c>
    </row>
    <row r="937" spans="23:23">
      <c r="W937" t="s">
        <v>2780</v>
      </c>
    </row>
    <row r="938" spans="23:23">
      <c r="W938" t="s">
        <v>3788</v>
      </c>
    </row>
    <row r="939" spans="23:23">
      <c r="W939" t="s">
        <v>1462</v>
      </c>
    </row>
    <row r="940" spans="23:23">
      <c r="W940" t="s">
        <v>1750</v>
      </c>
    </row>
    <row r="941" spans="23:23">
      <c r="W941" t="s">
        <v>2147</v>
      </c>
    </row>
    <row r="942" spans="23:23">
      <c r="W942" t="s">
        <v>2908</v>
      </c>
    </row>
    <row r="943" spans="23:23">
      <c r="W943" t="s">
        <v>3858</v>
      </c>
    </row>
    <row r="944" spans="23:23">
      <c r="W944" t="s">
        <v>2640</v>
      </c>
    </row>
    <row r="945" spans="23:23">
      <c r="W945" t="s">
        <v>4302</v>
      </c>
    </row>
    <row r="946" spans="23:23">
      <c r="W946" t="s">
        <v>3409</v>
      </c>
    </row>
    <row r="947" spans="23:23">
      <c r="W947" t="s">
        <v>3182</v>
      </c>
    </row>
    <row r="948" spans="23:23">
      <c r="W948" t="s">
        <v>3534</v>
      </c>
    </row>
    <row r="949" spans="23:23">
      <c r="W949" t="s">
        <v>3717</v>
      </c>
    </row>
    <row r="950" spans="23:23">
      <c r="W950" t="s">
        <v>3411</v>
      </c>
    </row>
    <row r="951" spans="23:23">
      <c r="W951" t="s">
        <v>2149</v>
      </c>
    </row>
    <row r="952" spans="23:23">
      <c r="W952" t="s">
        <v>3221</v>
      </c>
    </row>
    <row r="953" spans="23:23">
      <c r="W953" t="s">
        <v>3992</v>
      </c>
    </row>
    <row r="954" spans="23:23">
      <c r="W954" t="s">
        <v>3004</v>
      </c>
    </row>
    <row r="955" spans="23:23">
      <c r="W955" t="s">
        <v>2524</v>
      </c>
    </row>
    <row r="956" spans="23:23">
      <c r="W956" t="s">
        <v>2839</v>
      </c>
    </row>
    <row r="957" spans="23:23">
      <c r="W957" t="s">
        <v>1655</v>
      </c>
    </row>
    <row r="958" spans="23:23">
      <c r="W958" t="s">
        <v>1657</v>
      </c>
    </row>
    <row r="959" spans="23:23">
      <c r="W959" t="s">
        <v>2463</v>
      </c>
    </row>
    <row r="960" spans="23:23">
      <c r="W960" t="s">
        <v>2261</v>
      </c>
    </row>
    <row r="961" spans="23:23">
      <c r="W961" t="s">
        <v>4166</v>
      </c>
    </row>
    <row r="962" spans="23:23">
      <c r="W962" t="s">
        <v>2910</v>
      </c>
    </row>
    <row r="963" spans="23:23">
      <c r="W963" t="s">
        <v>1906</v>
      </c>
    </row>
    <row r="964" spans="23:23">
      <c r="W964" t="s">
        <v>3006</v>
      </c>
    </row>
    <row r="965" spans="23:23">
      <c r="W965" t="s">
        <v>3790</v>
      </c>
    </row>
    <row r="966" spans="23:23">
      <c r="W966" t="s">
        <v>3536</v>
      </c>
    </row>
    <row r="967" spans="23:23">
      <c r="W967" t="s">
        <v>1835</v>
      </c>
    </row>
    <row r="968" spans="23:23">
      <c r="W968" t="s">
        <v>2108</v>
      </c>
    </row>
    <row r="969" spans="23:23">
      <c r="W969" t="s">
        <v>2841</v>
      </c>
    </row>
    <row r="970" spans="23:23">
      <c r="W970" t="s">
        <v>3390</v>
      </c>
    </row>
    <row r="971" spans="23:23">
      <c r="W971" t="s">
        <v>3719</v>
      </c>
    </row>
    <row r="972" spans="23:23">
      <c r="W972" t="s">
        <v>2304</v>
      </c>
    </row>
    <row r="973" spans="23:23">
      <c r="W973" t="s">
        <v>1464</v>
      </c>
    </row>
    <row r="974" spans="23:23">
      <c r="W974" t="s">
        <v>1964</v>
      </c>
    </row>
    <row r="975" spans="23:23">
      <c r="W975" t="s">
        <v>2110</v>
      </c>
    </row>
    <row r="976" spans="23:23">
      <c r="W976" t="s">
        <v>2608</v>
      </c>
    </row>
    <row r="977" spans="23:23">
      <c r="W977" t="s">
        <v>3228</v>
      </c>
    </row>
    <row r="978" spans="23:23">
      <c r="W978" t="s">
        <v>3560</v>
      </c>
    </row>
    <row r="979" spans="23:23">
      <c r="W979" t="s">
        <v>3538</v>
      </c>
    </row>
    <row r="980" spans="23:23">
      <c r="W980" t="s">
        <v>1489</v>
      </c>
    </row>
    <row r="981" spans="23:23">
      <c r="W981" t="s">
        <v>3792</v>
      </c>
    </row>
    <row r="982" spans="23:23">
      <c r="W982" t="s">
        <v>2151</v>
      </c>
    </row>
    <row r="983" spans="23:23">
      <c r="W983" t="s">
        <v>1752</v>
      </c>
    </row>
    <row r="984" spans="23:23">
      <c r="W984" t="s">
        <v>2782</v>
      </c>
    </row>
    <row r="985" spans="23:23">
      <c r="W985" t="s">
        <v>3604</v>
      </c>
    </row>
    <row r="986" spans="23:23">
      <c r="W986" t="s">
        <v>2373</v>
      </c>
    </row>
    <row r="987" spans="23:23">
      <c r="W987" t="s">
        <v>1687</v>
      </c>
    </row>
    <row r="988" spans="23:23">
      <c r="W988" t="s">
        <v>4318</v>
      </c>
    </row>
    <row r="989" spans="23:23">
      <c r="W989" t="s">
        <v>3540</v>
      </c>
    </row>
    <row r="990" spans="23:23">
      <c r="W990" t="s">
        <v>2436</v>
      </c>
    </row>
    <row r="991" spans="23:23">
      <c r="W991" t="s">
        <v>2013</v>
      </c>
    </row>
    <row r="992" spans="23:23">
      <c r="W992" t="s">
        <v>1857</v>
      </c>
    </row>
    <row r="993" spans="23:23">
      <c r="W993" t="s">
        <v>3080</v>
      </c>
    </row>
    <row r="994" spans="23:23">
      <c r="W994" t="s">
        <v>3646</v>
      </c>
    </row>
    <row r="995" spans="23:23">
      <c r="W995" t="s">
        <v>3647</v>
      </c>
    </row>
    <row r="996" spans="23:23">
      <c r="W996" t="s">
        <v>4396</v>
      </c>
    </row>
    <row r="997" spans="23:23">
      <c r="W997" t="s">
        <v>2465</v>
      </c>
    </row>
    <row r="998" spans="23:23">
      <c r="W998" t="s">
        <v>1600</v>
      </c>
    </row>
    <row r="999" spans="23:23">
      <c r="W999" t="s">
        <v>3392</v>
      </c>
    </row>
    <row r="1000" spans="23:23">
      <c r="W1000" t="s">
        <v>2843</v>
      </c>
    </row>
    <row r="1001" spans="23:23">
      <c r="W1001" t="s">
        <v>4433</v>
      </c>
    </row>
    <row r="1002" spans="23:23">
      <c r="W1002" t="s">
        <v>3994</v>
      </c>
    </row>
    <row r="1003" spans="23:23">
      <c r="W1003" t="s">
        <v>2845</v>
      </c>
    </row>
    <row r="1004" spans="23:23">
      <c r="W1004" t="s">
        <v>2912</v>
      </c>
    </row>
    <row r="1005" spans="23:23">
      <c r="W1005" t="s">
        <v>1491</v>
      </c>
    </row>
    <row r="1006" spans="23:23">
      <c r="W1006" t="s">
        <v>3039</v>
      </c>
    </row>
    <row r="1007" spans="23:23">
      <c r="W1007" t="s">
        <v>3230</v>
      </c>
    </row>
    <row r="1008" spans="23:23">
      <c r="W1008" t="s">
        <v>3394</v>
      </c>
    </row>
    <row r="1009" spans="23:23">
      <c r="W1009" t="s">
        <v>1549</v>
      </c>
    </row>
    <row r="1010" spans="23:23">
      <c r="W1010" t="s">
        <v>3289</v>
      </c>
    </row>
    <row r="1011" spans="23:23">
      <c r="W1011" t="s">
        <v>2526</v>
      </c>
    </row>
    <row r="1012" spans="23:23">
      <c r="W1012" t="s">
        <v>2610</v>
      </c>
    </row>
    <row r="1013" spans="23:23">
      <c r="W1013" t="s">
        <v>1602</v>
      </c>
    </row>
    <row r="1014" spans="23:23">
      <c r="W1014" t="s">
        <v>4244</v>
      </c>
    </row>
    <row r="1015" spans="23:23">
      <c r="W1015" t="s">
        <v>2438</v>
      </c>
    </row>
    <row r="1016" spans="23:23">
      <c r="W1016" t="s">
        <v>2914</v>
      </c>
    </row>
    <row r="1017" spans="23:23">
      <c r="W1017" t="s">
        <v>1659</v>
      </c>
    </row>
    <row r="1018" spans="23:23">
      <c r="W1018" t="s">
        <v>3649</v>
      </c>
    </row>
    <row r="1019" spans="23:23">
      <c r="W1019" t="s">
        <v>3910</v>
      </c>
    </row>
    <row r="1020" spans="23:23">
      <c r="W1020" t="s">
        <v>4435</v>
      </c>
    </row>
    <row r="1021" spans="23:23">
      <c r="W1021" t="s">
        <v>2153</v>
      </c>
    </row>
    <row r="1022" spans="23:23">
      <c r="W1022" t="s">
        <v>2042</v>
      </c>
    </row>
    <row r="1023" spans="23:23">
      <c r="W1023" t="s">
        <v>3502</v>
      </c>
    </row>
    <row r="1024" spans="23:23">
      <c r="W1024" t="s">
        <v>3396</v>
      </c>
    </row>
    <row r="1025" spans="23:23">
      <c r="W1025" t="s">
        <v>2612</v>
      </c>
    </row>
    <row r="1026" spans="23:23">
      <c r="W1026" t="s">
        <v>2614</v>
      </c>
    </row>
    <row r="1027" spans="23:23">
      <c r="W1027" t="s">
        <v>4304</v>
      </c>
    </row>
    <row r="1028" spans="23:23">
      <c r="W1028" t="s">
        <v>2155</v>
      </c>
    </row>
    <row r="1029" spans="23:23">
      <c r="W1029" t="s">
        <v>2226</v>
      </c>
    </row>
    <row r="1030" spans="23:23">
      <c r="W1030" t="s">
        <v>3860</v>
      </c>
    </row>
    <row r="1031" spans="23:23">
      <c r="W1031" t="s">
        <v>3862</v>
      </c>
    </row>
    <row r="1032" spans="23:23">
      <c r="W1032" t="s">
        <v>2228</v>
      </c>
    </row>
    <row r="1033" spans="23:23">
      <c r="W1033" t="s">
        <v>1837</v>
      </c>
    </row>
    <row r="1034" spans="23:23">
      <c r="W1034" t="s">
        <v>3651</v>
      </c>
    </row>
    <row r="1035" spans="23:23">
      <c r="W1035" t="s">
        <v>3794</v>
      </c>
    </row>
    <row r="1036" spans="23:23">
      <c r="W1036" t="s">
        <v>4246</v>
      </c>
    </row>
    <row r="1037" spans="23:23">
      <c r="W1037" t="s">
        <v>1551</v>
      </c>
    </row>
    <row r="1038" spans="23:23">
      <c r="W1038" t="s">
        <v>4076</v>
      </c>
    </row>
    <row r="1039" spans="23:23">
      <c r="W1039" t="s">
        <v>2547</v>
      </c>
    </row>
    <row r="1040" spans="23:23">
      <c r="W1040" t="s">
        <v>2044</v>
      </c>
    </row>
    <row r="1041" spans="23:23">
      <c r="W1041" t="s">
        <v>1493</v>
      </c>
    </row>
    <row r="1042" spans="23:23">
      <c r="W1042" t="s">
        <v>1495</v>
      </c>
    </row>
    <row r="1043" spans="23:23">
      <c r="W1043" t="s">
        <v>3291</v>
      </c>
    </row>
    <row r="1044" spans="23:23">
      <c r="W1044" t="s">
        <v>1908</v>
      </c>
    </row>
    <row r="1045" spans="23:23">
      <c r="W1045" t="s">
        <v>3008</v>
      </c>
    </row>
    <row r="1046" spans="23:23">
      <c r="W1046" t="s">
        <v>3740</v>
      </c>
    </row>
    <row r="1047" spans="23:23">
      <c r="W1047" t="s">
        <v>3223</v>
      </c>
    </row>
    <row r="1048" spans="23:23">
      <c r="W1048" t="s">
        <v>4320</v>
      </c>
    </row>
    <row r="1049" spans="23:23">
      <c r="W1049" t="s">
        <v>2263</v>
      </c>
    </row>
    <row r="1050" spans="23:23">
      <c r="W1050" t="s">
        <v>3504</v>
      </c>
    </row>
    <row r="1051" spans="23:23">
      <c r="W1051" t="s">
        <v>4306</v>
      </c>
    </row>
    <row r="1052" spans="23:23">
      <c r="W1052" t="s">
        <v>3796</v>
      </c>
    </row>
    <row r="1053" spans="23:23">
      <c r="W1053" t="s">
        <v>1689</v>
      </c>
    </row>
    <row r="1054" spans="23:23">
      <c r="W1054" t="s">
        <v>3041</v>
      </c>
    </row>
    <row r="1055" spans="23:23">
      <c r="W1055" t="s">
        <v>3996</v>
      </c>
    </row>
    <row r="1056" spans="23:23">
      <c r="W1056" t="s">
        <v>3798</v>
      </c>
    </row>
    <row r="1057" spans="23:23">
      <c r="W1057" t="s">
        <v>3413</v>
      </c>
    </row>
    <row r="1058" spans="23:23">
      <c r="W1058" t="s">
        <v>4437</v>
      </c>
    </row>
    <row r="1059" spans="23:23">
      <c r="W1059" t="s">
        <v>2157</v>
      </c>
    </row>
    <row r="1060" spans="23:23">
      <c r="W1060" t="s">
        <v>2616</v>
      </c>
    </row>
    <row r="1061" spans="23:23">
      <c r="W1061" t="s">
        <v>2692</v>
      </c>
    </row>
    <row r="1062" spans="23:23">
      <c r="W1062" t="s">
        <v>3316</v>
      </c>
    </row>
    <row r="1063" spans="23:23">
      <c r="W1063" t="s">
        <v>2642</v>
      </c>
    </row>
    <row r="1064" spans="23:23">
      <c r="W1064" t="s">
        <v>3082</v>
      </c>
    </row>
    <row r="1065" spans="23:23">
      <c r="W1065" t="s">
        <v>2784</v>
      </c>
    </row>
    <row r="1066" spans="23:23">
      <c r="W1066" t="s">
        <v>3742</v>
      </c>
    </row>
    <row r="1067" spans="23:23">
      <c r="W1067" t="s">
        <v>4322</v>
      </c>
    </row>
    <row r="1068" spans="23:23">
      <c r="W1068" t="s">
        <v>4077</v>
      </c>
    </row>
    <row r="1069" spans="23:23">
      <c r="W1069" t="s">
        <v>2230</v>
      </c>
    </row>
    <row r="1070" spans="23:23">
      <c r="W1070" t="s">
        <v>3721</v>
      </c>
    </row>
    <row r="1071" spans="23:23">
      <c r="W1071" t="s">
        <v>3864</v>
      </c>
    </row>
    <row r="1072" spans="23:23">
      <c r="W1072" t="s">
        <v>1466</v>
      </c>
    </row>
    <row r="1073" spans="23:23">
      <c r="W1073" t="s">
        <v>3930</v>
      </c>
    </row>
    <row r="1074" spans="23:23">
      <c r="W1074" t="s">
        <v>1910</v>
      </c>
    </row>
    <row r="1075" spans="23:23">
      <c r="W1075" t="s">
        <v>2306</v>
      </c>
    </row>
    <row r="1076" spans="23:23">
      <c r="W1076" t="s">
        <v>3009</v>
      </c>
    </row>
    <row r="1077" spans="23:23">
      <c r="W1077" t="s">
        <v>1859</v>
      </c>
    </row>
    <row r="1078" spans="23:23">
      <c r="W1078" t="s">
        <v>1771</v>
      </c>
    </row>
    <row r="1079" spans="23:23">
      <c r="W1079" t="s">
        <v>2932</v>
      </c>
    </row>
    <row r="1080" spans="23:23">
      <c r="W1080" t="s">
        <v>1966</v>
      </c>
    </row>
    <row r="1081" spans="23:23">
      <c r="W1081" t="s">
        <v>3043</v>
      </c>
    </row>
    <row r="1082" spans="23:23">
      <c r="W1082" t="s">
        <v>1773</v>
      </c>
    </row>
    <row r="1083" spans="23:23">
      <c r="W1083" t="s">
        <v>1604</v>
      </c>
    </row>
    <row r="1084" spans="23:23">
      <c r="W1084" t="s">
        <v>2549</v>
      </c>
    </row>
    <row r="1085" spans="23:23">
      <c r="W1085" t="s">
        <v>3562</v>
      </c>
    </row>
    <row r="1086" spans="23:23">
      <c r="W1086" t="s">
        <v>2375</v>
      </c>
    </row>
    <row r="1087" spans="23:23">
      <c r="W1087" t="s">
        <v>4168</v>
      </c>
    </row>
    <row r="1088" spans="23:23">
      <c r="W1088" t="s">
        <v>3184</v>
      </c>
    </row>
    <row r="1089" spans="23:23">
      <c r="W1089" t="s">
        <v>2265</v>
      </c>
    </row>
    <row r="1090" spans="23:23">
      <c r="W1090" t="s">
        <v>4398</v>
      </c>
    </row>
    <row r="1091" spans="23:23">
      <c r="W1091" t="s">
        <v>2847</v>
      </c>
    </row>
    <row r="1092" spans="23:23">
      <c r="W1092" t="s">
        <v>3606</v>
      </c>
    </row>
    <row r="1093" spans="23:23">
      <c r="W1093" t="s">
        <v>1661</v>
      </c>
    </row>
    <row r="1094" spans="23:23">
      <c r="W1094" t="s">
        <v>1839</v>
      </c>
    </row>
    <row r="1095" spans="23:23">
      <c r="W1095" t="s">
        <v>3998</v>
      </c>
    </row>
    <row r="1096" spans="23:23">
      <c r="W1096" t="s">
        <v>2440</v>
      </c>
    </row>
    <row r="1097" spans="23:23">
      <c r="W1097" t="s">
        <v>2618</v>
      </c>
    </row>
    <row r="1098" spans="23:23">
      <c r="W1098" t="s">
        <v>1968</v>
      </c>
    </row>
    <row r="1099" spans="23:23">
      <c r="W1099" t="s">
        <v>3318</v>
      </c>
    </row>
    <row r="1100" spans="23:23">
      <c r="W1100" t="s">
        <v>2934</v>
      </c>
    </row>
    <row r="1101" spans="23:23">
      <c r="W1101" t="s">
        <v>2267</v>
      </c>
    </row>
    <row r="1102" spans="23:23">
      <c r="W1102" t="s">
        <v>4324</v>
      </c>
    </row>
    <row r="1103" spans="23:23">
      <c r="W1103" t="s">
        <v>2046</v>
      </c>
    </row>
    <row r="1104" spans="23:23">
      <c r="W1104" t="s">
        <v>4248</v>
      </c>
    </row>
    <row r="1105" spans="23:23">
      <c r="W1105" t="s">
        <v>1606</v>
      </c>
    </row>
    <row r="1106" spans="23:23">
      <c r="W1106" t="s">
        <v>3932</v>
      </c>
    </row>
    <row r="1107" spans="23:23">
      <c r="W1107" t="s">
        <v>2694</v>
      </c>
    </row>
    <row r="1108" spans="23:23">
      <c r="W1108" t="s">
        <v>2377</v>
      </c>
    </row>
    <row r="1109" spans="23:23">
      <c r="W1109" t="s">
        <v>3564</v>
      </c>
    </row>
    <row r="1110" spans="23:23">
      <c r="W1110" t="s">
        <v>3320</v>
      </c>
    </row>
    <row r="1111" spans="23:23">
      <c r="W1111" t="s">
        <v>4325</v>
      </c>
    </row>
    <row r="1112" spans="23:23">
      <c r="W1112" t="s">
        <v>3293</v>
      </c>
    </row>
    <row r="1113" spans="23:23">
      <c r="W1113" t="s">
        <v>2442</v>
      </c>
    </row>
    <row r="1114" spans="23:23">
      <c r="W1114" t="s">
        <v>3506</v>
      </c>
    </row>
    <row r="1115" spans="23:23">
      <c r="W1115" t="s">
        <v>2619</v>
      </c>
    </row>
    <row r="1116" spans="23:23">
      <c r="W1116" t="s">
        <v>2112</v>
      </c>
    </row>
    <row r="1117" spans="23:23">
      <c r="W1117" t="s">
        <v>2269</v>
      </c>
    </row>
    <row r="1118" spans="23:23">
      <c r="W1118" t="s">
        <v>3980</v>
      </c>
    </row>
    <row r="1119" spans="23:23">
      <c r="W1119" t="s">
        <v>2467</v>
      </c>
    </row>
    <row r="1120" spans="23:23">
      <c r="W1120" t="s">
        <v>2849</v>
      </c>
    </row>
    <row r="1121" spans="23:23">
      <c r="W1121" t="s">
        <v>3912</v>
      </c>
    </row>
    <row r="1122" spans="23:23">
      <c r="W1122" t="s">
        <v>1745</v>
      </c>
    </row>
    <row r="1123" spans="23:23">
      <c r="W1123" t="s">
        <v>2828</v>
      </c>
    </row>
    <row r="1124" spans="23:23">
      <c r="W1124" t="s">
        <v>2271</v>
      </c>
    </row>
    <row r="1125" spans="23:23">
      <c r="W1125" t="s">
        <v>4104</v>
      </c>
    </row>
    <row r="1126" spans="23:23">
      <c r="W1126" t="s">
        <v>2444</v>
      </c>
    </row>
    <row r="1127" spans="23:23">
      <c r="W1127" t="s">
        <v>1912</v>
      </c>
    </row>
    <row r="1128" spans="23:23">
      <c r="W1128" t="s">
        <v>1775</v>
      </c>
    </row>
    <row r="1129" spans="23:23">
      <c r="W1129" t="s">
        <v>3723</v>
      </c>
    </row>
    <row r="1130" spans="23:23">
      <c r="W1130" t="s">
        <v>1691</v>
      </c>
    </row>
    <row r="1131" spans="23:23">
      <c r="W1131" t="s">
        <v>1553</v>
      </c>
    </row>
    <row r="1132" spans="23:23">
      <c r="W1132" t="s">
        <v>3508</v>
      </c>
    </row>
    <row r="1133" spans="23:23">
      <c r="W1133" t="s">
        <v>2308</v>
      </c>
    </row>
    <row r="1134" spans="23:23">
      <c r="W1134" t="s">
        <v>3800</v>
      </c>
    </row>
    <row r="1135" spans="23:23">
      <c r="W1135" t="s">
        <v>4327</v>
      </c>
    </row>
    <row r="1136" spans="23:23">
      <c r="W1136" t="s">
        <v>2851</v>
      </c>
    </row>
    <row r="1137" spans="23:23">
      <c r="W1137" t="s">
        <v>4106</v>
      </c>
    </row>
    <row r="1138" spans="23:23">
      <c r="W1138" t="s">
        <v>3744</v>
      </c>
    </row>
    <row r="1139" spans="23:23">
      <c r="W1139" t="s">
        <v>1841</v>
      </c>
    </row>
    <row r="1140" spans="23:23">
      <c r="W1140" t="s">
        <v>3541</v>
      </c>
    </row>
    <row r="1141" spans="23:23">
      <c r="W1141" t="s">
        <v>3982</v>
      </c>
    </row>
    <row r="1142" spans="23:23">
      <c r="W1142" t="s">
        <v>1861</v>
      </c>
    </row>
    <row r="1143" spans="23:23">
      <c r="W1143" t="s">
        <v>1608</v>
      </c>
    </row>
    <row r="1144" spans="23:23">
      <c r="W1144" t="s">
        <v>3084</v>
      </c>
    </row>
    <row r="1145" spans="23:23">
      <c r="W1145" t="s">
        <v>2621</v>
      </c>
    </row>
    <row r="1146" spans="23:23">
      <c r="W1146" t="s">
        <v>3746</v>
      </c>
    </row>
    <row r="1147" spans="23:23">
      <c r="W1147" t="s">
        <v>1693</v>
      </c>
    </row>
    <row r="1148" spans="23:23">
      <c r="W1148" t="s">
        <v>1610</v>
      </c>
    </row>
    <row r="1149" spans="23:23">
      <c r="W1149" t="s">
        <v>2469</v>
      </c>
    </row>
    <row r="1150" spans="23:23">
      <c r="W1150" t="s">
        <v>2015</v>
      </c>
    </row>
    <row r="1151" spans="23:23">
      <c r="W1151" t="s">
        <v>3232</v>
      </c>
    </row>
    <row r="1152" spans="23:23">
      <c r="W1152" t="s">
        <v>2446</v>
      </c>
    </row>
    <row r="1153" spans="23:23">
      <c r="W1153" t="s">
        <v>3802</v>
      </c>
    </row>
    <row r="1154" spans="23:23">
      <c r="W1154" t="s">
        <v>4025</v>
      </c>
    </row>
    <row r="1155" spans="23:23">
      <c r="W1155" t="s">
        <v>3011</v>
      </c>
    </row>
    <row r="1156" spans="23:23">
      <c r="W1156" t="s">
        <v>3914</v>
      </c>
    </row>
    <row r="1157" spans="23:23">
      <c r="W1157" t="s">
        <v>4079</v>
      </c>
    </row>
    <row r="1158" spans="23:23">
      <c r="W1158" t="s">
        <v>4329</v>
      </c>
    </row>
    <row r="1159" spans="23:23">
      <c r="W1159" t="s">
        <v>3596</v>
      </c>
    </row>
    <row r="1160" spans="23:23">
      <c r="W1160" t="s">
        <v>3415</v>
      </c>
    </row>
    <row r="1161" spans="23:23">
      <c r="W1161" t="s">
        <v>1468</v>
      </c>
    </row>
    <row r="1162" spans="23:23">
      <c r="W1162" t="s">
        <v>4108</v>
      </c>
    </row>
    <row r="1163" spans="23:23">
      <c r="W1163" t="s">
        <v>3186</v>
      </c>
    </row>
    <row r="1164" spans="23:23">
      <c r="W1164" t="s">
        <v>4250</v>
      </c>
    </row>
    <row r="1165" spans="23:23">
      <c r="W1165" t="s">
        <v>1612</v>
      </c>
    </row>
    <row r="1166" spans="23:23">
      <c r="W1166" t="s">
        <v>2471</v>
      </c>
    </row>
    <row r="1167" spans="23:23">
      <c r="W1167" t="s">
        <v>1695</v>
      </c>
    </row>
    <row r="1168" spans="23:23">
      <c r="W1168" t="s">
        <v>3188</v>
      </c>
    </row>
    <row r="1169" spans="23:23">
      <c r="W1169" t="s">
        <v>2936</v>
      </c>
    </row>
    <row r="1170" spans="23:23">
      <c r="W1170" t="s">
        <v>3598</v>
      </c>
    </row>
    <row r="1171" spans="23:23">
      <c r="W1171" t="s">
        <v>3464</v>
      </c>
    </row>
    <row r="1172" spans="23:23">
      <c r="W1172" t="s">
        <v>1697</v>
      </c>
    </row>
    <row r="1173" spans="23:23">
      <c r="W1173" t="s">
        <v>2232</v>
      </c>
    </row>
    <row r="1174" spans="23:23">
      <c r="W1174" t="s">
        <v>3398</v>
      </c>
    </row>
    <row r="1175" spans="23:23">
      <c r="W1175" t="s">
        <v>2234</v>
      </c>
    </row>
    <row r="1176" spans="23:23">
      <c r="W1176" t="s">
        <v>3748</v>
      </c>
    </row>
    <row r="1177" spans="23:23">
      <c r="W1177" t="s">
        <v>3543</v>
      </c>
    </row>
    <row r="1178" spans="23:23">
      <c r="W1178" t="s">
        <v>1699</v>
      </c>
    </row>
    <row r="1179" spans="23:23">
      <c r="W1179" t="s">
        <v>1863</v>
      </c>
    </row>
    <row r="1180" spans="23:23">
      <c r="W1180" t="s">
        <v>3190</v>
      </c>
    </row>
    <row r="1181" spans="23:23">
      <c r="W1181" t="s">
        <v>1663</v>
      </c>
    </row>
    <row r="1182" spans="23:23">
      <c r="W1182" t="s">
        <v>2159</v>
      </c>
    </row>
    <row r="1183" spans="23:23">
      <c r="W1183" t="s">
        <v>1470</v>
      </c>
    </row>
    <row r="1184" spans="23:23">
      <c r="W1184" t="s">
        <v>2448</v>
      </c>
    </row>
    <row r="1185" spans="23:23">
      <c r="W1185" t="s">
        <v>2161</v>
      </c>
    </row>
    <row r="1186" spans="23:23">
      <c r="W1186" t="s">
        <v>1614</v>
      </c>
    </row>
    <row r="1187" spans="23:23">
      <c r="W1187" t="s">
        <v>2048</v>
      </c>
    </row>
    <row r="1188" spans="23:23">
      <c r="W1188" t="s">
        <v>3510</v>
      </c>
    </row>
    <row r="1189" spans="23:23">
      <c r="W1189" t="s">
        <v>4110</v>
      </c>
    </row>
    <row r="1190" spans="23:23">
      <c r="W1190" t="s">
        <v>3866</v>
      </c>
    </row>
    <row r="1191" spans="23:23">
      <c r="W1191" t="s">
        <v>3086</v>
      </c>
    </row>
    <row r="1192" spans="23:23">
      <c r="W1192" t="s">
        <v>2830</v>
      </c>
    </row>
    <row r="1193" spans="23:23">
      <c r="W1193" t="s">
        <v>3234</v>
      </c>
    </row>
    <row r="1194" spans="23:23">
      <c r="W1194" t="s">
        <v>3192</v>
      </c>
    </row>
    <row r="1195" spans="23:23">
      <c r="W1195" t="s">
        <v>2450</v>
      </c>
    </row>
    <row r="1196" spans="23:23">
      <c r="W1196" t="s">
        <v>2892</v>
      </c>
    </row>
    <row r="1197" spans="23:23">
      <c r="W1197" t="s">
        <v>1865</v>
      </c>
    </row>
    <row r="1198" spans="23:23">
      <c r="W1198" t="s">
        <v>4081</v>
      </c>
    </row>
    <row r="1199" spans="23:23">
      <c r="W1199" t="s">
        <v>2273</v>
      </c>
    </row>
    <row r="1200" spans="23:23">
      <c r="W1200" t="s">
        <v>1496</v>
      </c>
    </row>
    <row r="1201" spans="23:23">
      <c r="W1201" t="s">
        <v>2163</v>
      </c>
    </row>
    <row r="1202" spans="23:23">
      <c r="W1202" t="s">
        <v>3566</v>
      </c>
    </row>
    <row r="1203" spans="23:23">
      <c r="W1203" t="s">
        <v>4170</v>
      </c>
    </row>
    <row r="1204" spans="23:23">
      <c r="W1204" t="s">
        <v>2894</v>
      </c>
    </row>
    <row r="1205" spans="23:23">
      <c r="W1205" t="s">
        <v>2786</v>
      </c>
    </row>
    <row r="1206" spans="23:23">
      <c r="W1206" t="s">
        <v>3934</v>
      </c>
    </row>
    <row r="1207" spans="23:23">
      <c r="W1207" t="s">
        <v>2938</v>
      </c>
    </row>
    <row r="1208" spans="23:23">
      <c r="W1208" t="s">
        <v>2017</v>
      </c>
    </row>
    <row r="1209" spans="23:23">
      <c r="W1209" t="s">
        <v>3936</v>
      </c>
    </row>
    <row r="1210" spans="23:23">
      <c r="W1210" t="s">
        <v>3916</v>
      </c>
    </row>
    <row r="1211" spans="23:23">
      <c r="W1211" t="s">
        <v>2379</v>
      </c>
    </row>
    <row r="1212" spans="23:23">
      <c r="W1212" t="s">
        <v>1914</v>
      </c>
    </row>
    <row r="1213" spans="23:23">
      <c r="W1213" t="s">
        <v>4439</v>
      </c>
    </row>
    <row r="1214" spans="23:23">
      <c r="W1214" t="s">
        <v>2896</v>
      </c>
    </row>
    <row r="1215" spans="23:23">
      <c r="W1215" t="s">
        <v>2236</v>
      </c>
    </row>
    <row r="1216" spans="23:23">
      <c r="W1216" t="s">
        <v>3194</v>
      </c>
    </row>
    <row r="1217" spans="23:23">
      <c r="W1217" t="s">
        <v>2551</v>
      </c>
    </row>
    <row r="1218" spans="23:23">
      <c r="W1218" t="s">
        <v>2623</v>
      </c>
    </row>
    <row r="1219" spans="23:23">
      <c r="W1219" t="s">
        <v>2098</v>
      </c>
    </row>
    <row r="1220" spans="23:23">
      <c r="W1220" t="s">
        <v>3466</v>
      </c>
    </row>
    <row r="1221" spans="23:23">
      <c r="W1221" t="s">
        <v>4251</v>
      </c>
    </row>
    <row r="1222" spans="23:23">
      <c r="W1222" t="s">
        <v>3088</v>
      </c>
    </row>
    <row r="1223" spans="23:23">
      <c r="W1223" t="s">
        <v>4253</v>
      </c>
    </row>
    <row r="1224" spans="23:23">
      <c r="W1224" t="s">
        <v>2832</v>
      </c>
    </row>
    <row r="1225" spans="23:23">
      <c r="W1225" t="s">
        <v>4308</v>
      </c>
    </row>
    <row r="1226" spans="23:23">
      <c r="W1226" t="s">
        <v>3750</v>
      </c>
    </row>
    <row r="1227" spans="23:23">
      <c r="W1227" t="s">
        <v>1867</v>
      </c>
    </row>
    <row r="1228" spans="23:23">
      <c r="W1228" t="s">
        <v>4083</v>
      </c>
    </row>
    <row r="1229" spans="23:23">
      <c r="W1229" t="s">
        <v>2625</v>
      </c>
    </row>
    <row r="1230" spans="23:23">
      <c r="W1230" t="s">
        <v>2512</v>
      </c>
    </row>
    <row r="1231" spans="23:23">
      <c r="W1231" t="s">
        <v>1777</v>
      </c>
    </row>
    <row r="1232" spans="23:23">
      <c r="W1232" t="s">
        <v>3653</v>
      </c>
    </row>
    <row r="1233" spans="23:23">
      <c r="W1233" t="s">
        <v>3983</v>
      </c>
    </row>
    <row r="1234" spans="23:23">
      <c r="W1234" t="s">
        <v>2696</v>
      </c>
    </row>
    <row r="1235" spans="23:23">
      <c r="W1235" t="s">
        <v>2275</v>
      </c>
    </row>
    <row r="1236" spans="23:23">
      <c r="W1236" t="s">
        <v>2788</v>
      </c>
    </row>
    <row r="1237" spans="23:23">
      <c r="W1237" t="s">
        <v>2100</v>
      </c>
    </row>
    <row r="1238" spans="23:23">
      <c r="W1238" t="s">
        <v>3655</v>
      </c>
    </row>
    <row r="1239" spans="23:23">
      <c r="W1239" t="s">
        <v>1498</v>
      </c>
    </row>
    <row r="1240" spans="23:23">
      <c r="W1240" t="s">
        <v>4112</v>
      </c>
    </row>
    <row r="1241" spans="23:23">
      <c r="W1241" t="s">
        <v>3236</v>
      </c>
    </row>
    <row r="1242" spans="23:23">
      <c r="W1242" t="s">
        <v>4085</v>
      </c>
    </row>
    <row r="1243" spans="23:23">
      <c r="W1243" t="s">
        <v>3417</v>
      </c>
    </row>
    <row r="1244" spans="23:23">
      <c r="W1244" t="s">
        <v>2644</v>
      </c>
    </row>
    <row r="1245" spans="23:23">
      <c r="W1245" t="s">
        <v>3938</v>
      </c>
    </row>
    <row r="1246" spans="23:23">
      <c r="W1246" t="s">
        <v>1779</v>
      </c>
    </row>
    <row r="1247" spans="23:23">
      <c r="W1247" t="s">
        <v>3283</v>
      </c>
    </row>
    <row r="1248" spans="23:23">
      <c r="W1248" t="s">
        <v>3545</v>
      </c>
    </row>
    <row r="1249" spans="23:23">
      <c r="W1249" t="s">
        <v>4441</v>
      </c>
    </row>
    <row r="1250" spans="23:23">
      <c r="W1250" t="s">
        <v>3238</v>
      </c>
    </row>
    <row r="1251" spans="23:23">
      <c r="W1251" t="s">
        <v>3725</v>
      </c>
    </row>
    <row r="1252" spans="23:23">
      <c r="W1252" t="s">
        <v>4114</v>
      </c>
    </row>
    <row r="1253" spans="23:23">
      <c r="W1253" t="s">
        <v>3512</v>
      </c>
    </row>
    <row r="1254" spans="23:23">
      <c r="W1254" t="s">
        <v>3868</v>
      </c>
    </row>
    <row r="1255" spans="23:23">
      <c r="W1255" t="s">
        <v>3918</v>
      </c>
    </row>
    <row r="1256" spans="23:23">
      <c r="W1256" t="s">
        <v>2019</v>
      </c>
    </row>
    <row r="1257" spans="23:23">
      <c r="W1257" t="s">
        <v>2381</v>
      </c>
    </row>
    <row r="1258" spans="23:23">
      <c r="W1258" t="s">
        <v>3657</v>
      </c>
    </row>
    <row r="1259" spans="23:23">
      <c r="W1259" t="s">
        <v>2021</v>
      </c>
    </row>
    <row r="1260" spans="23:23">
      <c r="W1260" t="s">
        <v>2383</v>
      </c>
    </row>
    <row r="1261" spans="23:23">
      <c r="W1261" t="s">
        <v>1869</v>
      </c>
    </row>
    <row r="1262" spans="23:23">
      <c r="W1262" t="s">
        <v>1500</v>
      </c>
    </row>
    <row r="1263" spans="23:23">
      <c r="W1263" t="s">
        <v>3752</v>
      </c>
    </row>
    <row r="1264" spans="23:23">
      <c r="W1264" t="s">
        <v>2514</v>
      </c>
    </row>
    <row r="1265" spans="23:23">
      <c r="W1265" t="s">
        <v>3547</v>
      </c>
    </row>
    <row r="1266" spans="23:23">
      <c r="W1266" t="s">
        <v>1472</v>
      </c>
    </row>
    <row r="1267" spans="23:23">
      <c r="W1267" t="s">
        <v>4331</v>
      </c>
    </row>
    <row r="1268" spans="23:23">
      <c r="W1268" t="s">
        <v>2023</v>
      </c>
    </row>
    <row r="1269" spans="23:23">
      <c r="W1269" t="s">
        <v>1871</v>
      </c>
    </row>
    <row r="1270" spans="23:23">
      <c r="W1270" t="s">
        <v>3985</v>
      </c>
    </row>
    <row r="1271" spans="23:23">
      <c r="W1271" t="s">
        <v>2102</v>
      </c>
    </row>
    <row r="1272" spans="23:23">
      <c r="W1272" t="s">
        <v>1474</v>
      </c>
    </row>
    <row r="1273" spans="23:23">
      <c r="W1273" t="s">
        <v>3322</v>
      </c>
    </row>
    <row r="1274" spans="23:23">
      <c r="W1274" t="s">
        <v>3568</v>
      </c>
    </row>
    <row r="1275" spans="23:23">
      <c r="W1275" t="s">
        <v>3659</v>
      </c>
    </row>
    <row r="1276" spans="23:23">
      <c r="W1276" t="s">
        <v>4087</v>
      </c>
    </row>
    <row r="1277" spans="23:23">
      <c r="W1277" t="s">
        <v>3870</v>
      </c>
    </row>
    <row r="1278" spans="23:23">
      <c r="W1278" t="s">
        <v>4116</v>
      </c>
    </row>
    <row r="1279" spans="23:23">
      <c r="W1279" t="s">
        <v>3240</v>
      </c>
    </row>
    <row r="1280" spans="23:23">
      <c r="W1280" t="s">
        <v>3940</v>
      </c>
    </row>
    <row r="1281" spans="23:23">
      <c r="W1281" t="s">
        <v>1502</v>
      </c>
    </row>
    <row r="1282" spans="23:23">
      <c r="W1282" t="s">
        <v>4118</v>
      </c>
    </row>
    <row r="1283" spans="23:23">
      <c r="W1283" t="s">
        <v>4255</v>
      </c>
    </row>
    <row r="1284" spans="23:23">
      <c r="W1284" t="s">
        <v>4172</v>
      </c>
    </row>
    <row r="1285" spans="23:23">
      <c r="W1285" t="s">
        <v>2050</v>
      </c>
    </row>
    <row r="1286" spans="23:23">
      <c r="W1286" t="s">
        <v>2310</v>
      </c>
    </row>
    <row r="1287" spans="23:23">
      <c r="W1287" t="s">
        <v>3549</v>
      </c>
    </row>
    <row r="1288" spans="23:23">
      <c r="W1288" t="s">
        <v>3324</v>
      </c>
    </row>
    <row r="1289" spans="23:23">
      <c r="W1289" t="s">
        <v>1781</v>
      </c>
    </row>
    <row r="1290" spans="23:23">
      <c r="W1290" t="s">
        <v>2473</v>
      </c>
    </row>
    <row r="1291" spans="23:23">
      <c r="W1291" t="s">
        <v>3661</v>
      </c>
    </row>
    <row r="1292" spans="23:23">
      <c r="W1292" t="s">
        <v>1873</v>
      </c>
    </row>
    <row r="1293" spans="23:23">
      <c r="W1293" t="s">
        <v>4385</v>
      </c>
    </row>
    <row r="1294" spans="23:23">
      <c r="W1294" t="s">
        <v>2646</v>
      </c>
    </row>
    <row r="1295" spans="23:23">
      <c r="W1295" t="s">
        <v>3987</v>
      </c>
    </row>
    <row r="1296" spans="23:23">
      <c r="W1296" t="s">
        <v>2553</v>
      </c>
    </row>
    <row r="1297" spans="23:23">
      <c r="W1297" t="s">
        <v>2025</v>
      </c>
    </row>
    <row r="1298" spans="23:23">
      <c r="W1298" t="s">
        <v>1875</v>
      </c>
    </row>
    <row r="1299" spans="23:23">
      <c r="W1299" t="s">
        <v>3284</v>
      </c>
    </row>
    <row r="1300" spans="23:23">
      <c r="W1300" t="s">
        <v>2452</v>
      </c>
    </row>
    <row r="1301" spans="23:23">
      <c r="W1301" t="s">
        <v>2052</v>
      </c>
    </row>
    <row r="1302" spans="23:23">
      <c r="W1302" t="s">
        <v>2698</v>
      </c>
    </row>
    <row r="1303" spans="23:23">
      <c r="W1303" t="s">
        <v>2238</v>
      </c>
    </row>
    <row r="1304" spans="23:23">
      <c r="W1304" t="s">
        <v>4386</v>
      </c>
    </row>
    <row r="1305" spans="23:23">
      <c r="W1305" t="s">
        <v>3988</v>
      </c>
    </row>
    <row r="1306" spans="23:23">
      <c r="W1306" t="s">
        <v>1843</v>
      </c>
    </row>
    <row r="1307" spans="23:23">
      <c r="W1307" t="s">
        <v>1877</v>
      </c>
    </row>
    <row r="1308" spans="23:23">
      <c r="W1308" t="s">
        <v>2853</v>
      </c>
    </row>
    <row r="1309" spans="23:23">
      <c r="W1309" t="s">
        <v>3754</v>
      </c>
    </row>
    <row r="1310" spans="23:23">
      <c r="W1310" t="s">
        <v>3727</v>
      </c>
    </row>
    <row r="1311" spans="23:23">
      <c r="W1311" t="s">
        <v>4257</v>
      </c>
    </row>
    <row r="1312" spans="23:23">
      <c r="W1312" t="s">
        <v>3920</v>
      </c>
    </row>
    <row r="1313" spans="23:23">
      <c r="W1313" t="s">
        <v>2647</v>
      </c>
    </row>
    <row r="1314" spans="23:23">
      <c r="W1314" t="s">
        <v>3285</v>
      </c>
    </row>
    <row r="1315" spans="23:23">
      <c r="W1315" t="s">
        <v>3922</v>
      </c>
    </row>
    <row r="1316" spans="23:23">
      <c r="W1316" t="s">
        <v>2104</v>
      </c>
    </row>
    <row r="1317" spans="23:23">
      <c r="W1317" t="s">
        <v>2790</v>
      </c>
    </row>
    <row r="1318" spans="23:23">
      <c r="W1318" t="s">
        <v>3551</v>
      </c>
    </row>
    <row r="1319" spans="23:23">
      <c r="W1319" t="s">
        <v>2165</v>
      </c>
    </row>
    <row r="1320" spans="23:23">
      <c r="W1320" t="s">
        <v>3468</v>
      </c>
    </row>
    <row r="1321" spans="23:23">
      <c r="W1321" t="s">
        <v>3924</v>
      </c>
    </row>
    <row r="1322" spans="23:23">
      <c r="W1322" t="s">
        <v>3326</v>
      </c>
    </row>
    <row r="1323" spans="23:23">
      <c r="W1323" t="s">
        <v>4174</v>
      </c>
    </row>
    <row r="1324" spans="23:23">
      <c r="W1324" t="s">
        <v>2516</v>
      </c>
    </row>
    <row r="1325" spans="23:23">
      <c r="W1325" t="s">
        <v>3756</v>
      </c>
    </row>
    <row r="1326" spans="23:23">
      <c r="W1326" t="s">
        <v>2312</v>
      </c>
    </row>
    <row r="1327" spans="23:23">
      <c r="W1327" t="s">
        <v>2627</v>
      </c>
    </row>
    <row r="1328" spans="23:23">
      <c r="W1328" t="s">
        <v>3419</v>
      </c>
    </row>
    <row r="1329" spans="23:23">
      <c r="W1329" t="s">
        <v>2385</v>
      </c>
    </row>
    <row r="1330" spans="23:23">
      <c r="W1330" t="s">
        <v>2475</v>
      </c>
    </row>
    <row r="1331" spans="23:23">
      <c r="W1331" t="s">
        <v>1916</v>
      </c>
    </row>
    <row r="1332" spans="23:23">
      <c r="W1332" t="s">
        <v>2649</v>
      </c>
    </row>
    <row r="1333" spans="23:23">
      <c r="W1333" t="s">
        <v>4310</v>
      </c>
    </row>
    <row r="1334" spans="23:23">
      <c r="W1334" t="s">
        <v>3287</v>
      </c>
    </row>
    <row r="1335" spans="23:23">
      <c r="W1335" t="s">
        <v>3804</v>
      </c>
    </row>
    <row r="1336" spans="23:23">
      <c r="W1336" t="s">
        <v>2651</v>
      </c>
    </row>
    <row r="1337" spans="23:23">
      <c r="W1337" t="s">
        <v>3806</v>
      </c>
    </row>
    <row r="1338" spans="23:23">
      <c r="W1338" t="s">
        <v>4388</v>
      </c>
    </row>
    <row r="1339" spans="23:23">
      <c r="W1339" t="s">
        <v>3421</v>
      </c>
    </row>
    <row r="1340" spans="23:23">
      <c r="W1340" t="s">
        <v>3757</v>
      </c>
    </row>
    <row r="1341" spans="23:23">
      <c r="W1341" t="s">
        <v>2555</v>
      </c>
    </row>
    <row r="1342" spans="23:23">
      <c r="W1342" t="s">
        <v>2167</v>
      </c>
    </row>
    <row r="1343" spans="23:23">
      <c r="W1343" t="s">
        <v>3600</v>
      </c>
    </row>
    <row r="1344" spans="23:23">
      <c r="W1344" t="s">
        <v>2054</v>
      </c>
    </row>
    <row r="1345" spans="23:23">
      <c r="W1345" t="s">
        <v>1970</v>
      </c>
    </row>
    <row r="1346" spans="23:23">
      <c r="W1346" t="s">
        <v>2454</v>
      </c>
    </row>
    <row r="1347" spans="23:23">
      <c r="W1347" t="s">
        <v>2456</v>
      </c>
    </row>
    <row r="1348" spans="23:23">
      <c r="W1348" t="s">
        <v>2457</v>
      </c>
    </row>
    <row r="1349" spans="23:23">
      <c r="W1349" t="s">
        <v>4390</v>
      </c>
    </row>
    <row r="1350" spans="23:23">
      <c r="W1350" t="s">
        <v>2653</v>
      </c>
    </row>
    <row r="1351" spans="23:23">
      <c r="W1351" t="s">
        <v>3942</v>
      </c>
    </row>
    <row r="1352" spans="23:23">
      <c r="W1352" t="s">
        <v>3090</v>
      </c>
    </row>
    <row r="1353" spans="23:23">
      <c r="W1353" t="s">
        <v>2277</v>
      </c>
    </row>
    <row r="1354" spans="23:23">
      <c r="W1354" t="s">
        <v>4312</v>
      </c>
    </row>
    <row r="1355" spans="23:23">
      <c r="W1355" t="s">
        <v>2518</v>
      </c>
    </row>
    <row r="1356" spans="23:23">
      <c r="W1356" t="s">
        <v>2459</v>
      </c>
    </row>
    <row r="1357" spans="23:23">
      <c r="W1357" t="s">
        <v>1504</v>
      </c>
    </row>
    <row r="1358" spans="23:23">
      <c r="W1358" t="s">
        <v>1476</v>
      </c>
    </row>
    <row r="1359" spans="23:23">
      <c r="W1359" t="s">
        <v>3759</v>
      </c>
    </row>
    <row r="1360" spans="23:23">
      <c r="W1360" t="s">
        <v>2855</v>
      </c>
    </row>
    <row r="1361" spans="23:23">
      <c r="W1361" t="s">
        <v>3871</v>
      </c>
    </row>
    <row r="1362" spans="23:23">
      <c r="W1362" t="s">
        <v>3470</v>
      </c>
    </row>
    <row r="1363" spans="23:23">
      <c r="W1363" t="s">
        <v>1616</v>
      </c>
    </row>
    <row r="1364" spans="23:23">
      <c r="W1364" t="s">
        <v>3328</v>
      </c>
    </row>
    <row r="1365" spans="23:23">
      <c r="W1365" t="s">
        <v>3761</v>
      </c>
    </row>
    <row r="1366" spans="23:23">
      <c r="W1366" t="s">
        <v>4259</v>
      </c>
    </row>
    <row r="1367" spans="23:23">
      <c r="W1367" t="s">
        <v>3944</v>
      </c>
    </row>
    <row r="1368" spans="23:23">
      <c r="W1368" t="s">
        <v>4333</v>
      </c>
    </row>
    <row r="1369" spans="23:23">
      <c r="W1369" t="s">
        <v>3472</v>
      </c>
    </row>
    <row r="1370" spans="23:23">
      <c r="W1370" t="s">
        <v>2279</v>
      </c>
    </row>
    <row r="1371" spans="23:23">
      <c r="W1371" t="s">
        <v>2557</v>
      </c>
    </row>
    <row r="1372" spans="23:23">
      <c r="W1372" t="s">
        <v>2477</v>
      </c>
    </row>
    <row r="1373" spans="23:23">
      <c r="W1373" t="s">
        <v>1879</v>
      </c>
    </row>
    <row r="1374" spans="23:23">
      <c r="W1374" t="s">
        <v>3990</v>
      </c>
    </row>
    <row r="1375" spans="23:23">
      <c r="W1375" t="s">
        <v>3330</v>
      </c>
    </row>
    <row r="1376" spans="23:23">
      <c r="W1376" t="s">
        <v>3946</v>
      </c>
    </row>
    <row r="1377" spans="23:23">
      <c r="W1377" t="s">
        <v>4176</v>
      </c>
    </row>
    <row r="1378" spans="23:23">
      <c r="W1378" t="s">
        <v>2479</v>
      </c>
    </row>
    <row r="1379" spans="23:23">
      <c r="W1379" t="s">
        <v>2834</v>
      </c>
    </row>
    <row r="1380" spans="23:23">
      <c r="W1380" t="s">
        <v>4027</v>
      </c>
    </row>
    <row r="1381" spans="23:23">
      <c r="W1381" t="s">
        <v>2559</v>
      </c>
    </row>
    <row r="1382" spans="23:23">
      <c r="W1382" t="s">
        <v>4392</v>
      </c>
    </row>
    <row r="1383" spans="23:23">
      <c r="W1383" t="s">
        <v>2481</v>
      </c>
    </row>
    <row r="1384" spans="23:23">
      <c r="W1384" t="s">
        <v>3423</v>
      </c>
    </row>
    <row r="1385" spans="23:23">
      <c r="W1385" t="s">
        <v>2940</v>
      </c>
    </row>
    <row r="1386" spans="23:23">
      <c r="W1386" t="s">
        <v>1746</v>
      </c>
    </row>
    <row r="1387" spans="23:23">
      <c r="W1387" t="s">
        <v>2240</v>
      </c>
    </row>
    <row r="1388" spans="23:23">
      <c r="W1388" t="s">
        <v>2654</v>
      </c>
    </row>
    <row r="1389" spans="23:23">
      <c r="W1389" t="s">
        <v>1510</v>
      </c>
    </row>
    <row r="1390" spans="23:23">
      <c r="W1390" t="s">
        <v>3332</v>
      </c>
    </row>
    <row r="1391" spans="23:23">
      <c r="W1391" t="s">
        <v>1782</v>
      </c>
    </row>
    <row r="1392" spans="23:23">
      <c r="W1392" t="s">
        <v>2520</v>
      </c>
    </row>
    <row r="1393" spans="23:23">
      <c r="W1393" t="s">
        <v>1512</v>
      </c>
    </row>
    <row r="1394" spans="23:23">
      <c r="W1394" t="s">
        <v>3602</v>
      </c>
    </row>
    <row r="1395" spans="23:23">
      <c r="W1395" t="s">
        <v>3763</v>
      </c>
    </row>
    <row r="1396" spans="23:23">
      <c r="W1396" t="s">
        <v>2314</v>
      </c>
    </row>
    <row r="1397" spans="23:23">
      <c r="W1397" t="s">
        <v>2898</v>
      </c>
    </row>
    <row r="1398" spans="23:23">
      <c r="W1398" t="s">
        <v>3013</v>
      </c>
    </row>
    <row r="1399" spans="23:23">
      <c r="W1399" t="s">
        <v>4394</v>
      </c>
    </row>
    <row r="1400" spans="23:23">
      <c r="W1400" t="s">
        <v>1618</v>
      </c>
    </row>
    <row r="1401" spans="23:23">
      <c r="W1401" t="s">
        <v>3474</v>
      </c>
    </row>
    <row r="1402" spans="23:23">
      <c r="W1402" t="s">
        <v>3427</v>
      </c>
    </row>
    <row r="1403" spans="23:23">
      <c r="W1403" t="s">
        <v>2629</v>
      </c>
    </row>
    <row r="1404" spans="23:23">
      <c r="W1404" t="s">
        <v>1784</v>
      </c>
    </row>
    <row r="1405" spans="23:23">
      <c r="W1405" t="s">
        <v>3092</v>
      </c>
    </row>
    <row r="1406" spans="23:23">
      <c r="W1406" t="s">
        <v>3400</v>
      </c>
    </row>
    <row r="1407" spans="23:23">
      <c r="W1407" t="s">
        <v>2056</v>
      </c>
    </row>
    <row r="1408" spans="23:23">
      <c r="W1408" t="s">
        <v>1748</v>
      </c>
    </row>
    <row r="1409" spans="23:23">
      <c r="W1409" t="s">
        <v>4335</v>
      </c>
    </row>
    <row r="1410" spans="23:23">
      <c r="W1410" t="s">
        <v>1478</v>
      </c>
    </row>
    <row r="1411" spans="23:23">
      <c r="W1411" t="s">
        <v>1845</v>
      </c>
    </row>
    <row r="1412" spans="23:23">
      <c r="W1412" t="s">
        <v>4029</v>
      </c>
    </row>
    <row r="1413" spans="23:23">
      <c r="W1413" t="s">
        <v>2700</v>
      </c>
    </row>
    <row r="1414" spans="23:23">
      <c r="W1414" t="s">
        <v>2900</v>
      </c>
    </row>
    <row r="1415" spans="23:23">
      <c r="W1415" t="s">
        <v>3429</v>
      </c>
    </row>
    <row r="1416" spans="23:23">
      <c r="W1416" t="s">
        <v>2658</v>
      </c>
    </row>
    <row r="1417" spans="23:23">
      <c r="W1417" t="s">
        <v>3015</v>
      </c>
    </row>
    <row r="1418" spans="23:23">
      <c r="W1418" t="s">
        <v>3017</v>
      </c>
    </row>
    <row r="1419" spans="23:23">
      <c r="W1419" t="s">
        <v>2058</v>
      </c>
    </row>
    <row r="1420" spans="23:23">
      <c r="W1420" t="s">
        <v>3808</v>
      </c>
    </row>
    <row r="1421" spans="23:23">
      <c r="W1421" t="s">
        <v>2942</v>
      </c>
    </row>
    <row r="1422" spans="23:23">
      <c r="W1422" t="s">
        <v>3663</v>
      </c>
    </row>
    <row r="1423" spans="23:23">
      <c r="W1423" t="s">
        <v>3094</v>
      </c>
    </row>
    <row r="1424" spans="23:23">
      <c r="W1424" t="s">
        <v>2630</v>
      </c>
    </row>
    <row r="1425" spans="23:23">
      <c r="W1425" t="s">
        <v>1881</v>
      </c>
    </row>
    <row r="1426" spans="23:23">
      <c r="W1426" t="s">
        <v>3096</v>
      </c>
    </row>
    <row r="1427" spans="23:23">
      <c r="W1427" t="s">
        <v>2944</v>
      </c>
    </row>
    <row r="1428" spans="23:23">
      <c r="W1428" t="s">
        <v>4120</v>
      </c>
    </row>
    <row r="1429" spans="23:23">
      <c r="W1429" t="s">
        <v>3334</v>
      </c>
    </row>
    <row r="1430" spans="23:23">
      <c r="W1430" t="s">
        <v>2902</v>
      </c>
    </row>
    <row r="1431" spans="23:23">
      <c r="W1431" t="s">
        <v>1883</v>
      </c>
    </row>
    <row r="1432" spans="23:23">
      <c r="W1432" t="s">
        <v>3873</v>
      </c>
    </row>
    <row r="1433" spans="23:23">
      <c r="W1433" t="s">
        <v>2561</v>
      </c>
    </row>
    <row r="1434" spans="23:23">
      <c r="W1434" t="s">
        <v>4443</v>
      </c>
    </row>
    <row r="1435" spans="23:23">
      <c r="W1435" t="s">
        <v>3336</v>
      </c>
    </row>
    <row r="1436" spans="23:23">
      <c r="W1436" t="s">
        <v>4445</v>
      </c>
    </row>
    <row r="1437" spans="23:23">
      <c r="W1437" t="s">
        <v>3948</v>
      </c>
    </row>
    <row r="1438" spans="23:23">
      <c r="W1438" t="s">
        <v>2522</v>
      </c>
    </row>
    <row r="1439" spans="23:23">
      <c r="W1439" t="s">
        <v>4337</v>
      </c>
    </row>
    <row r="1440" spans="23:23">
      <c r="W1440" t="s">
        <v>1972</v>
      </c>
    </row>
    <row r="1441" spans="23:23">
      <c r="W1441" t="s">
        <v>2792</v>
      </c>
    </row>
    <row r="1442" spans="23:23">
      <c r="W1442" t="s">
        <v>4030</v>
      </c>
    </row>
    <row r="1443" spans="23:23">
      <c r="W1443" t="s">
        <v>3196</v>
      </c>
    </row>
    <row r="1444" spans="23:23">
      <c r="W1444" t="s">
        <v>2387</v>
      </c>
    </row>
    <row r="1445" spans="23:23">
      <c r="W1445" t="s">
        <v>2242</v>
      </c>
    </row>
    <row r="1446" spans="23:23">
      <c r="W1446" t="s">
        <v>2702</v>
      </c>
    </row>
    <row r="1447" spans="23:23">
      <c r="W1447" t="s">
        <v>3425</v>
      </c>
    </row>
    <row r="1448" spans="23:23">
      <c r="W1448" t="s">
        <v>2704</v>
      </c>
    </row>
    <row r="1449" spans="23:23">
      <c r="W1449" t="s">
        <v>2904</v>
      </c>
    </row>
    <row r="1450" spans="23:23">
      <c r="W1450" t="s">
        <v>2906</v>
      </c>
    </row>
    <row r="1451" spans="23:23">
      <c r="W1451" t="s">
        <v>4447</v>
      </c>
    </row>
    <row r="1452" spans="23:23">
      <c r="W1452" t="s">
        <v>4449</v>
      </c>
    </row>
    <row r="1453" spans="23:23">
      <c r="W1453" t="s">
        <v>3950</v>
      </c>
    </row>
    <row r="1454" spans="23:23">
      <c r="W1454" t="s">
        <v>2656</v>
      </c>
    </row>
    <row r="1455" spans="23:23">
      <c r="W1455" t="s">
        <v>3767</v>
      </c>
    </row>
    <row r="1456" spans="23:23">
      <c r="W1456" t="s">
        <v>3765</v>
      </c>
    </row>
    <row r="1457" spans="23:23">
      <c r="W1457" t="s">
        <v>2106</v>
      </c>
    </row>
    <row r="1458" spans="23:23">
      <c r="W1458" t="s">
        <v>1506</v>
      </c>
    </row>
    <row r="1459" spans="23:23">
      <c r="W1459" t="s">
        <v>2563</v>
      </c>
    </row>
    <row r="1460" spans="23:23">
      <c r="W1460" t="s">
        <v>3608</v>
      </c>
    </row>
    <row r="1461" spans="23:23">
      <c r="W1461" t="s">
        <v>2946</v>
      </c>
    </row>
    <row r="1462" spans="23:23">
      <c r="W1462" t="s">
        <v>3769</v>
      </c>
    </row>
    <row r="1463" spans="23:23">
      <c r="W1463" t="s">
        <v>1508</v>
      </c>
    </row>
    <row r="1464" spans="23:23">
      <c r="W1464" t="s">
        <v>2244</v>
      </c>
    </row>
    <row r="1465" spans="23:23">
      <c r="W1465" t="s">
        <v>3136</v>
      </c>
    </row>
    <row r="1466" spans="23:23">
      <c r="W1466" t="s">
        <v>3098</v>
      </c>
    </row>
    <row r="1467" spans="23:23">
      <c r="W1467" t="s">
        <v>4122</v>
      </c>
    </row>
    <row r="1468" spans="23:23">
      <c r="W1468" t="s">
        <v>2342</v>
      </c>
    </row>
    <row r="1469" spans="23:23">
      <c r="W1469" t="s">
        <v>1480</v>
      </c>
    </row>
    <row r="1470" spans="23:23">
      <c r="W1470" t="s">
        <v>3100</v>
      </c>
    </row>
    <row r="1471" spans="23:23">
      <c r="W1471" t="s">
        <v>3729</v>
      </c>
    </row>
    <row r="1472" spans="23:23">
      <c r="W1472" t="s">
        <v>3476</v>
      </c>
    </row>
    <row r="1473" spans="23:23">
      <c r="W1473" t="s">
        <v>4032</v>
      </c>
    </row>
    <row r="1474" spans="23:23">
      <c r="W1474" t="s">
        <v>3431</v>
      </c>
    </row>
    <row r="1475" spans="23:23">
      <c r="W1475" t="s">
        <v>1514</v>
      </c>
    </row>
    <row r="1476" spans="23:23">
      <c r="W1476" t="s">
        <v>2281</v>
      </c>
    </row>
    <row r="1477" spans="23:23">
      <c r="W1477" t="s">
        <v>3242</v>
      </c>
    </row>
    <row r="1478" spans="23:23">
      <c r="W1478" t="s">
        <v>3244</v>
      </c>
    </row>
    <row r="1479" spans="23:23">
      <c r="W1479" t="s">
        <v>2389</v>
      </c>
    </row>
    <row r="1480" spans="23:23">
      <c r="W1480" t="s">
        <v>1885</v>
      </c>
    </row>
    <row r="1481" spans="23:23">
      <c r="W1481" t="s">
        <v>2344</v>
      </c>
    </row>
    <row r="1482" spans="23:23">
      <c r="W1482" t="s">
        <v>4214</v>
      </c>
    </row>
    <row r="1483" spans="23:23">
      <c r="W1483" t="s">
        <v>4178</v>
      </c>
    </row>
    <row r="1484" spans="23:23">
      <c r="W1484" t="s">
        <v>3246</v>
      </c>
    </row>
    <row r="1485" spans="23:23">
      <c r="W1485" t="s">
        <v>3875</v>
      </c>
    </row>
    <row r="1486" spans="23:23">
      <c r="W1486" t="s">
        <v>4054</v>
      </c>
    </row>
    <row r="1487" spans="23:23">
      <c r="W1487" t="s">
        <v>2346</v>
      </c>
    </row>
    <row r="1488" spans="23:23">
      <c r="W1488" t="s">
        <v>2865</v>
      </c>
    </row>
    <row r="1489" spans="23:23">
      <c r="W1489" t="s">
        <v>3954</v>
      </c>
    </row>
    <row r="1490" spans="23:23">
      <c r="W1490" t="s">
        <v>2316</v>
      </c>
    </row>
    <row r="1491" spans="23:23">
      <c r="W1491" t="s">
        <v>1555</v>
      </c>
    </row>
    <row r="1492" spans="23:23">
      <c r="W1492" t="s">
        <v>3877</v>
      </c>
    </row>
    <row r="1493" spans="23:23">
      <c r="W1493" t="s">
        <v>2060</v>
      </c>
    </row>
    <row r="1494" spans="23:23">
      <c r="W1494" t="s">
        <v>2867</v>
      </c>
    </row>
    <row r="1495" spans="23:23">
      <c r="W1495" t="s">
        <v>1804</v>
      </c>
    </row>
    <row r="1496" spans="23:23">
      <c r="W1496" t="s">
        <v>1429</v>
      </c>
    </row>
    <row r="1497" spans="23:23">
      <c r="W1497" t="s">
        <v>2744</v>
      </c>
    </row>
    <row r="1498" spans="23:23">
      <c r="W1498" t="s">
        <v>3198</v>
      </c>
    </row>
    <row r="1499" spans="23:23">
      <c r="W1499" t="s">
        <v>3120</v>
      </c>
    </row>
    <row r="1500" spans="23:23">
      <c r="W1500" t="s">
        <v>4261</v>
      </c>
    </row>
    <row r="1501" spans="23:23">
      <c r="W1501" t="s">
        <v>3570</v>
      </c>
    </row>
    <row r="1502" spans="23:23">
      <c r="W1502" t="s">
        <v>1974</v>
      </c>
    </row>
    <row r="1503" spans="23:23">
      <c r="W1503" t="s">
        <v>1847</v>
      </c>
    </row>
    <row r="1504" spans="23:23">
      <c r="W1504" t="s">
        <v>2660</v>
      </c>
    </row>
    <row r="1505" spans="23:23">
      <c r="W1505" t="s">
        <v>3045</v>
      </c>
    </row>
    <row r="1506" spans="23:23">
      <c r="W1506" t="s">
        <v>2185</v>
      </c>
    </row>
    <row r="1507" spans="23:23">
      <c r="W1507" t="s">
        <v>3248</v>
      </c>
    </row>
    <row r="1508" spans="23:23">
      <c r="W1508" t="s">
        <v>2391</v>
      </c>
    </row>
    <row r="1509" spans="23:23">
      <c r="W1509" t="s">
        <v>2246</v>
      </c>
    </row>
    <row r="1510" spans="23:23">
      <c r="W1510" t="s">
        <v>2732</v>
      </c>
    </row>
    <row r="1511" spans="23:23">
      <c r="W1511" t="s">
        <v>3688</v>
      </c>
    </row>
    <row r="1512" spans="23:23">
      <c r="W1512" t="s">
        <v>3138</v>
      </c>
    </row>
    <row r="1513" spans="23:23">
      <c r="W1513" t="s">
        <v>2483</v>
      </c>
    </row>
    <row r="1514" spans="23:23">
      <c r="W1514" t="s">
        <v>3140</v>
      </c>
    </row>
    <row r="1515" spans="23:23">
      <c r="W1515" t="s">
        <v>3771</v>
      </c>
    </row>
    <row r="1516" spans="23:23">
      <c r="W1516" t="s">
        <v>3956</v>
      </c>
    </row>
    <row r="1517" spans="23:23">
      <c r="W1517" t="s">
        <v>4215</v>
      </c>
    </row>
    <row r="1518" spans="23:23">
      <c r="W1518" t="s">
        <v>1573</v>
      </c>
    </row>
    <row r="1519" spans="23:23">
      <c r="W1519" t="s">
        <v>2632</v>
      </c>
    </row>
    <row r="1520" spans="23:23">
      <c r="W1520" t="s">
        <v>2283</v>
      </c>
    </row>
    <row r="1521" spans="23:23">
      <c r="W1521" t="s">
        <v>2393</v>
      </c>
    </row>
    <row r="1522" spans="23:23">
      <c r="W1522" t="s">
        <v>3433</v>
      </c>
    </row>
    <row r="1523" spans="23:23">
      <c r="W1523" t="s">
        <v>1976</v>
      </c>
    </row>
    <row r="1524" spans="23:23">
      <c r="W1524" t="s">
        <v>4188</v>
      </c>
    </row>
    <row r="1525" spans="23:23">
      <c r="W1525" t="s">
        <v>4088</v>
      </c>
    </row>
    <row r="1526" spans="23:23">
      <c r="W1526" t="s">
        <v>3819</v>
      </c>
    </row>
    <row r="1527" spans="23:23">
      <c r="W1527" t="s">
        <v>4190</v>
      </c>
    </row>
    <row r="1528" spans="23:23">
      <c r="W1528" t="s">
        <v>2248</v>
      </c>
    </row>
    <row r="1529" spans="23:23">
      <c r="W1529" t="s">
        <v>2334</v>
      </c>
    </row>
    <row r="1530" spans="23:23">
      <c r="W1530" t="s">
        <v>2972</v>
      </c>
    </row>
    <row r="1531" spans="23:23">
      <c r="W1531" t="s">
        <v>3581</v>
      </c>
    </row>
    <row r="1532" spans="23:23">
      <c r="W1532" t="s">
        <v>1927</v>
      </c>
    </row>
    <row r="1533" spans="23:23">
      <c r="W1533" t="s">
        <v>4339</v>
      </c>
    </row>
    <row r="1534" spans="23:23">
      <c r="W1534" t="s">
        <v>1806</v>
      </c>
    </row>
    <row r="1535" spans="23:23">
      <c r="W1535" t="s">
        <v>2857</v>
      </c>
    </row>
    <row r="1536" spans="23:23">
      <c r="W1536" t="s">
        <v>4056</v>
      </c>
    </row>
    <row r="1537" spans="23:23">
      <c r="W1537" t="s">
        <v>4263</v>
      </c>
    </row>
    <row r="1538" spans="23:23">
      <c r="W1538" t="s">
        <v>2187</v>
      </c>
    </row>
    <row r="1539" spans="23:23">
      <c r="W1539" t="s">
        <v>2662</v>
      </c>
    </row>
    <row r="1540" spans="23:23">
      <c r="W1540" t="s">
        <v>3582</v>
      </c>
    </row>
    <row r="1541" spans="23:23">
      <c r="W1541" t="s">
        <v>4058</v>
      </c>
    </row>
    <row r="1542" spans="23:23">
      <c r="W1542" t="s">
        <v>3435</v>
      </c>
    </row>
    <row r="1543" spans="23:23">
      <c r="W1543" t="s">
        <v>2068</v>
      </c>
    </row>
    <row r="1544" spans="23:23">
      <c r="W1544" t="s">
        <v>1701</v>
      </c>
    </row>
    <row r="1545" spans="23:23">
      <c r="W1545" t="s">
        <v>2484</v>
      </c>
    </row>
    <row r="1546" spans="23:23">
      <c r="W1546" t="s">
        <v>4217</v>
      </c>
    </row>
    <row r="1547" spans="23:23">
      <c r="W1547" t="s">
        <v>1703</v>
      </c>
    </row>
    <row r="1548" spans="23:23">
      <c r="W1548" t="s">
        <v>4060</v>
      </c>
    </row>
    <row r="1549" spans="23:23">
      <c r="W1549" t="s">
        <v>3572</v>
      </c>
    </row>
    <row r="1550" spans="23:23">
      <c r="W1550" t="s">
        <v>1941</v>
      </c>
    </row>
    <row r="1551" spans="23:23">
      <c r="W1551" t="s">
        <v>4124</v>
      </c>
    </row>
    <row r="1552" spans="23:23">
      <c r="W1552" t="s">
        <v>1929</v>
      </c>
    </row>
    <row r="1553" spans="23:23">
      <c r="W1553" t="s">
        <v>3437</v>
      </c>
    </row>
    <row r="1554" spans="23:23">
      <c r="W1554" t="s">
        <v>3142</v>
      </c>
    </row>
    <row r="1555" spans="23:23">
      <c r="W1555" t="s">
        <v>1516</v>
      </c>
    </row>
    <row r="1556" spans="23:23">
      <c r="W1556" t="s">
        <v>3574</v>
      </c>
    </row>
    <row r="1557" spans="23:23">
      <c r="W1557" t="s">
        <v>4126</v>
      </c>
    </row>
    <row r="1558" spans="23:23">
      <c r="W1558" t="s">
        <v>1943</v>
      </c>
    </row>
    <row r="1559" spans="23:23">
      <c r="W1559" t="s">
        <v>3144</v>
      </c>
    </row>
    <row r="1560" spans="23:23">
      <c r="W1560" t="s">
        <v>4351</v>
      </c>
    </row>
    <row r="1561" spans="23:23">
      <c r="W1561" t="s">
        <v>3480</v>
      </c>
    </row>
    <row r="1562" spans="23:23">
      <c r="W1562" t="s">
        <v>3773</v>
      </c>
    </row>
    <row r="1563" spans="23:23">
      <c r="W1563" t="s">
        <v>3200</v>
      </c>
    </row>
    <row r="1564" spans="23:23">
      <c r="W1564" t="s">
        <v>4265</v>
      </c>
    </row>
    <row r="1565" spans="23:23">
      <c r="W1565" t="s">
        <v>4062</v>
      </c>
    </row>
    <row r="1566" spans="23:23">
      <c r="W1566" t="s">
        <v>2859</v>
      </c>
    </row>
    <row r="1567" spans="23:23">
      <c r="W1567" t="s">
        <v>1431</v>
      </c>
    </row>
    <row r="1568" spans="23:23">
      <c r="W1568" t="s">
        <v>3047</v>
      </c>
    </row>
    <row r="1569" spans="23:23">
      <c r="W1569" t="s">
        <v>2634</v>
      </c>
    </row>
    <row r="1570" spans="23:23">
      <c r="W1570" t="s">
        <v>4353</v>
      </c>
    </row>
    <row r="1571" spans="23:23">
      <c r="W1571" t="s">
        <v>3584</v>
      </c>
    </row>
    <row r="1572" spans="23:23">
      <c r="W1572" t="s">
        <v>2664</v>
      </c>
    </row>
    <row r="1573" spans="23:23">
      <c r="W1573" t="s">
        <v>3481</v>
      </c>
    </row>
    <row r="1574" spans="23:23">
      <c r="W1574" t="s">
        <v>3482</v>
      </c>
    </row>
    <row r="1575" spans="23:23">
      <c r="W1575" t="s">
        <v>3019</v>
      </c>
    </row>
    <row r="1576" spans="23:23">
      <c r="W1576" t="s">
        <v>4090</v>
      </c>
    </row>
    <row r="1577" spans="23:23">
      <c r="W1577" t="s">
        <v>4063</v>
      </c>
    </row>
    <row r="1578" spans="23:23">
      <c r="W1578" t="s">
        <v>2285</v>
      </c>
    </row>
    <row r="1579" spans="23:23">
      <c r="W1579" t="s">
        <v>3690</v>
      </c>
    </row>
    <row r="1580" spans="23:23">
      <c r="W1580" t="s">
        <v>2250</v>
      </c>
    </row>
    <row r="1581" spans="23:23">
      <c r="W1581" t="s">
        <v>2635</v>
      </c>
    </row>
    <row r="1582" spans="23:23">
      <c r="W1582" t="s">
        <v>1575</v>
      </c>
    </row>
    <row r="1583" spans="23:23">
      <c r="W1583" t="s">
        <v>1808</v>
      </c>
    </row>
    <row r="1584" spans="23:23">
      <c r="W1584" t="s">
        <v>2070</v>
      </c>
    </row>
    <row r="1585" spans="23:23">
      <c r="W1585" t="s">
        <v>3362</v>
      </c>
    </row>
    <row r="1586" spans="23:23">
      <c r="W1586" t="s">
        <v>3122</v>
      </c>
    </row>
    <row r="1587" spans="23:23">
      <c r="W1587" t="s">
        <v>1809</v>
      </c>
    </row>
    <row r="1588" spans="23:23">
      <c r="W1588" t="s">
        <v>3020</v>
      </c>
    </row>
    <row r="1589" spans="23:23">
      <c r="W1589" t="s">
        <v>3576</v>
      </c>
    </row>
    <row r="1590" spans="23:23">
      <c r="W1590" t="s">
        <v>3402</v>
      </c>
    </row>
    <row r="1591" spans="23:23">
      <c r="W1591" t="s">
        <v>3731</v>
      </c>
    </row>
    <row r="1592" spans="23:23">
      <c r="W1592" t="s">
        <v>3021</v>
      </c>
    </row>
    <row r="1593" spans="23:23">
      <c r="W1593" t="s">
        <v>2861</v>
      </c>
    </row>
    <row r="1594" spans="23:23">
      <c r="W1594" t="s">
        <v>3483</v>
      </c>
    </row>
    <row r="1595" spans="23:23">
      <c r="W1595" t="s">
        <v>2636</v>
      </c>
    </row>
    <row r="1596" spans="23:23">
      <c r="W1596" t="s">
        <v>2869</v>
      </c>
    </row>
    <row r="1597" spans="23:23">
      <c r="W1597" t="s">
        <v>3250</v>
      </c>
    </row>
    <row r="1598" spans="23:23">
      <c r="W1598" t="s">
        <v>1887</v>
      </c>
    </row>
    <row r="1599" spans="23:23">
      <c r="W1599" t="s">
        <v>1705</v>
      </c>
    </row>
    <row r="1600" spans="23:23">
      <c r="W1600" t="s">
        <v>3123</v>
      </c>
    </row>
    <row r="1601" spans="23:23">
      <c r="W1601" t="s">
        <v>4267</v>
      </c>
    </row>
    <row r="1602" spans="23:23">
      <c r="W1602" t="s">
        <v>3146</v>
      </c>
    </row>
    <row r="1603" spans="23:23">
      <c r="W1603" t="s">
        <v>3821</v>
      </c>
    </row>
    <row r="1604" spans="23:23">
      <c r="W1604" t="s">
        <v>2581</v>
      </c>
    </row>
    <row r="1605" spans="23:23">
      <c r="W1605" t="s">
        <v>4128</v>
      </c>
    </row>
    <row r="1606" spans="23:23">
      <c r="W1606" t="s">
        <v>2251</v>
      </c>
    </row>
    <row r="1607" spans="23:23">
      <c r="W1607" t="s">
        <v>3403</v>
      </c>
    </row>
    <row r="1608" spans="23:23">
      <c r="W1608" t="s">
        <v>4130</v>
      </c>
    </row>
    <row r="1609" spans="23:23">
      <c r="W1609" t="s">
        <v>3363</v>
      </c>
    </row>
    <row r="1610" spans="23:23">
      <c r="W1610" t="s">
        <v>2794</v>
      </c>
    </row>
    <row r="1611" spans="23:23">
      <c r="W1611" t="s">
        <v>2253</v>
      </c>
    </row>
    <row r="1612" spans="23:23">
      <c r="W1612" t="s">
        <v>2255</v>
      </c>
    </row>
    <row r="1613" spans="23:23">
      <c r="W1613" t="s">
        <v>4132</v>
      </c>
    </row>
    <row r="1614" spans="23:23">
      <c r="W1614" t="s">
        <v>3252</v>
      </c>
    </row>
    <row r="1615" spans="23:23">
      <c r="W1615" t="s">
        <v>1945</v>
      </c>
    </row>
    <row r="1616" spans="23:23">
      <c r="W1616" t="s">
        <v>4341</v>
      </c>
    </row>
    <row r="1617" spans="23:23">
      <c r="W1617" t="s">
        <v>1482</v>
      </c>
    </row>
    <row r="1618" spans="23:23">
      <c r="W1618" t="s">
        <v>2071</v>
      </c>
    </row>
    <row r="1619" spans="23:23">
      <c r="W1619" t="s">
        <v>3585</v>
      </c>
    </row>
    <row r="1620" spans="23:23">
      <c r="W1620" t="s">
        <v>1947</v>
      </c>
    </row>
    <row r="1621" spans="23:23">
      <c r="W1621" t="s">
        <v>1810</v>
      </c>
    </row>
    <row r="1622" spans="23:23">
      <c r="W1622" t="s">
        <v>3691</v>
      </c>
    </row>
    <row r="1623" spans="23:23">
      <c r="W1623" t="s">
        <v>3201</v>
      </c>
    </row>
    <row r="1624" spans="23:23">
      <c r="W1624" t="s">
        <v>3022</v>
      </c>
    </row>
    <row r="1625" spans="23:23">
      <c r="W1625" t="s">
        <v>2189</v>
      </c>
    </row>
    <row r="1626" spans="23:23">
      <c r="W1626" t="s">
        <v>4091</v>
      </c>
    </row>
    <row r="1627" spans="23:23">
      <c r="W1627" t="s">
        <v>1931</v>
      </c>
    </row>
    <row r="1628" spans="23:23">
      <c r="W1628" t="s">
        <v>1484</v>
      </c>
    </row>
    <row r="1629" spans="23:23">
      <c r="W1629" t="s">
        <v>4191</v>
      </c>
    </row>
    <row r="1630" spans="23:23">
      <c r="W1630" t="s">
        <v>2335</v>
      </c>
    </row>
    <row r="1631" spans="23:23">
      <c r="W1631" t="s">
        <v>2395</v>
      </c>
    </row>
    <row r="1632" spans="23:23">
      <c r="W1632" t="s">
        <v>4134</v>
      </c>
    </row>
    <row r="1633" spans="23:23">
      <c r="W1633" t="s">
        <v>1486</v>
      </c>
    </row>
    <row r="1634" spans="23:23">
      <c r="W1634" t="s">
        <v>2973</v>
      </c>
    </row>
    <row r="1635" spans="23:23">
      <c r="W1635" t="s">
        <v>1713</v>
      </c>
    </row>
    <row r="1636" spans="23:23">
      <c r="W1636" t="s">
        <v>3732</v>
      </c>
    </row>
    <row r="1637" spans="23:23">
      <c r="W1637" t="s">
        <v>2796</v>
      </c>
    </row>
    <row r="1638" spans="23:23">
      <c r="W1638" t="s">
        <v>3733</v>
      </c>
    </row>
    <row r="1639" spans="23:23">
      <c r="W1639" t="s">
        <v>2797</v>
      </c>
    </row>
    <row r="1640" spans="23:23">
      <c r="W1640" t="s">
        <v>2191</v>
      </c>
    </row>
    <row r="1641" spans="23:23">
      <c r="W1641" t="s">
        <v>2073</v>
      </c>
    </row>
    <row r="1642" spans="23:23">
      <c r="W1642" t="s">
        <v>1889</v>
      </c>
    </row>
    <row r="1643" spans="23:23">
      <c r="W1643" t="s">
        <v>1714</v>
      </c>
    </row>
    <row r="1644" spans="23:23">
      <c r="W1644" t="s">
        <v>4219</v>
      </c>
    </row>
  </sheetData>
  <sortState xmlns:xlrd2="http://schemas.microsoft.com/office/spreadsheetml/2017/richdata2" ref="Z3:Z92">
    <sortCondition ref="Z3"/>
  </sortState>
  <pageMargins left="0.7" right="0.7" top="0.75" bottom="0.75" header="0.3" footer="0.3"/>
  <pageSetup orientation="portrait"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4264B-2FDA-4ED4-9C1B-86808C97DEF7}">
  <sheetPr codeName="Sheet16">
    <tabColor theme="3" tint="0.59999389629810485"/>
    <pageSetUpPr fitToPage="1"/>
  </sheetPr>
  <dimension ref="A1:IN106"/>
  <sheetViews>
    <sheetView workbookViewId="0"/>
  </sheetViews>
  <sheetFormatPr defaultColWidth="11.7109375" defaultRowHeight="11.25"/>
  <cols>
    <col min="1" max="2" width="4" style="748" customWidth="1"/>
    <col min="3" max="3" width="10.28515625" style="748" customWidth="1"/>
    <col min="4" max="4" width="58.85546875" style="748" customWidth="1"/>
    <col min="5" max="6" width="11.7109375" style="748" customWidth="1"/>
    <col min="7" max="8" width="15.140625" style="748" customWidth="1"/>
    <col min="9" max="9" width="5.42578125" style="748" customWidth="1"/>
    <col min="10" max="10" width="10.7109375" style="748" customWidth="1"/>
    <col min="11" max="12" width="11.7109375" style="748"/>
    <col min="13" max="14" width="4" style="748" customWidth="1"/>
    <col min="15" max="15" width="10.28515625" style="748" customWidth="1"/>
    <col min="16" max="16" width="58.85546875" style="748" customWidth="1"/>
    <col min="17" max="17" width="11.7109375" style="748"/>
    <col min="18" max="18" width="12.85546875" style="748" customWidth="1"/>
    <col min="19" max="19" width="8.85546875" style="748" customWidth="1"/>
    <col min="20" max="20" width="15.140625" style="748" customWidth="1"/>
    <col min="21" max="21" width="4.7109375" style="748" customWidth="1"/>
    <col min="22" max="22" width="11.5703125" style="748" customWidth="1"/>
    <col min="23" max="23" width="10.7109375" style="748" customWidth="1"/>
    <col min="24" max="24" width="9.28515625" style="748" customWidth="1"/>
    <col min="25" max="25" width="10.7109375" style="748" customWidth="1"/>
    <col min="26" max="26" width="9" style="748" customWidth="1"/>
    <col min="27" max="27" width="9.28515625" style="748" customWidth="1"/>
    <col min="28" max="28" width="6.5703125" style="748" customWidth="1"/>
    <col min="29" max="29" width="30.5703125" style="748" customWidth="1"/>
    <col min="30" max="33" width="14" style="748" customWidth="1"/>
    <col min="34" max="34" width="12.7109375" style="748" customWidth="1"/>
    <col min="35" max="35" width="7.28515625" style="748" customWidth="1"/>
    <col min="36" max="36" width="11.140625" style="748" customWidth="1"/>
    <col min="37" max="37" width="10.28515625" style="748" customWidth="1"/>
    <col min="38" max="38" width="10.7109375" style="748" customWidth="1"/>
    <col min="39" max="39" width="10" style="748" customWidth="1"/>
    <col min="40" max="40" width="11.28515625" style="748" customWidth="1"/>
    <col min="41" max="41" width="11.7109375" style="748"/>
    <col min="42" max="42" width="10.140625" style="748" customWidth="1"/>
    <col min="43" max="43" width="10.42578125" style="748" customWidth="1"/>
    <col min="44" max="44" width="9.85546875" style="748" customWidth="1"/>
    <col min="45" max="45" width="10.28515625" style="748" customWidth="1"/>
    <col min="46" max="16384" width="11.7109375" style="748"/>
  </cols>
  <sheetData>
    <row r="1" spans="1:248" ht="12.75">
      <c r="AC1" s="753" t="s">
        <v>7562</v>
      </c>
    </row>
    <row r="2" spans="1:248" ht="18.75" thickBot="1">
      <c r="A2" s="1783" t="s">
        <v>7326</v>
      </c>
      <c r="B2" s="1784"/>
      <c r="C2" s="1784"/>
      <c r="D2" s="1784"/>
      <c r="E2" s="1784"/>
      <c r="F2" s="1784"/>
      <c r="G2" s="1784"/>
      <c r="H2" s="1784"/>
      <c r="I2"/>
      <c r="J2" s="2"/>
      <c r="K2" s="2"/>
      <c r="M2" s="1783" t="s">
        <v>7405</v>
      </c>
      <c r="N2" s="1784"/>
      <c r="O2" s="1784"/>
      <c r="P2" s="1784"/>
      <c r="Q2" s="1784"/>
      <c r="R2" s="1784"/>
      <c r="S2" s="1784"/>
      <c r="T2" s="1784"/>
      <c r="U2" s="796"/>
      <c r="V2"/>
      <c r="W2" s="2"/>
      <c r="X2" s="2"/>
      <c r="Y2" s="2"/>
      <c r="Z2" s="2"/>
      <c r="AA2" s="2"/>
    </row>
    <row r="3" spans="1:248" ht="15.75">
      <c r="A3" s="1784" t="s">
        <v>7327</v>
      </c>
      <c r="B3" s="1784"/>
      <c r="C3" s="1784"/>
      <c r="D3" s="1784"/>
      <c r="E3" s="1784"/>
      <c r="F3" s="1784"/>
      <c r="G3" s="1784"/>
      <c r="H3" s="1784"/>
      <c r="I3"/>
      <c r="J3" s="2"/>
      <c r="K3" s="2"/>
      <c r="M3" s="1784" t="str">
        <f>'TAB 3 Project Cost'!I5</f>
        <v/>
      </c>
      <c r="N3" s="1784"/>
      <c r="O3" s="1784"/>
      <c r="P3" s="1784"/>
      <c r="Q3" s="1784"/>
      <c r="R3" s="1784"/>
      <c r="S3" s="1784"/>
      <c r="T3" s="1784"/>
      <c r="U3" s="796"/>
      <c r="V3"/>
      <c r="W3" s="2"/>
      <c r="X3" s="2"/>
      <c r="Y3" s="2"/>
      <c r="Z3" s="2"/>
      <c r="AA3" s="2"/>
      <c r="AC3" s="981" t="s">
        <v>154</v>
      </c>
      <c r="AD3" s="982">
        <f>'TAB 1 Proj. ID &amp; Prim Narrative'!D10</f>
        <v>0</v>
      </c>
      <c r="AE3" s="862"/>
      <c r="AF3" s="862"/>
      <c r="AG3" s="863"/>
    </row>
    <row r="4" spans="1:248" ht="15.75">
      <c r="A4" s="796"/>
      <c r="B4" s="796"/>
      <c r="C4" s="796"/>
      <c r="D4" s="796"/>
      <c r="E4" s="796"/>
      <c r="F4" s="796"/>
      <c r="G4" s="796"/>
      <c r="H4" s="796"/>
      <c r="I4"/>
      <c r="J4" s="2"/>
      <c r="K4" s="2"/>
      <c r="M4" s="796">
        <v>1</v>
      </c>
      <c r="N4" s="796">
        <v>2</v>
      </c>
      <c r="O4" s="796">
        <v>3</v>
      </c>
      <c r="P4" s="796">
        <v>4</v>
      </c>
      <c r="Q4" s="796">
        <v>6</v>
      </c>
      <c r="R4" s="796">
        <v>7</v>
      </c>
      <c r="S4" s="796"/>
      <c r="T4" s="796">
        <v>8</v>
      </c>
      <c r="U4" s="796">
        <v>9</v>
      </c>
      <c r="V4" s="796"/>
      <c r="W4" s="2"/>
      <c r="X4" s="2"/>
      <c r="Y4" s="2"/>
      <c r="Z4" s="2"/>
      <c r="AA4" s="2"/>
      <c r="AC4" s="983" t="s">
        <v>6701</v>
      </c>
      <c r="AD4" s="984">
        <f>'TAB 1 Proj. ID &amp; Prim Narrative'!B7</f>
        <v>0</v>
      </c>
      <c r="AE4" s="985"/>
      <c r="AF4" s="985"/>
      <c r="AG4" s="986"/>
    </row>
    <row r="5" spans="1:248" ht="13.5" thickBot="1">
      <c r="A5" s="3" t="s">
        <v>7328</v>
      </c>
      <c r="B5" s="3"/>
      <c r="C5" s="3"/>
      <c r="D5" s="1" t="s">
        <v>7538</v>
      </c>
      <c r="E5" s="3"/>
      <c r="F5" s="3"/>
      <c r="G5" s="758"/>
      <c r="H5" s="758"/>
      <c r="I5"/>
      <c r="J5" s="2"/>
      <c r="K5" s="2"/>
      <c r="M5" s="3" t="s">
        <v>7328</v>
      </c>
      <c r="Q5" s="3"/>
      <c r="R5" s="758"/>
      <c r="S5" s="758"/>
      <c r="T5" s="758"/>
      <c r="U5" s="804"/>
      <c r="V5"/>
      <c r="W5" s="2"/>
      <c r="X5" s="2"/>
      <c r="Y5" s="2"/>
      <c r="Z5" s="2"/>
      <c r="AA5" s="2"/>
      <c r="AC5" s="987" t="s">
        <v>100</v>
      </c>
      <c r="AD5" s="988">
        <f>'TAB 1 Proj. ID &amp; Prim Narrative'!F7</f>
        <v>0</v>
      </c>
      <c r="AE5" s="989"/>
      <c r="AF5" s="989"/>
      <c r="AG5" s="990"/>
    </row>
    <row r="6" spans="1:248" ht="12.75">
      <c r="A6" s="759" t="s">
        <v>7329</v>
      </c>
      <c r="B6" s="759"/>
      <c r="C6" s="759"/>
      <c r="D6" s="760" t="s">
        <v>7538</v>
      </c>
      <c r="E6" s="759"/>
      <c r="F6" s="759"/>
      <c r="G6" s="759" t="s">
        <v>7330</v>
      </c>
      <c r="H6" s="761" t="s">
        <v>7539</v>
      </c>
      <c r="I6"/>
      <c r="J6" s="2"/>
      <c r="K6" s="2"/>
      <c r="M6" s="759" t="s">
        <v>7329</v>
      </c>
      <c r="Q6" s="759"/>
      <c r="R6" s="759" t="s">
        <v>7330</v>
      </c>
      <c r="S6" s="759"/>
      <c r="T6" s="800"/>
      <c r="U6" s="804"/>
      <c r="V6"/>
      <c r="W6" s="2"/>
      <c r="X6" s="2"/>
      <c r="Y6" s="2"/>
      <c r="Z6" s="2"/>
      <c r="AA6" s="2"/>
    </row>
    <row r="7" spans="1:248" ht="13.5" thickBot="1">
      <c r="A7" s="759" t="s">
        <v>7331</v>
      </c>
      <c r="B7" s="759"/>
      <c r="C7" s="759"/>
      <c r="D7" s="760" t="s">
        <v>7538</v>
      </c>
      <c r="E7" s="759"/>
      <c r="F7" s="759" t="s">
        <v>7332</v>
      </c>
      <c r="G7" s="759" t="s">
        <v>7333</v>
      </c>
      <c r="H7" s="762" t="s">
        <v>7540</v>
      </c>
      <c r="I7"/>
      <c r="J7" s="2"/>
      <c r="K7" s="2"/>
      <c r="M7" s="759" t="s">
        <v>7331</v>
      </c>
      <c r="Q7" s="759" t="s">
        <v>7332</v>
      </c>
      <c r="R7" s="759" t="s">
        <v>7333</v>
      </c>
      <c r="S7" s="759"/>
      <c r="T7" s="801"/>
      <c r="U7" s="805"/>
      <c r="V7"/>
      <c r="W7" s="2"/>
      <c r="X7" s="2"/>
      <c r="Y7" s="2"/>
      <c r="Z7" s="2"/>
      <c r="AA7" s="2"/>
    </row>
    <row r="8" spans="1:248" ht="13.5" thickBot="1">
      <c r="A8" s="759" t="s">
        <v>7334</v>
      </c>
      <c r="B8" s="759"/>
      <c r="C8" s="759"/>
      <c r="D8" s="760" t="s">
        <v>6015</v>
      </c>
      <c r="E8" s="759"/>
      <c r="F8" s="759"/>
      <c r="G8" s="759" t="s">
        <v>7335</v>
      </c>
      <c r="H8" s="763"/>
      <c r="I8"/>
      <c r="J8" s="2"/>
      <c r="K8" s="2"/>
      <c r="M8" s="759" t="s">
        <v>7334</v>
      </c>
      <c r="N8" s="759"/>
      <c r="O8" s="759"/>
      <c r="P8" s="799" t="s">
        <v>6015</v>
      </c>
      <c r="Q8" s="759"/>
      <c r="R8" s="759" t="s">
        <v>7335</v>
      </c>
      <c r="S8" s="759"/>
      <c r="T8" s="802"/>
      <c r="U8" s="766"/>
      <c r="V8" s="333" t="s">
        <v>364</v>
      </c>
      <c r="W8" s="748" t="s">
        <v>7410</v>
      </c>
      <c r="X8" s="806" t="s">
        <v>273</v>
      </c>
      <c r="Y8" s="806" t="s">
        <v>274</v>
      </c>
      <c r="Z8" s="806" t="s">
        <v>275</v>
      </c>
      <c r="AA8" s="2"/>
      <c r="AC8" s="979" t="s">
        <v>408</v>
      </c>
      <c r="AD8" s="980" t="str">
        <f>'TAB 3 Project Cost'!I5</f>
        <v/>
      </c>
    </row>
    <row r="9" spans="1:248" ht="12.75">
      <c r="A9" s="759" t="s">
        <v>7336</v>
      </c>
      <c r="B9" s="759"/>
      <c r="C9" s="759"/>
      <c r="D9" s="760" t="s">
        <v>7253</v>
      </c>
      <c r="E9" s="759"/>
      <c r="F9" s="759"/>
      <c r="G9" s="759"/>
      <c r="H9" s="763"/>
      <c r="I9"/>
      <c r="J9" s="2"/>
      <c r="K9" s="2"/>
      <c r="M9" s="759" t="s">
        <v>7336</v>
      </c>
      <c r="N9" s="759"/>
      <c r="O9" s="759"/>
      <c r="P9" s="799" t="s">
        <v>7253</v>
      </c>
      <c r="Q9" s="759"/>
      <c r="R9" s="759"/>
      <c r="S9" s="759"/>
      <c r="T9" s="763"/>
      <c r="U9" s="766"/>
      <c r="V9" s="807">
        <v>75000</v>
      </c>
      <c r="W9" s="808">
        <f>X9+Y9+Z9</f>
        <v>0</v>
      </c>
      <c r="X9" s="808">
        <v>0</v>
      </c>
      <c r="Y9" s="808">
        <v>0</v>
      </c>
      <c r="Z9" s="808">
        <v>0</v>
      </c>
      <c r="AA9" s="2"/>
      <c r="AB9" s="2"/>
      <c r="AC9" s="367"/>
      <c r="AD9" s="902"/>
      <c r="AE9" s="898"/>
      <c r="AF9" s="899"/>
      <c r="AG9" s="900" t="s">
        <v>7560</v>
      </c>
      <c r="AH9" s="862"/>
      <c r="AI9" s="862"/>
      <c r="AJ9" s="862"/>
      <c r="AK9" s="862"/>
      <c r="AL9" s="862"/>
      <c r="AM9" s="862"/>
      <c r="AN9" s="862"/>
      <c r="AO9" s="862"/>
      <c r="AP9" s="863"/>
      <c r="AQ9" s="841" t="s">
        <v>7559</v>
      </c>
      <c r="AR9" s="842"/>
      <c r="AS9" s="842"/>
      <c r="AT9" s="842"/>
      <c r="AU9" s="842"/>
      <c r="AV9" s="842"/>
      <c r="AW9" s="843"/>
      <c r="AY9" s="749"/>
      <c r="AZ9" s="749"/>
      <c r="BA9" s="749"/>
      <c r="BB9" s="749"/>
      <c r="BC9" s="749"/>
      <c r="BD9" s="749"/>
      <c r="BE9" s="749"/>
      <c r="BF9" s="749"/>
      <c r="BG9" s="749"/>
      <c r="BH9" s="749"/>
      <c r="BI9" s="749"/>
      <c r="BJ9" s="749"/>
      <c r="BK9" s="749"/>
      <c r="BL9" s="749"/>
      <c r="BM9" s="749"/>
      <c r="BN9" s="749"/>
      <c r="BO9" s="749"/>
      <c r="BP9" s="749"/>
      <c r="BQ9" s="749"/>
      <c r="BR9" s="749"/>
      <c r="BS9" s="749"/>
      <c r="BT9" s="749"/>
      <c r="BU9" s="749"/>
      <c r="BV9" s="749"/>
      <c r="BW9" s="749"/>
      <c r="BX9" s="749"/>
      <c r="BY9" s="749"/>
      <c r="BZ9" s="749"/>
      <c r="CA9" s="749"/>
      <c r="CB9" s="749"/>
      <c r="CC9" s="749"/>
      <c r="CD9" s="749"/>
      <c r="CE9" s="749"/>
      <c r="CF9" s="749"/>
      <c r="CG9" s="749"/>
      <c r="CH9" s="749"/>
      <c r="CI9" s="749"/>
      <c r="CJ9" s="749"/>
      <c r="CK9" s="749"/>
      <c r="CL9" s="749"/>
      <c r="CM9" s="749"/>
      <c r="CN9" s="749"/>
      <c r="CO9" s="749"/>
      <c r="CP9" s="749"/>
      <c r="CQ9" s="749"/>
      <c r="CR9" s="749"/>
      <c r="CS9" s="749"/>
      <c r="CT9" s="749"/>
      <c r="CU9" s="749"/>
      <c r="CV9" s="749"/>
      <c r="CW9" s="749"/>
      <c r="CX9" s="749"/>
      <c r="CY9" s="749"/>
      <c r="CZ9" s="749"/>
      <c r="DA9" s="749"/>
      <c r="DB9" s="749"/>
      <c r="DC9" s="749"/>
      <c r="DD9" s="749"/>
      <c r="DE9" s="749"/>
      <c r="DF9" s="749"/>
      <c r="DG9" s="749"/>
      <c r="DH9" s="749"/>
      <c r="DI9" s="749"/>
      <c r="DJ9" s="749"/>
      <c r="DK9" s="749"/>
      <c r="DL9" s="749"/>
      <c r="DM9" s="749"/>
      <c r="DN9" s="749"/>
      <c r="DO9" s="749"/>
      <c r="DP9" s="749"/>
      <c r="DQ9" s="749"/>
      <c r="DR9" s="749"/>
      <c r="DS9" s="749"/>
      <c r="DT9" s="749"/>
      <c r="DU9" s="749"/>
      <c r="DV9" s="749"/>
      <c r="DW9" s="749"/>
      <c r="DX9" s="749"/>
      <c r="DY9" s="749"/>
      <c r="DZ9" s="749"/>
      <c r="EA9" s="749"/>
      <c r="EB9" s="749"/>
      <c r="EC9" s="749"/>
      <c r="ED9" s="749"/>
      <c r="EE9" s="749"/>
      <c r="EF9" s="749"/>
      <c r="EG9" s="749"/>
      <c r="EH9" s="749"/>
      <c r="EI9" s="749"/>
      <c r="EJ9" s="749"/>
      <c r="EK9" s="749"/>
      <c r="EL9" s="749"/>
      <c r="EM9" s="749"/>
      <c r="EN9" s="749"/>
      <c r="EO9" s="749"/>
      <c r="EP9" s="749"/>
      <c r="EQ9" s="749"/>
      <c r="ER9" s="749"/>
      <c r="ES9" s="749"/>
      <c r="ET9" s="749"/>
      <c r="EU9" s="749"/>
      <c r="EV9" s="749"/>
      <c r="EW9" s="749"/>
      <c r="EX9" s="749"/>
      <c r="EY9" s="749"/>
      <c r="EZ9" s="749"/>
      <c r="FA9" s="749"/>
      <c r="FB9" s="749"/>
      <c r="FC9" s="749"/>
      <c r="FD9" s="749"/>
      <c r="FE9" s="749"/>
      <c r="FF9" s="749"/>
      <c r="FG9" s="749"/>
      <c r="FH9" s="749"/>
      <c r="FI9" s="749"/>
      <c r="FJ9" s="749"/>
      <c r="FK9" s="749"/>
      <c r="FL9" s="749"/>
      <c r="FM9" s="749"/>
      <c r="FN9" s="749"/>
      <c r="FO9" s="749"/>
      <c r="FP9" s="749"/>
      <c r="FQ9" s="749"/>
      <c r="FR9" s="749"/>
      <c r="FS9" s="749"/>
      <c r="FT9" s="749"/>
      <c r="FU9" s="749"/>
      <c r="FV9" s="749"/>
      <c r="FW9" s="749"/>
      <c r="FX9" s="749"/>
      <c r="FY9" s="749"/>
      <c r="FZ9" s="749"/>
      <c r="GA9" s="749"/>
      <c r="GB9" s="749"/>
      <c r="GC9" s="749"/>
      <c r="GD9" s="749"/>
      <c r="GE9" s="749"/>
      <c r="GF9" s="749"/>
      <c r="GG9" s="749"/>
      <c r="GH9" s="749"/>
      <c r="GI9" s="749"/>
      <c r="GJ9" s="749"/>
      <c r="GK9" s="749"/>
      <c r="GL9" s="749"/>
      <c r="GM9" s="749"/>
      <c r="GN9" s="749"/>
      <c r="GO9" s="749"/>
      <c r="GP9" s="749"/>
      <c r="GQ9" s="749"/>
      <c r="GR9" s="749"/>
      <c r="GS9" s="749"/>
      <c r="GT9" s="749"/>
      <c r="GU9" s="749"/>
      <c r="GV9" s="749"/>
      <c r="GW9" s="749"/>
      <c r="GX9" s="749"/>
      <c r="GY9" s="749"/>
      <c r="GZ9" s="749"/>
      <c r="HA9" s="749"/>
      <c r="HB9" s="749"/>
      <c r="HC9" s="749"/>
      <c r="HD9" s="749"/>
      <c r="HE9" s="749"/>
      <c r="HF9" s="749"/>
      <c r="HG9" s="749"/>
      <c r="HH9" s="749"/>
      <c r="HI9" s="749"/>
      <c r="HJ9" s="749"/>
      <c r="HK9" s="749"/>
      <c r="HL9" s="749"/>
      <c r="HM9" s="749"/>
      <c r="HN9" s="749"/>
      <c r="HO9" s="749"/>
      <c r="HP9" s="749"/>
      <c r="HQ9" s="749"/>
      <c r="HR9" s="749"/>
      <c r="HS9" s="749"/>
      <c r="HT9" s="749"/>
      <c r="HU9" s="749"/>
      <c r="HV9" s="749"/>
      <c r="HW9" s="749"/>
      <c r="HX9" s="749"/>
      <c r="HY9" s="749"/>
      <c r="HZ9" s="749"/>
      <c r="IA9" s="749"/>
      <c r="IB9" s="749"/>
      <c r="IC9" s="749"/>
      <c r="ID9" s="749"/>
      <c r="IE9" s="749"/>
      <c r="IF9" s="749"/>
      <c r="IG9" s="749"/>
      <c r="IH9" s="749"/>
      <c r="II9" s="749"/>
      <c r="IJ9" s="749"/>
      <c r="IK9" s="749"/>
      <c r="IL9" s="749"/>
      <c r="IM9" s="749"/>
      <c r="IN9" s="749"/>
    </row>
    <row r="10" spans="1:248" ht="12.75">
      <c r="A10" s="759" t="s">
        <v>7337</v>
      </c>
      <c r="B10" s="759"/>
      <c r="C10" s="759"/>
      <c r="D10" s="760" t="s">
        <v>6015</v>
      </c>
      <c r="E10" s="759"/>
      <c r="F10" s="759"/>
      <c r="G10" s="764"/>
      <c r="H10" s="765"/>
      <c r="I10"/>
      <c r="J10" s="2"/>
      <c r="K10" s="2"/>
      <c r="M10" s="759" t="s">
        <v>7337</v>
      </c>
      <c r="N10" s="759"/>
      <c r="O10" s="759"/>
      <c r="P10" s="799" t="s">
        <v>6015</v>
      </c>
      <c r="Q10" s="759"/>
      <c r="R10" s="764"/>
      <c r="S10" s="764"/>
      <c r="T10" s="765"/>
      <c r="U10" s="766"/>
      <c r="V10"/>
      <c r="W10" s="2"/>
      <c r="X10" s="2"/>
      <c r="Y10" s="2"/>
      <c r="Z10" s="2"/>
      <c r="AA10" s="2"/>
      <c r="AB10" s="2"/>
      <c r="AC10" s="852" t="s">
        <v>7552</v>
      </c>
      <c r="AD10" s="903"/>
      <c r="AE10" s="896"/>
      <c r="AF10" s="897"/>
      <c r="AG10" s="890"/>
      <c r="AH10" s="889" t="e">
        <f>AH18/AH12</f>
        <v>#DIV/0!</v>
      </c>
      <c r="AI10" s="868"/>
      <c r="AJ10" s="879">
        <f>'TAB 3 Project Cost'!H12</f>
        <v>0</v>
      </c>
      <c r="AK10" s="885"/>
      <c r="AL10" s="879">
        <f>'TAB 3 Project Cost'!H42</f>
        <v>0</v>
      </c>
      <c r="AM10" s="840"/>
      <c r="AN10" s="859"/>
      <c r="AO10" s="864"/>
      <c r="AP10" s="860"/>
      <c r="AQ10" s="914">
        <f>'TAB 3 Project Cost'!H39</f>
        <v>0</v>
      </c>
      <c r="AR10" s="915">
        <f>'TAB 3 Project Cost'!H40</f>
        <v>0</v>
      </c>
      <c r="AS10" s="916">
        <f>'TAB 3 Project Cost'!H41</f>
        <v>0</v>
      </c>
      <c r="AT10" s="852"/>
      <c r="AU10" s="833"/>
      <c r="AV10" s="833"/>
      <c r="AW10" s="851"/>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749"/>
      <c r="BW10" s="749"/>
      <c r="BX10" s="749"/>
      <c r="BY10" s="749"/>
      <c r="BZ10" s="749"/>
      <c r="CA10" s="749"/>
      <c r="CB10" s="749"/>
      <c r="CC10" s="749"/>
      <c r="CD10" s="749"/>
      <c r="CE10" s="749"/>
      <c r="CF10" s="749"/>
      <c r="CG10" s="749"/>
      <c r="CH10" s="749"/>
      <c r="CI10" s="749"/>
      <c r="CJ10" s="749"/>
      <c r="CK10" s="749"/>
      <c r="CL10" s="749"/>
      <c r="CM10" s="749"/>
      <c r="CN10" s="749"/>
      <c r="CO10" s="749"/>
      <c r="CP10" s="749"/>
      <c r="CQ10" s="749"/>
      <c r="CR10" s="749"/>
      <c r="CS10" s="749"/>
      <c r="CT10" s="749"/>
      <c r="CU10" s="749"/>
      <c r="CV10" s="749"/>
      <c r="CW10" s="749"/>
      <c r="CX10" s="749"/>
      <c r="CY10" s="749"/>
      <c r="CZ10" s="749"/>
      <c r="DA10" s="749"/>
      <c r="DB10" s="749"/>
      <c r="DC10" s="749"/>
      <c r="DD10" s="749"/>
      <c r="DE10" s="749"/>
      <c r="DF10" s="749"/>
      <c r="DG10" s="749"/>
      <c r="DH10" s="749"/>
      <c r="DI10" s="749"/>
      <c r="DJ10" s="749"/>
      <c r="DK10" s="749"/>
      <c r="DL10" s="749"/>
      <c r="DM10" s="749"/>
      <c r="DN10" s="749"/>
      <c r="DO10" s="749"/>
      <c r="DP10" s="749"/>
      <c r="DQ10" s="749"/>
      <c r="DR10" s="749"/>
      <c r="DS10" s="749"/>
      <c r="DT10" s="749"/>
      <c r="DU10" s="749"/>
      <c r="DV10" s="749"/>
      <c r="DW10" s="749"/>
      <c r="DX10" s="749"/>
      <c r="DY10" s="749"/>
      <c r="DZ10" s="749"/>
      <c r="EA10" s="749"/>
      <c r="EB10" s="749"/>
      <c r="EC10" s="749"/>
      <c r="ED10" s="749"/>
      <c r="EE10" s="749"/>
      <c r="EF10" s="749"/>
      <c r="EG10" s="749"/>
      <c r="EH10" s="749"/>
      <c r="EI10" s="749"/>
      <c r="EJ10" s="749"/>
      <c r="EK10" s="749"/>
      <c r="EL10" s="749"/>
      <c r="EM10" s="749"/>
      <c r="EN10" s="749"/>
      <c r="EO10" s="749"/>
      <c r="EP10" s="749"/>
      <c r="EQ10" s="749"/>
      <c r="ER10" s="749"/>
      <c r="ES10" s="749"/>
      <c r="ET10" s="749"/>
      <c r="EU10" s="749"/>
      <c r="EV10" s="749"/>
      <c r="EW10" s="749"/>
      <c r="EX10" s="749"/>
      <c r="EY10" s="749"/>
      <c r="EZ10" s="749"/>
      <c r="FA10" s="749"/>
      <c r="FB10" s="749"/>
      <c r="FC10" s="749"/>
      <c r="FD10" s="749"/>
      <c r="FE10" s="749"/>
      <c r="FF10" s="749"/>
      <c r="FG10" s="749"/>
      <c r="FH10" s="749"/>
      <c r="FI10" s="749"/>
      <c r="FJ10" s="749"/>
      <c r="FK10" s="749"/>
      <c r="FL10" s="749"/>
      <c r="FM10" s="749"/>
      <c r="FN10" s="749"/>
      <c r="FO10" s="749"/>
      <c r="FP10" s="749"/>
      <c r="FQ10" s="749"/>
      <c r="FR10" s="749"/>
      <c r="FS10" s="749"/>
      <c r="FT10" s="749"/>
      <c r="FU10" s="749"/>
      <c r="FV10" s="749"/>
      <c r="FW10" s="749"/>
      <c r="FX10" s="749"/>
      <c r="FY10" s="749"/>
      <c r="FZ10" s="749"/>
      <c r="GA10" s="749"/>
      <c r="GB10" s="749"/>
      <c r="GC10" s="749"/>
      <c r="GD10" s="749"/>
      <c r="GE10" s="749"/>
      <c r="GF10" s="749"/>
      <c r="GG10" s="749"/>
      <c r="GH10" s="749"/>
      <c r="GI10" s="749"/>
      <c r="GJ10" s="749"/>
      <c r="GK10" s="749"/>
      <c r="GL10" s="749"/>
      <c r="GM10" s="749"/>
      <c r="GN10" s="749"/>
      <c r="GO10" s="749"/>
      <c r="GP10" s="749"/>
      <c r="GQ10" s="749"/>
      <c r="GR10" s="749"/>
      <c r="GS10" s="749"/>
      <c r="GT10" s="749"/>
      <c r="GU10" s="749"/>
      <c r="GV10" s="749"/>
      <c r="GW10" s="749"/>
      <c r="GX10" s="749"/>
      <c r="GY10" s="749"/>
      <c r="GZ10" s="749"/>
      <c r="HA10" s="749"/>
      <c r="HB10" s="749"/>
      <c r="HC10" s="749"/>
      <c r="HD10" s="749"/>
      <c r="HE10" s="749"/>
      <c r="HF10" s="749"/>
      <c r="HG10" s="749"/>
      <c r="HH10" s="749"/>
      <c r="HI10" s="749"/>
      <c r="HJ10" s="749"/>
      <c r="HK10" s="749"/>
      <c r="HL10" s="749"/>
      <c r="HM10" s="749"/>
      <c r="HN10" s="749"/>
      <c r="HO10" s="749"/>
      <c r="HP10" s="749"/>
      <c r="HQ10" s="749"/>
      <c r="HR10" s="749"/>
      <c r="HS10" s="749"/>
      <c r="HT10" s="749"/>
      <c r="HU10" s="749"/>
      <c r="HV10" s="749"/>
      <c r="HW10" s="749"/>
      <c r="HX10" s="749"/>
      <c r="HY10" s="749"/>
      <c r="HZ10" s="749"/>
      <c r="IA10" s="749"/>
      <c r="IB10" s="749"/>
      <c r="IC10" s="749"/>
      <c r="ID10" s="749"/>
      <c r="IE10" s="749"/>
      <c r="IF10" s="749"/>
      <c r="IG10" s="749"/>
      <c r="IH10" s="749"/>
      <c r="II10" s="749"/>
      <c r="IJ10" s="749"/>
      <c r="IK10" s="749"/>
      <c r="IL10" s="749"/>
      <c r="IM10" s="749"/>
      <c r="IN10" s="749"/>
    </row>
    <row r="11" spans="1:248" ht="47.25" customHeight="1">
      <c r="A11" s="759"/>
      <c r="B11" s="759"/>
      <c r="C11" s="759"/>
      <c r="D11" s="760"/>
      <c r="E11" s="759"/>
      <c r="F11" s="759"/>
      <c r="G11" s="3" t="s">
        <v>120</v>
      </c>
      <c r="H11" s="766"/>
      <c r="I11"/>
      <c r="J11" s="2"/>
      <c r="K11" s="2"/>
      <c r="M11" s="759"/>
      <c r="N11" s="759"/>
      <c r="O11" s="759"/>
      <c r="P11" s="760"/>
      <c r="Q11" s="759"/>
      <c r="R11" s="3" t="s">
        <v>193</v>
      </c>
      <c r="S11" s="3" t="s">
        <v>7546</v>
      </c>
      <c r="T11" s="766"/>
      <c r="U11" s="766"/>
      <c r="AA11" s="806"/>
      <c r="AB11" s="2"/>
      <c r="AC11" s="664"/>
      <c r="AD11" s="886"/>
      <c r="AE11" s="865" t="s">
        <v>7561</v>
      </c>
      <c r="AF11" s="886" t="s">
        <v>7550</v>
      </c>
      <c r="AG11" s="870" t="s">
        <v>7556</v>
      </c>
      <c r="AH11" s="871" t="s">
        <v>7549</v>
      </c>
      <c r="AI11" s="870" t="s">
        <v>7557</v>
      </c>
      <c r="AJ11" s="871" t="s">
        <v>364</v>
      </c>
      <c r="AK11" s="870" t="s">
        <v>7558</v>
      </c>
      <c r="AL11" s="871" t="s">
        <v>7519</v>
      </c>
      <c r="AM11" s="870" t="s">
        <v>7555</v>
      </c>
      <c r="AN11" s="871" t="s">
        <v>7530</v>
      </c>
      <c r="AO11" s="865" t="s">
        <v>2</v>
      </c>
      <c r="AP11" s="848" t="s">
        <v>146</v>
      </c>
      <c r="AQ11" s="917" t="s">
        <v>7520</v>
      </c>
      <c r="AR11" s="918" t="s">
        <v>7521</v>
      </c>
      <c r="AS11" s="919" t="s">
        <v>7522</v>
      </c>
      <c r="AT11" s="935" t="s">
        <v>7532</v>
      </c>
      <c r="AU11" s="936" t="s">
        <v>7533</v>
      </c>
      <c r="AV11" s="936" t="s">
        <v>7534</v>
      </c>
      <c r="AW11" s="937" t="s">
        <v>7461</v>
      </c>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749"/>
      <c r="BW11" s="749"/>
      <c r="BX11" s="749"/>
      <c r="BY11" s="749"/>
      <c r="BZ11" s="749"/>
      <c r="CA11" s="749"/>
      <c r="CB11" s="749"/>
      <c r="CC11" s="749"/>
      <c r="CD11" s="749"/>
      <c r="CE11" s="749"/>
      <c r="CF11" s="749"/>
      <c r="CG11" s="749"/>
      <c r="CH11" s="749"/>
      <c r="CI11" s="749"/>
      <c r="CJ11" s="749"/>
      <c r="CK11" s="749"/>
      <c r="CL11" s="749"/>
      <c r="CM11" s="749"/>
      <c r="CN11" s="749"/>
      <c r="CO11" s="749"/>
      <c r="CP11" s="749"/>
      <c r="CQ11" s="749"/>
      <c r="CR11" s="749"/>
      <c r="CS11" s="749"/>
      <c r="CT11" s="749"/>
      <c r="CU11" s="749"/>
      <c r="CV11" s="749"/>
      <c r="CW11" s="749"/>
      <c r="CX11" s="749"/>
      <c r="CY11" s="749"/>
      <c r="CZ11" s="749"/>
      <c r="DA11" s="749"/>
      <c r="DB11" s="749"/>
      <c r="DC11" s="749"/>
      <c r="DD11" s="749"/>
      <c r="DE11" s="749"/>
      <c r="DF11" s="749"/>
      <c r="DG11" s="749"/>
      <c r="DH11" s="749"/>
      <c r="DI11" s="749"/>
      <c r="DJ11" s="749"/>
      <c r="DK11" s="749"/>
      <c r="DL11" s="749"/>
      <c r="DM11" s="749"/>
      <c r="DN11" s="749"/>
      <c r="DO11" s="749"/>
      <c r="DP11" s="749"/>
      <c r="DQ11" s="749"/>
      <c r="DR11" s="749"/>
      <c r="DS11" s="749"/>
      <c r="DT11" s="749"/>
      <c r="DU11" s="749"/>
      <c r="DV11" s="749"/>
      <c r="DW11" s="749"/>
      <c r="DX11" s="749"/>
      <c r="DY11" s="749"/>
      <c r="DZ11" s="749"/>
      <c r="EA11" s="749"/>
      <c r="EB11" s="749"/>
      <c r="EC11" s="749"/>
      <c r="ED11" s="749"/>
      <c r="EE11" s="749"/>
      <c r="EF11" s="749"/>
      <c r="EG11" s="749"/>
      <c r="EH11" s="749"/>
      <c r="EI11" s="749"/>
      <c r="EJ11" s="749"/>
      <c r="EK11" s="749"/>
      <c r="EL11" s="749"/>
      <c r="EM11" s="749"/>
      <c r="EN11" s="749"/>
      <c r="EO11" s="749"/>
      <c r="EP11" s="749"/>
      <c r="EQ11" s="749"/>
      <c r="ER11" s="749"/>
      <c r="ES11" s="749"/>
      <c r="ET11" s="749"/>
      <c r="EU11" s="749"/>
      <c r="EV11" s="749"/>
      <c r="EW11" s="749"/>
      <c r="EX11" s="749"/>
      <c r="EY11" s="749"/>
      <c r="EZ11" s="749"/>
      <c r="FA11" s="749"/>
      <c r="FB11" s="749"/>
      <c r="FC11" s="749"/>
      <c r="FD11" s="749"/>
      <c r="FE11" s="749"/>
      <c r="FF11" s="749"/>
      <c r="FG11" s="749"/>
      <c r="FH11" s="749"/>
      <c r="FI11" s="749"/>
      <c r="FJ11" s="749"/>
      <c r="FK11" s="749"/>
      <c r="FL11" s="749"/>
      <c r="FM11" s="749"/>
      <c r="FN11" s="749"/>
      <c r="FO11" s="749"/>
      <c r="FP11" s="749"/>
      <c r="FQ11" s="749"/>
      <c r="FR11" s="749"/>
      <c r="FS11" s="749"/>
      <c r="FT11" s="749"/>
      <c r="FU11" s="749"/>
      <c r="FV11" s="749"/>
      <c r="FW11" s="749"/>
      <c r="FX11" s="749"/>
      <c r="FY11" s="749"/>
      <c r="FZ11" s="749"/>
      <c r="GA11" s="749"/>
      <c r="GB11" s="749"/>
      <c r="GC11" s="749"/>
      <c r="GD11" s="749"/>
      <c r="GE11" s="749"/>
      <c r="GF11" s="749"/>
      <c r="GG11" s="749"/>
      <c r="GH11" s="749"/>
      <c r="GI11" s="749"/>
      <c r="GJ11" s="749"/>
      <c r="GK11" s="749"/>
      <c r="GL11" s="749"/>
      <c r="GM11" s="749"/>
      <c r="GN11" s="749"/>
      <c r="GO11" s="749"/>
      <c r="GP11" s="749"/>
      <c r="GQ11" s="749"/>
      <c r="GR11" s="749"/>
      <c r="GS11" s="749"/>
      <c r="GT11" s="749"/>
      <c r="GU11" s="749"/>
      <c r="GV11" s="749"/>
      <c r="GW11" s="749"/>
      <c r="GX11" s="749"/>
      <c r="GY11" s="749"/>
      <c r="GZ11" s="749"/>
      <c r="HA11" s="749"/>
      <c r="HB11" s="749"/>
      <c r="HC11" s="749"/>
      <c r="HD11" s="749"/>
      <c r="HE11" s="749"/>
      <c r="HF11" s="749"/>
      <c r="HG11" s="749"/>
      <c r="HH11" s="749"/>
      <c r="HI11" s="749"/>
      <c r="HJ11" s="749"/>
      <c r="HK11" s="749"/>
      <c r="HL11" s="749"/>
      <c r="HM11" s="749"/>
      <c r="HN11" s="749"/>
      <c r="HO11" s="749"/>
      <c r="HP11" s="749"/>
      <c r="HQ11" s="749"/>
      <c r="HR11" s="749"/>
      <c r="HS11" s="749"/>
      <c r="HT11" s="749"/>
      <c r="HU11" s="749"/>
      <c r="HV11" s="749"/>
      <c r="HW11" s="749"/>
      <c r="HX11" s="749"/>
      <c r="HY11" s="749"/>
      <c r="HZ11" s="749"/>
      <c r="IA11" s="749"/>
      <c r="IB11" s="749"/>
      <c r="IC11" s="749"/>
      <c r="ID11" s="749"/>
      <c r="IE11" s="749"/>
      <c r="IF11" s="749"/>
      <c r="IG11" s="749"/>
      <c r="IH11" s="749"/>
      <c r="II11" s="749"/>
      <c r="IJ11" s="749"/>
      <c r="IK11" s="749"/>
      <c r="IL11" s="749"/>
      <c r="IM11" s="749"/>
      <c r="IN11" s="749"/>
    </row>
    <row r="12" spans="1:248" ht="12.75">
      <c r="A12" s="3"/>
      <c r="B12" s="3"/>
      <c r="C12" s="3"/>
      <c r="D12" s="1"/>
      <c r="E12" s="3"/>
      <c r="F12" s="3"/>
      <c r="G12" s="3"/>
      <c r="H12" s="766"/>
      <c r="I12"/>
      <c r="J12" s="2"/>
      <c r="K12" s="2"/>
      <c r="M12" s="3"/>
      <c r="N12" s="3"/>
      <c r="O12" s="3"/>
      <c r="P12" s="1" t="s">
        <v>7543</v>
      </c>
      <c r="Q12" s="3"/>
      <c r="R12" s="767">
        <f>AJ12</f>
        <v>0</v>
      </c>
      <c r="S12" s="3"/>
      <c r="T12" s="766"/>
      <c r="U12" s="766"/>
      <c r="AA12" s="806"/>
      <c r="AB12" s="2"/>
      <c r="AC12" s="849" t="s">
        <v>7542</v>
      </c>
      <c r="AD12" s="887"/>
      <c r="AE12" s="866"/>
      <c r="AF12" s="887"/>
      <c r="AG12" s="872"/>
      <c r="AH12" s="887">
        <f>AJ12+AL12</f>
        <v>0</v>
      </c>
      <c r="AI12" s="872"/>
      <c r="AJ12" s="887">
        <f>'TAB 3 Project Cost'!G10</f>
        <v>0</v>
      </c>
      <c r="AK12" s="872"/>
      <c r="AL12" s="887">
        <f>'TAB 3 Project Cost'!G36</f>
        <v>0</v>
      </c>
      <c r="AM12" s="872"/>
      <c r="AN12" s="968"/>
      <c r="AO12" s="866">
        <f>'TAB 3 Project Cost'!F80</f>
        <v>0</v>
      </c>
      <c r="AP12" s="844"/>
      <c r="AQ12" s="920">
        <f>'TAB 3 Project Cost'!F39</f>
        <v>0</v>
      </c>
      <c r="AR12" s="921">
        <f>'TAB 3 Project Cost'!F40</f>
        <v>0</v>
      </c>
      <c r="AS12" s="922">
        <f>'TAB 3 Project Cost'!F41</f>
        <v>0</v>
      </c>
      <c r="AT12" s="920"/>
      <c r="AU12" s="921"/>
      <c r="AV12" s="921"/>
      <c r="AW12" s="922"/>
      <c r="AY12" s="749"/>
      <c r="AZ12" s="749"/>
      <c r="BA12" s="749"/>
      <c r="BB12" s="749"/>
      <c r="BC12" s="749"/>
      <c r="BD12" s="749"/>
      <c r="BE12" s="749"/>
      <c r="BF12" s="749"/>
      <c r="BG12" s="749"/>
      <c r="BH12" s="749"/>
      <c r="BI12" s="749"/>
      <c r="BJ12" s="749"/>
      <c r="BK12" s="749"/>
      <c r="BL12" s="749"/>
      <c r="BM12" s="749"/>
      <c r="BN12" s="749"/>
      <c r="BO12" s="749"/>
      <c r="BP12" s="749"/>
      <c r="BQ12" s="749"/>
      <c r="BR12" s="749"/>
      <c r="BS12" s="749"/>
      <c r="BT12" s="749"/>
      <c r="BU12" s="749"/>
      <c r="BV12" s="749"/>
      <c r="BW12" s="749"/>
      <c r="BX12" s="749"/>
      <c r="BY12" s="749"/>
      <c r="BZ12" s="749"/>
      <c r="CA12" s="749"/>
      <c r="CB12" s="749"/>
      <c r="CC12" s="749"/>
      <c r="CD12" s="749"/>
      <c r="CE12" s="749"/>
      <c r="CF12" s="749"/>
      <c r="CG12" s="749"/>
      <c r="CH12" s="749"/>
      <c r="CI12" s="749"/>
      <c r="CJ12" s="749"/>
      <c r="CK12" s="749"/>
      <c r="CL12" s="749"/>
      <c r="CM12" s="749"/>
      <c r="CN12" s="749"/>
      <c r="CO12" s="749"/>
      <c r="CP12" s="749"/>
      <c r="CQ12" s="749"/>
      <c r="CR12" s="749"/>
      <c r="CS12" s="749"/>
      <c r="CT12" s="749"/>
      <c r="CU12" s="749"/>
      <c r="CV12" s="749"/>
      <c r="CW12" s="749"/>
      <c r="CX12" s="749"/>
      <c r="CY12" s="749"/>
      <c r="CZ12" s="749"/>
      <c r="DA12" s="749"/>
      <c r="DB12" s="749"/>
      <c r="DC12" s="749"/>
      <c r="DD12" s="749"/>
      <c r="DE12" s="749"/>
      <c r="DF12" s="749"/>
      <c r="DG12" s="749"/>
      <c r="DH12" s="749"/>
      <c r="DI12" s="749"/>
      <c r="DJ12" s="749"/>
      <c r="DK12" s="749"/>
      <c r="DL12" s="749"/>
      <c r="DM12" s="749"/>
      <c r="DN12" s="749"/>
      <c r="DO12" s="749"/>
      <c r="DP12" s="749"/>
      <c r="DQ12" s="749"/>
      <c r="DR12" s="749"/>
      <c r="DS12" s="749"/>
      <c r="DT12" s="749"/>
      <c r="DU12" s="749"/>
      <c r="DV12" s="749"/>
      <c r="DW12" s="749"/>
      <c r="DX12" s="749"/>
      <c r="DY12" s="749"/>
      <c r="DZ12" s="749"/>
      <c r="EA12" s="749"/>
      <c r="EB12" s="749"/>
      <c r="EC12" s="749"/>
      <c r="ED12" s="749"/>
      <c r="EE12" s="749"/>
      <c r="EF12" s="749"/>
      <c r="EG12" s="749"/>
      <c r="EH12" s="749"/>
      <c r="EI12" s="749"/>
      <c r="EJ12" s="749"/>
      <c r="EK12" s="749"/>
      <c r="EL12" s="749"/>
      <c r="EM12" s="749"/>
      <c r="EN12" s="749"/>
      <c r="EO12" s="749"/>
      <c r="EP12" s="749"/>
      <c r="EQ12" s="749"/>
      <c r="ER12" s="749"/>
      <c r="ES12" s="749"/>
      <c r="ET12" s="749"/>
      <c r="EU12" s="749"/>
      <c r="EV12" s="749"/>
      <c r="EW12" s="749"/>
      <c r="EX12" s="749"/>
      <c r="EY12" s="749"/>
      <c r="EZ12" s="749"/>
      <c r="FA12" s="749"/>
      <c r="FB12" s="749"/>
      <c r="FC12" s="749"/>
      <c r="FD12" s="749"/>
      <c r="FE12" s="749"/>
      <c r="FF12" s="749"/>
      <c r="FG12" s="749"/>
      <c r="FH12" s="749"/>
      <c r="FI12" s="749"/>
      <c r="FJ12" s="749"/>
      <c r="FK12" s="749"/>
      <c r="FL12" s="749"/>
      <c r="FM12" s="749"/>
      <c r="FN12" s="749"/>
      <c r="FO12" s="749"/>
      <c r="FP12" s="749"/>
      <c r="FQ12" s="749"/>
      <c r="FR12" s="749"/>
      <c r="FS12" s="749"/>
      <c r="FT12" s="749"/>
      <c r="FU12" s="749"/>
      <c r="FV12" s="749"/>
      <c r="FW12" s="749"/>
      <c r="FX12" s="749"/>
      <c r="FY12" s="749"/>
      <c r="FZ12" s="749"/>
      <c r="GA12" s="749"/>
      <c r="GB12" s="749"/>
      <c r="GC12" s="749"/>
      <c r="GD12" s="749"/>
      <c r="GE12" s="749"/>
      <c r="GF12" s="749"/>
      <c r="GG12" s="749"/>
      <c r="GH12" s="749"/>
      <c r="GI12" s="749"/>
      <c r="GJ12" s="749"/>
      <c r="GK12" s="749"/>
      <c r="GL12" s="749"/>
      <c r="GM12" s="749"/>
      <c r="GN12" s="749"/>
      <c r="GO12" s="749"/>
      <c r="GP12" s="749"/>
      <c r="GQ12" s="749"/>
      <c r="GR12" s="749"/>
      <c r="GS12" s="749"/>
      <c r="GT12" s="749"/>
      <c r="GU12" s="749"/>
      <c r="GV12" s="749"/>
      <c r="GW12" s="749"/>
      <c r="GX12" s="749"/>
      <c r="GY12" s="749"/>
      <c r="GZ12" s="749"/>
      <c r="HA12" s="749"/>
      <c r="HB12" s="749"/>
      <c r="HC12" s="749"/>
      <c r="HD12" s="749"/>
      <c r="HE12" s="749"/>
      <c r="HF12" s="749"/>
      <c r="HG12" s="749"/>
      <c r="HH12" s="749"/>
      <c r="HI12" s="749"/>
      <c r="HJ12" s="749"/>
      <c r="HK12" s="749"/>
      <c r="HL12" s="749"/>
      <c r="HM12" s="749"/>
      <c r="HN12" s="749"/>
      <c r="HO12" s="749"/>
      <c r="HP12" s="749"/>
      <c r="HQ12" s="749"/>
      <c r="HR12" s="749"/>
      <c r="HS12" s="749"/>
      <c r="HT12" s="749"/>
      <c r="HU12" s="749"/>
      <c r="HV12" s="749"/>
      <c r="HW12" s="749"/>
      <c r="HX12" s="749"/>
      <c r="HY12" s="749"/>
      <c r="HZ12" s="749"/>
      <c r="IA12" s="749"/>
      <c r="IB12" s="749"/>
      <c r="IC12" s="749"/>
      <c r="ID12" s="749"/>
      <c r="IE12" s="749"/>
      <c r="IF12" s="749"/>
      <c r="IG12" s="749"/>
      <c r="IH12" s="749"/>
      <c r="II12" s="749"/>
      <c r="IJ12" s="749"/>
      <c r="IK12" s="749"/>
      <c r="IL12" s="749"/>
      <c r="IM12" s="749"/>
      <c r="IN12" s="749"/>
    </row>
    <row r="13" spans="1:248" ht="13.5" thickBot="1">
      <c r="A13" s="3"/>
      <c r="B13" s="3"/>
      <c r="C13" s="3"/>
      <c r="D13" s="1"/>
      <c r="E13" s="3"/>
      <c r="F13" s="3"/>
      <c r="G13" s="3"/>
      <c r="H13" s="766"/>
      <c r="I13"/>
      <c r="J13" s="2"/>
      <c r="K13" s="2"/>
      <c r="M13" s="3"/>
      <c r="N13" s="3"/>
      <c r="O13" s="3"/>
      <c r="P13" s="1" t="s">
        <v>7544</v>
      </c>
      <c r="Q13" s="3"/>
      <c r="R13" s="767">
        <f>AL12</f>
        <v>0</v>
      </c>
      <c r="S13" s="3"/>
      <c r="T13" s="766"/>
      <c r="U13" s="766"/>
      <c r="AA13" s="806"/>
      <c r="AB13" s="2"/>
      <c r="AC13" s="849" t="s">
        <v>7548</v>
      </c>
      <c r="AD13" s="888"/>
      <c r="AE13" s="893"/>
      <c r="AF13" s="888"/>
      <c r="AG13" s="873"/>
      <c r="AH13" s="891" t="e">
        <f>AH27/AH12</f>
        <v>#DIV/0!</v>
      </c>
      <c r="AI13" s="873"/>
      <c r="AJ13" s="888">
        <f>'TAB 3 Project Cost'!H20</f>
        <v>0</v>
      </c>
      <c r="AK13" s="873"/>
      <c r="AL13" s="888">
        <f>'TAB 3 Project Cost'!H51</f>
        <v>0</v>
      </c>
      <c r="AM13" s="873"/>
      <c r="AN13" s="838"/>
      <c r="AO13" s="836"/>
      <c r="AP13" s="844"/>
      <c r="AQ13" s="969"/>
      <c r="AR13" s="970"/>
      <c r="AS13" s="971"/>
      <c r="AT13" s="969"/>
      <c r="AU13" s="970"/>
      <c r="AV13" s="970"/>
      <c r="AW13" s="971"/>
      <c r="AY13" s="749"/>
      <c r="AZ13" s="749"/>
      <c r="BA13" s="749"/>
      <c r="BB13" s="749"/>
      <c r="BC13" s="749"/>
      <c r="BD13" s="749"/>
      <c r="BE13" s="749"/>
      <c r="BF13" s="749"/>
      <c r="BG13" s="749"/>
      <c r="BH13" s="749"/>
      <c r="BI13" s="749"/>
      <c r="BJ13" s="749"/>
      <c r="BK13" s="749"/>
      <c r="BL13" s="749"/>
      <c r="BM13" s="749"/>
      <c r="BN13" s="749"/>
      <c r="BO13" s="749"/>
      <c r="BP13" s="749"/>
      <c r="BQ13" s="749"/>
      <c r="BR13" s="749"/>
      <c r="BS13" s="749"/>
      <c r="BT13" s="749"/>
      <c r="BU13" s="749"/>
      <c r="BV13" s="749"/>
      <c r="BW13" s="749"/>
      <c r="BX13" s="749"/>
      <c r="BY13" s="749"/>
      <c r="BZ13" s="749"/>
      <c r="CA13" s="749"/>
      <c r="CB13" s="749"/>
      <c r="CC13" s="749"/>
      <c r="CD13" s="749"/>
      <c r="CE13" s="749"/>
      <c r="CF13" s="749"/>
      <c r="CG13" s="749"/>
      <c r="CH13" s="749"/>
      <c r="CI13" s="749"/>
      <c r="CJ13" s="749"/>
      <c r="CK13" s="749"/>
      <c r="CL13" s="749"/>
      <c r="CM13" s="749"/>
      <c r="CN13" s="749"/>
      <c r="CO13" s="749"/>
      <c r="CP13" s="749"/>
      <c r="CQ13" s="749"/>
      <c r="CR13" s="749"/>
      <c r="CS13" s="749"/>
      <c r="CT13" s="749"/>
      <c r="CU13" s="749"/>
      <c r="CV13" s="749"/>
      <c r="CW13" s="749"/>
      <c r="CX13" s="749"/>
      <c r="CY13" s="749"/>
      <c r="CZ13" s="749"/>
      <c r="DA13" s="749"/>
      <c r="DB13" s="749"/>
      <c r="DC13" s="749"/>
      <c r="DD13" s="749"/>
      <c r="DE13" s="749"/>
      <c r="DF13" s="749"/>
      <c r="DG13" s="749"/>
      <c r="DH13" s="749"/>
      <c r="DI13" s="749"/>
      <c r="DJ13" s="749"/>
      <c r="DK13" s="749"/>
      <c r="DL13" s="749"/>
      <c r="DM13" s="749"/>
      <c r="DN13" s="749"/>
      <c r="DO13" s="749"/>
      <c r="DP13" s="749"/>
      <c r="DQ13" s="749"/>
      <c r="DR13" s="749"/>
      <c r="DS13" s="749"/>
      <c r="DT13" s="749"/>
      <c r="DU13" s="749"/>
      <c r="DV13" s="749"/>
      <c r="DW13" s="749"/>
      <c r="DX13" s="749"/>
      <c r="DY13" s="749"/>
      <c r="DZ13" s="749"/>
      <c r="EA13" s="749"/>
      <c r="EB13" s="749"/>
      <c r="EC13" s="749"/>
      <c r="ED13" s="749"/>
      <c r="EE13" s="749"/>
      <c r="EF13" s="749"/>
      <c r="EG13" s="749"/>
      <c r="EH13" s="749"/>
      <c r="EI13" s="749"/>
      <c r="EJ13" s="749"/>
      <c r="EK13" s="749"/>
      <c r="EL13" s="749"/>
      <c r="EM13" s="749"/>
      <c r="EN13" s="749"/>
      <c r="EO13" s="749"/>
      <c r="EP13" s="749"/>
      <c r="EQ13" s="749"/>
      <c r="ER13" s="749"/>
      <c r="ES13" s="749"/>
      <c r="ET13" s="749"/>
      <c r="EU13" s="749"/>
      <c r="EV13" s="749"/>
      <c r="EW13" s="749"/>
      <c r="EX13" s="749"/>
      <c r="EY13" s="749"/>
      <c r="EZ13" s="749"/>
      <c r="FA13" s="749"/>
      <c r="FB13" s="749"/>
      <c r="FC13" s="749"/>
      <c r="FD13" s="749"/>
      <c r="FE13" s="749"/>
      <c r="FF13" s="749"/>
      <c r="FG13" s="749"/>
      <c r="FH13" s="749"/>
      <c r="FI13" s="749"/>
      <c r="FJ13" s="749"/>
      <c r="FK13" s="749"/>
      <c r="FL13" s="749"/>
      <c r="FM13" s="749"/>
      <c r="FN13" s="749"/>
      <c r="FO13" s="749"/>
      <c r="FP13" s="749"/>
      <c r="FQ13" s="749"/>
      <c r="FR13" s="749"/>
      <c r="FS13" s="749"/>
      <c r="FT13" s="749"/>
      <c r="FU13" s="749"/>
      <c r="FV13" s="749"/>
      <c r="FW13" s="749"/>
      <c r="FX13" s="749"/>
      <c r="FY13" s="749"/>
      <c r="FZ13" s="749"/>
      <c r="GA13" s="749"/>
      <c r="GB13" s="749"/>
      <c r="GC13" s="749"/>
      <c r="GD13" s="749"/>
      <c r="GE13" s="749"/>
      <c r="GF13" s="749"/>
      <c r="GG13" s="749"/>
      <c r="GH13" s="749"/>
      <c r="GI13" s="749"/>
      <c r="GJ13" s="749"/>
      <c r="GK13" s="749"/>
      <c r="GL13" s="749"/>
      <c r="GM13" s="749"/>
      <c r="GN13" s="749"/>
      <c r="GO13" s="749"/>
      <c r="GP13" s="749"/>
      <c r="GQ13" s="749"/>
      <c r="GR13" s="749"/>
      <c r="GS13" s="749"/>
      <c r="GT13" s="749"/>
      <c r="GU13" s="749"/>
      <c r="GV13" s="749"/>
      <c r="GW13" s="749"/>
      <c r="GX13" s="749"/>
      <c r="GY13" s="749"/>
      <c r="GZ13" s="749"/>
      <c r="HA13" s="749"/>
      <c r="HB13" s="749"/>
      <c r="HC13" s="749"/>
      <c r="HD13" s="749"/>
      <c r="HE13" s="749"/>
      <c r="HF13" s="749"/>
      <c r="HG13" s="749"/>
      <c r="HH13" s="749"/>
      <c r="HI13" s="749"/>
      <c r="HJ13" s="749"/>
      <c r="HK13" s="749"/>
      <c r="HL13" s="749"/>
      <c r="HM13" s="749"/>
      <c r="HN13" s="749"/>
      <c r="HO13" s="749"/>
      <c r="HP13" s="749"/>
      <c r="HQ13" s="749"/>
      <c r="HR13" s="749"/>
      <c r="HS13" s="749"/>
      <c r="HT13" s="749"/>
      <c r="HU13" s="749"/>
      <c r="HV13" s="749"/>
      <c r="HW13" s="749"/>
      <c r="HX13" s="749"/>
      <c r="HY13" s="749"/>
      <c r="HZ13" s="749"/>
      <c r="IA13" s="749"/>
      <c r="IB13" s="749"/>
      <c r="IC13" s="749"/>
      <c r="ID13" s="749"/>
      <c r="IE13" s="749"/>
      <c r="IF13" s="749"/>
      <c r="IG13" s="749"/>
      <c r="IH13" s="749"/>
      <c r="II13" s="749"/>
      <c r="IJ13" s="749"/>
      <c r="IK13" s="749"/>
      <c r="IL13" s="749"/>
      <c r="IM13" s="749"/>
      <c r="IN13" s="749"/>
    </row>
    <row r="14" spans="1:248" ht="13.5" thickBot="1">
      <c r="A14" s="3"/>
      <c r="B14" s="3"/>
      <c r="C14" s="3"/>
      <c r="D14" s="3" t="s">
        <v>7338</v>
      </c>
      <c r="E14" s="3"/>
      <c r="F14" s="3"/>
      <c r="G14" s="767">
        <v>75000</v>
      </c>
      <c r="H14" s="766"/>
      <c r="I14"/>
      <c r="J14" s="2"/>
      <c r="K14" s="2"/>
      <c r="M14" s="3"/>
      <c r="N14" s="3"/>
      <c r="O14" s="3"/>
      <c r="P14" s="3" t="s">
        <v>7545</v>
      </c>
      <c r="Q14" s="3"/>
      <c r="R14" s="767">
        <f>R12+R13</f>
        <v>0</v>
      </c>
      <c r="S14" s="768" t="e">
        <f>SUM(T27/R14)</f>
        <v>#DIV/0!</v>
      </c>
      <c r="T14" s="766"/>
      <c r="U14" s="766"/>
      <c r="AA14" s="808"/>
      <c r="AB14" s="2"/>
      <c r="AC14" s="845"/>
      <c r="AD14" s="875"/>
      <c r="AE14" s="867"/>
      <c r="AF14" s="875"/>
      <c r="AG14" s="874"/>
      <c r="AH14" s="875"/>
      <c r="AI14" s="874"/>
      <c r="AJ14" s="875"/>
      <c r="AK14" s="874"/>
      <c r="AL14" s="875"/>
      <c r="AM14" s="874"/>
      <c r="AN14" s="875"/>
      <c r="AO14" s="867"/>
      <c r="AP14" s="972"/>
      <c r="AQ14" s="973"/>
      <c r="AR14" s="974"/>
      <c r="AS14" s="975"/>
      <c r="AT14" s="973"/>
      <c r="AU14" s="974"/>
      <c r="AV14" s="974"/>
      <c r="AW14" s="975"/>
      <c r="AY14" s="749"/>
      <c r="AZ14" s="749"/>
      <c r="BA14" s="749"/>
      <c r="BB14" s="749"/>
      <c r="BC14" s="749"/>
      <c r="BD14" s="749"/>
      <c r="BE14" s="749"/>
      <c r="BF14" s="749"/>
      <c r="BG14" s="749"/>
      <c r="BH14" s="749"/>
      <c r="BI14" s="749"/>
      <c r="BJ14" s="749"/>
      <c r="BK14" s="749"/>
      <c r="BL14" s="749"/>
      <c r="BM14" s="749"/>
      <c r="BN14" s="749"/>
      <c r="BO14" s="749"/>
      <c r="BP14" s="749"/>
      <c r="BQ14" s="749"/>
      <c r="BR14" s="749"/>
      <c r="BS14" s="749"/>
      <c r="BT14" s="749"/>
      <c r="BU14" s="749"/>
      <c r="BV14" s="749"/>
      <c r="BW14" s="749"/>
      <c r="BX14" s="749"/>
      <c r="BY14" s="749"/>
      <c r="BZ14" s="749"/>
      <c r="CA14" s="749"/>
      <c r="CB14" s="749"/>
      <c r="CC14" s="749"/>
      <c r="CD14" s="749"/>
      <c r="CE14" s="749"/>
      <c r="CF14" s="749"/>
      <c r="CG14" s="749"/>
      <c r="CH14" s="749"/>
      <c r="CI14" s="749"/>
      <c r="CJ14" s="749"/>
      <c r="CK14" s="749"/>
      <c r="CL14" s="749"/>
      <c r="CM14" s="749"/>
      <c r="CN14" s="749"/>
      <c r="CO14" s="749"/>
      <c r="CP14" s="749"/>
      <c r="CQ14" s="749"/>
      <c r="CR14" s="749"/>
      <c r="CS14" s="749"/>
      <c r="CT14" s="749"/>
      <c r="CU14" s="749"/>
      <c r="CV14" s="749"/>
      <c r="CW14" s="749"/>
      <c r="CX14" s="749"/>
      <c r="CY14" s="749"/>
      <c r="CZ14" s="749"/>
      <c r="DA14" s="749"/>
      <c r="DB14" s="749"/>
      <c r="DC14" s="749"/>
      <c r="DD14" s="749"/>
      <c r="DE14" s="749"/>
      <c r="DF14" s="749"/>
      <c r="DG14" s="749"/>
      <c r="DH14" s="749"/>
      <c r="DI14" s="749"/>
      <c r="DJ14" s="749"/>
      <c r="DK14" s="749"/>
      <c r="DL14" s="749"/>
      <c r="DM14" s="749"/>
      <c r="DN14" s="749"/>
      <c r="DO14" s="749"/>
      <c r="DP14" s="749"/>
      <c r="DQ14" s="749"/>
      <c r="DR14" s="749"/>
      <c r="DS14" s="749"/>
      <c r="DT14" s="749"/>
      <c r="DU14" s="749"/>
      <c r="DV14" s="749"/>
      <c r="DW14" s="749"/>
      <c r="DX14" s="749"/>
      <c r="DY14" s="749"/>
      <c r="DZ14" s="749"/>
      <c r="EA14" s="749"/>
      <c r="EB14" s="749"/>
      <c r="EC14" s="749"/>
      <c r="ED14" s="749"/>
      <c r="EE14" s="749"/>
      <c r="EF14" s="749"/>
      <c r="EG14" s="749"/>
      <c r="EH14" s="749"/>
      <c r="EI14" s="749"/>
      <c r="EJ14" s="749"/>
      <c r="EK14" s="749"/>
      <c r="EL14" s="749"/>
      <c r="EM14" s="749"/>
      <c r="EN14" s="749"/>
      <c r="EO14" s="749"/>
      <c r="EP14" s="749"/>
      <c r="EQ14" s="749"/>
      <c r="ER14" s="749"/>
      <c r="ES14" s="749"/>
      <c r="ET14" s="749"/>
      <c r="EU14" s="749"/>
      <c r="EV14" s="749"/>
      <c r="EW14" s="749"/>
      <c r="EX14" s="749"/>
      <c r="EY14" s="749"/>
      <c r="EZ14" s="749"/>
      <c r="FA14" s="749"/>
      <c r="FB14" s="749"/>
      <c r="FC14" s="749"/>
      <c r="FD14" s="749"/>
      <c r="FE14" s="749"/>
      <c r="FF14" s="749"/>
      <c r="FG14" s="749"/>
      <c r="FH14" s="749"/>
      <c r="FI14" s="749"/>
      <c r="FJ14" s="749"/>
      <c r="FK14" s="749"/>
      <c r="FL14" s="749"/>
      <c r="FM14" s="749"/>
      <c r="FN14" s="749"/>
      <c r="FO14" s="749"/>
      <c r="FP14" s="749"/>
      <c r="FQ14" s="749"/>
      <c r="FR14" s="749"/>
      <c r="FS14" s="749"/>
      <c r="FT14" s="749"/>
      <c r="FU14" s="749"/>
      <c r="FV14" s="749"/>
      <c r="FW14" s="749"/>
      <c r="FX14" s="749"/>
      <c r="FY14" s="749"/>
      <c r="FZ14" s="749"/>
      <c r="GA14" s="749"/>
      <c r="GB14" s="749"/>
      <c r="GC14" s="749"/>
      <c r="GD14" s="749"/>
      <c r="GE14" s="749"/>
      <c r="GF14" s="749"/>
      <c r="GG14" s="749"/>
      <c r="GH14" s="749"/>
      <c r="GI14" s="749"/>
      <c r="GJ14" s="749"/>
      <c r="GK14" s="749"/>
      <c r="GL14" s="749"/>
      <c r="GM14" s="749"/>
      <c r="GN14" s="749"/>
      <c r="GO14" s="749"/>
      <c r="GP14" s="749"/>
      <c r="GQ14" s="749"/>
      <c r="GR14" s="749"/>
      <c r="GS14" s="749"/>
      <c r="GT14" s="749"/>
      <c r="GU14" s="749"/>
      <c r="GV14" s="749"/>
      <c r="GW14" s="749"/>
      <c r="GX14" s="749"/>
      <c r="GY14" s="749"/>
      <c r="GZ14" s="749"/>
      <c r="HA14" s="749"/>
      <c r="HB14" s="749"/>
      <c r="HC14" s="749"/>
      <c r="HD14" s="749"/>
      <c r="HE14" s="749"/>
      <c r="HF14" s="749"/>
      <c r="HG14" s="749"/>
      <c r="HH14" s="749"/>
      <c r="HI14" s="749"/>
      <c r="HJ14" s="749"/>
      <c r="HK14" s="749"/>
      <c r="HL14" s="749"/>
      <c r="HM14" s="749"/>
      <c r="HN14" s="749"/>
      <c r="HO14" s="749"/>
      <c r="HP14" s="749"/>
      <c r="HQ14" s="749"/>
      <c r="HR14" s="749"/>
      <c r="HS14" s="749"/>
      <c r="HT14" s="749"/>
      <c r="HU14" s="749"/>
      <c r="HV14" s="749"/>
      <c r="HW14" s="749"/>
      <c r="HX14" s="749"/>
      <c r="HY14" s="749"/>
      <c r="HZ14" s="749"/>
      <c r="IA14" s="749"/>
      <c r="IB14" s="749"/>
      <c r="IC14" s="749"/>
      <c r="ID14" s="749"/>
      <c r="IE14" s="749"/>
      <c r="IF14" s="749"/>
      <c r="IG14" s="749"/>
      <c r="IH14" s="749"/>
      <c r="II14" s="749"/>
      <c r="IJ14" s="749"/>
      <c r="IK14" s="749"/>
      <c r="IL14" s="749"/>
      <c r="IM14" s="749"/>
      <c r="IN14" s="749"/>
    </row>
    <row r="15" spans="1:248" ht="13.5" thickBot="1">
      <c r="A15" s="3"/>
      <c r="B15" s="3"/>
      <c r="C15" s="3"/>
      <c r="D15" s="1" t="s">
        <v>7339</v>
      </c>
      <c r="E15" s="3"/>
      <c r="F15" s="3"/>
      <c r="G15" s="768">
        <f>SUM(H27/G14)</f>
        <v>560</v>
      </c>
      <c r="H15" s="766"/>
      <c r="I15"/>
      <c r="J15" s="2"/>
      <c r="K15" s="2"/>
      <c r="M15" s="3"/>
      <c r="N15" s="3"/>
      <c r="O15" s="3"/>
      <c r="P15" s="1"/>
      <c r="Q15" s="3"/>
      <c r="T15" s="766"/>
      <c r="U15" s="766"/>
      <c r="V15"/>
      <c r="W15" s="2"/>
      <c r="X15" s="2"/>
      <c r="Y15" s="2"/>
      <c r="Z15" s="2"/>
      <c r="AA15" s="2"/>
      <c r="AB15" s="2"/>
      <c r="AC15" s="845"/>
      <c r="AD15" s="875"/>
      <c r="AE15" s="867"/>
      <c r="AF15" s="875"/>
      <c r="AG15" s="874"/>
      <c r="AH15" s="875"/>
      <c r="AI15" s="874"/>
      <c r="AJ15" s="875"/>
      <c r="AK15" s="874"/>
      <c r="AL15" s="875"/>
      <c r="AM15" s="874"/>
      <c r="AN15" s="875"/>
      <c r="AO15" s="867"/>
      <c r="AP15" s="972"/>
      <c r="AQ15" s="973"/>
      <c r="AR15" s="974"/>
      <c r="AS15" s="975"/>
      <c r="AT15" s="973"/>
      <c r="AU15" s="974"/>
      <c r="AV15" s="974"/>
      <c r="AW15" s="975"/>
      <c r="AY15" s="749"/>
      <c r="AZ15" s="749"/>
      <c r="BA15" s="749"/>
      <c r="BB15" s="749"/>
      <c r="BC15" s="749"/>
      <c r="BD15" s="749"/>
      <c r="BE15" s="749"/>
      <c r="BF15" s="749"/>
      <c r="BG15" s="749"/>
      <c r="BH15" s="749"/>
      <c r="BI15" s="749"/>
      <c r="BJ15" s="749"/>
      <c r="BK15" s="749"/>
      <c r="BL15" s="749"/>
      <c r="BM15" s="749"/>
      <c r="BN15" s="749"/>
      <c r="BO15" s="749"/>
      <c r="BP15" s="749"/>
      <c r="BQ15" s="749"/>
      <c r="BR15" s="749"/>
      <c r="BS15" s="749"/>
      <c r="BT15" s="749"/>
      <c r="BU15" s="749"/>
      <c r="BV15" s="749"/>
      <c r="BW15" s="749"/>
      <c r="BX15" s="749"/>
      <c r="BY15" s="749"/>
      <c r="BZ15" s="749"/>
      <c r="CA15" s="749"/>
      <c r="CB15" s="749"/>
      <c r="CC15" s="749"/>
      <c r="CD15" s="749"/>
      <c r="CE15" s="749"/>
      <c r="CF15" s="749"/>
      <c r="CG15" s="749"/>
      <c r="CH15" s="749"/>
      <c r="CI15" s="749"/>
      <c r="CJ15" s="749"/>
      <c r="CK15" s="749"/>
      <c r="CL15" s="749"/>
      <c r="CM15" s="749"/>
      <c r="CN15" s="749"/>
      <c r="CO15" s="749"/>
      <c r="CP15" s="749"/>
      <c r="CQ15" s="749"/>
      <c r="CR15" s="749"/>
      <c r="CS15" s="749"/>
      <c r="CT15" s="749"/>
      <c r="CU15" s="749"/>
      <c r="CV15" s="749"/>
      <c r="CW15" s="749"/>
      <c r="CX15" s="749"/>
      <c r="CY15" s="749"/>
      <c r="CZ15" s="749"/>
      <c r="DA15" s="749"/>
      <c r="DB15" s="749"/>
      <c r="DC15" s="749"/>
      <c r="DD15" s="749"/>
      <c r="DE15" s="749"/>
      <c r="DF15" s="749"/>
      <c r="DG15" s="749"/>
      <c r="DH15" s="749"/>
      <c r="DI15" s="749"/>
      <c r="DJ15" s="749"/>
      <c r="DK15" s="749"/>
      <c r="DL15" s="749"/>
      <c r="DM15" s="749"/>
      <c r="DN15" s="749"/>
      <c r="DO15" s="749"/>
      <c r="DP15" s="749"/>
      <c r="DQ15" s="749"/>
      <c r="DR15" s="749"/>
      <c r="DS15" s="749"/>
      <c r="DT15" s="749"/>
      <c r="DU15" s="749"/>
      <c r="DV15" s="749"/>
      <c r="DW15" s="749"/>
      <c r="DX15" s="749"/>
      <c r="DY15" s="749"/>
      <c r="DZ15" s="749"/>
      <c r="EA15" s="749"/>
      <c r="EB15" s="749"/>
      <c r="EC15" s="749"/>
      <c r="ED15" s="749"/>
      <c r="EE15" s="749"/>
      <c r="EF15" s="749"/>
      <c r="EG15" s="749"/>
      <c r="EH15" s="749"/>
      <c r="EI15" s="749"/>
      <c r="EJ15" s="749"/>
      <c r="EK15" s="749"/>
      <c r="EL15" s="749"/>
      <c r="EM15" s="749"/>
      <c r="EN15" s="749"/>
      <c r="EO15" s="749"/>
      <c r="EP15" s="749"/>
      <c r="EQ15" s="749"/>
      <c r="ER15" s="749"/>
      <c r="ES15" s="749"/>
      <c r="ET15" s="749"/>
      <c r="EU15" s="749"/>
      <c r="EV15" s="749"/>
      <c r="EW15" s="749"/>
      <c r="EX15" s="749"/>
      <c r="EY15" s="749"/>
      <c r="EZ15" s="749"/>
      <c r="FA15" s="749"/>
      <c r="FB15" s="749"/>
      <c r="FC15" s="749"/>
      <c r="FD15" s="749"/>
      <c r="FE15" s="749"/>
      <c r="FF15" s="749"/>
      <c r="FG15" s="749"/>
      <c r="FH15" s="749"/>
      <c r="FI15" s="749"/>
      <c r="FJ15" s="749"/>
      <c r="FK15" s="749"/>
      <c r="FL15" s="749"/>
      <c r="FM15" s="749"/>
      <c r="FN15" s="749"/>
      <c r="FO15" s="749"/>
      <c r="FP15" s="749"/>
      <c r="FQ15" s="749"/>
      <c r="FR15" s="749"/>
      <c r="FS15" s="749"/>
      <c r="FT15" s="749"/>
      <c r="FU15" s="749"/>
      <c r="FV15" s="749"/>
      <c r="FW15" s="749"/>
      <c r="FX15" s="749"/>
      <c r="FY15" s="749"/>
      <c r="FZ15" s="749"/>
      <c r="GA15" s="749"/>
      <c r="GB15" s="749"/>
      <c r="GC15" s="749"/>
      <c r="GD15" s="749"/>
      <c r="GE15" s="749"/>
      <c r="GF15" s="749"/>
      <c r="GG15" s="749"/>
      <c r="GH15" s="749"/>
      <c r="GI15" s="749"/>
      <c r="GJ15" s="749"/>
      <c r="GK15" s="749"/>
      <c r="GL15" s="749"/>
      <c r="GM15" s="749"/>
      <c r="GN15" s="749"/>
      <c r="GO15" s="749"/>
      <c r="GP15" s="749"/>
      <c r="GQ15" s="749"/>
      <c r="GR15" s="749"/>
      <c r="GS15" s="749"/>
      <c r="GT15" s="749"/>
      <c r="GU15" s="749"/>
      <c r="GV15" s="749"/>
      <c r="GW15" s="749"/>
      <c r="GX15" s="749"/>
      <c r="GY15" s="749"/>
      <c r="GZ15" s="749"/>
      <c r="HA15" s="749"/>
      <c r="HB15" s="749"/>
      <c r="HC15" s="749"/>
      <c r="HD15" s="749"/>
      <c r="HE15" s="749"/>
      <c r="HF15" s="749"/>
      <c r="HG15" s="749"/>
      <c r="HH15" s="749"/>
      <c r="HI15" s="749"/>
      <c r="HJ15" s="749"/>
      <c r="HK15" s="749"/>
      <c r="HL15" s="749"/>
      <c r="HM15" s="749"/>
      <c r="HN15" s="749"/>
      <c r="HO15" s="749"/>
      <c r="HP15" s="749"/>
      <c r="HQ15" s="749"/>
      <c r="HR15" s="749"/>
      <c r="HS15" s="749"/>
      <c r="HT15" s="749"/>
      <c r="HU15" s="749"/>
      <c r="HV15" s="749"/>
      <c r="HW15" s="749"/>
      <c r="HX15" s="749"/>
      <c r="HY15" s="749"/>
      <c r="HZ15" s="749"/>
      <c r="IA15" s="749"/>
      <c r="IB15" s="749"/>
      <c r="IC15" s="749"/>
      <c r="ID15" s="749"/>
      <c r="IE15" s="749"/>
      <c r="IF15" s="749"/>
      <c r="IG15" s="749"/>
      <c r="IH15" s="749"/>
      <c r="II15" s="749"/>
      <c r="IJ15" s="749"/>
      <c r="IK15" s="749"/>
      <c r="IL15" s="749"/>
      <c r="IM15" s="749"/>
      <c r="IN15" s="749"/>
    </row>
    <row r="16" spans="1:248" ht="12.75">
      <c r="A16"/>
      <c r="B16"/>
      <c r="C16"/>
      <c r="D16"/>
      <c r="E16"/>
      <c r="F16"/>
      <c r="G16"/>
      <c r="H16" s="3" t="s">
        <v>7332</v>
      </c>
      <c r="I16"/>
      <c r="J16" s="2"/>
      <c r="K16" s="2"/>
      <c r="M16"/>
      <c r="N16"/>
      <c r="O16"/>
      <c r="P16"/>
      <c r="Q16"/>
      <c r="R16"/>
      <c r="S16"/>
      <c r="T16" s="3" t="s">
        <v>7332</v>
      </c>
      <c r="U16" s="3"/>
      <c r="V16"/>
      <c r="W16" s="2"/>
      <c r="X16" s="2"/>
      <c r="Y16" s="2"/>
      <c r="Z16" s="2"/>
      <c r="AA16" s="2"/>
      <c r="AB16" s="2"/>
      <c r="AC16" s="850" t="s">
        <v>7525</v>
      </c>
      <c r="AD16" s="879"/>
      <c r="AE16" s="885"/>
      <c r="AF16" s="879">
        <f>AH16+AN16+AO16+AP16</f>
        <v>0</v>
      </c>
      <c r="AG16" s="876"/>
      <c r="AH16" s="879">
        <f t="shared" ref="AH16:AH19" si="0">AJ16+AL16</f>
        <v>0</v>
      </c>
      <c r="AI16" s="876"/>
      <c r="AJ16" s="879">
        <f>'TAB 3 Project Cost'!G13</f>
        <v>0</v>
      </c>
      <c r="AK16" s="876"/>
      <c r="AL16" s="879">
        <f>'TAB 3 Project Cost'!G44</f>
        <v>0</v>
      </c>
      <c r="AM16" s="876"/>
      <c r="AN16" s="877"/>
      <c r="AO16" s="868"/>
      <c r="AP16" s="851"/>
      <c r="AQ16" s="923">
        <f>'TAB 3 Project Cost'!AC44</f>
        <v>0</v>
      </c>
      <c r="AR16" s="924">
        <f>'TAB 3 Project Cost'!AD44</f>
        <v>0</v>
      </c>
      <c r="AS16" s="925">
        <f>'TAB 3 Project Cost'!AE44</f>
        <v>0</v>
      </c>
      <c r="AT16" s="923"/>
      <c r="AU16" s="924"/>
      <c r="AV16" s="924"/>
      <c r="AW16" s="925"/>
      <c r="AY16" s="749"/>
      <c r="AZ16" s="749"/>
      <c r="BA16" s="749"/>
      <c r="BB16" s="749"/>
      <c r="BC16" s="749"/>
      <c r="BD16" s="749"/>
      <c r="BE16" s="749"/>
      <c r="BF16" s="749"/>
      <c r="BG16" s="749"/>
      <c r="BH16" s="749"/>
      <c r="BI16" s="749"/>
      <c r="BJ16" s="749"/>
      <c r="BK16" s="749"/>
      <c r="BL16" s="749"/>
      <c r="BM16" s="749"/>
      <c r="BN16" s="749"/>
      <c r="BO16" s="749"/>
      <c r="BP16" s="749"/>
      <c r="BQ16" s="749"/>
      <c r="BR16" s="749"/>
      <c r="BS16" s="749"/>
      <c r="BT16" s="749"/>
      <c r="BU16" s="749"/>
      <c r="BV16" s="749"/>
      <c r="BW16" s="749"/>
      <c r="BX16" s="749"/>
      <c r="BY16" s="749"/>
      <c r="BZ16" s="749"/>
      <c r="CA16" s="749"/>
      <c r="CB16" s="749"/>
      <c r="CC16" s="749"/>
      <c r="CD16" s="749"/>
      <c r="CE16" s="749"/>
      <c r="CF16" s="749"/>
      <c r="CG16" s="749"/>
      <c r="CH16" s="749"/>
      <c r="CI16" s="749"/>
      <c r="CJ16" s="749"/>
      <c r="CK16" s="749"/>
      <c r="CL16" s="749"/>
      <c r="CM16" s="749"/>
      <c r="CN16" s="749"/>
      <c r="CO16" s="749"/>
      <c r="CP16" s="749"/>
      <c r="CQ16" s="749"/>
      <c r="CR16" s="749"/>
      <c r="CS16" s="749"/>
      <c r="CT16" s="749"/>
      <c r="CU16" s="749"/>
      <c r="CV16" s="749"/>
      <c r="CW16" s="749"/>
      <c r="CX16" s="749"/>
      <c r="CY16" s="749"/>
      <c r="CZ16" s="749"/>
      <c r="DA16" s="749"/>
      <c r="DB16" s="749"/>
      <c r="DC16" s="749"/>
      <c r="DD16" s="749"/>
      <c r="DE16" s="749"/>
      <c r="DF16" s="749"/>
      <c r="DG16" s="749"/>
      <c r="DH16" s="749"/>
      <c r="DI16" s="749"/>
      <c r="DJ16" s="749"/>
      <c r="DK16" s="749"/>
      <c r="DL16" s="749"/>
      <c r="DM16" s="749"/>
      <c r="DN16" s="749"/>
      <c r="DO16" s="749"/>
      <c r="DP16" s="749"/>
      <c r="DQ16" s="749"/>
      <c r="DR16" s="749"/>
      <c r="DS16" s="749"/>
      <c r="DT16" s="749"/>
      <c r="DU16" s="749"/>
      <c r="DV16" s="749"/>
      <c r="DW16" s="749"/>
      <c r="DX16" s="749"/>
      <c r="DY16" s="749"/>
      <c r="DZ16" s="749"/>
      <c r="EA16" s="749"/>
      <c r="EB16" s="749"/>
      <c r="EC16" s="749"/>
      <c r="ED16" s="749"/>
      <c r="EE16" s="749"/>
      <c r="EF16" s="749"/>
      <c r="EG16" s="749"/>
      <c r="EH16" s="749"/>
      <c r="EI16" s="749"/>
      <c r="EJ16" s="749"/>
      <c r="EK16" s="749"/>
      <c r="EL16" s="749"/>
      <c r="EM16" s="749"/>
      <c r="EN16" s="749"/>
      <c r="EO16" s="749"/>
      <c r="EP16" s="749"/>
      <c r="EQ16" s="749"/>
      <c r="ER16" s="749"/>
      <c r="ES16" s="749"/>
      <c r="ET16" s="749"/>
      <c r="EU16" s="749"/>
      <c r="EV16" s="749"/>
      <c r="EW16" s="749"/>
      <c r="EX16" s="749"/>
      <c r="EY16" s="749"/>
      <c r="EZ16" s="749"/>
      <c r="FA16" s="749"/>
      <c r="FB16" s="749"/>
      <c r="FC16" s="749"/>
      <c r="FD16" s="749"/>
      <c r="FE16" s="749"/>
      <c r="FF16" s="749"/>
      <c r="FG16" s="749"/>
      <c r="FH16" s="749"/>
      <c r="FI16" s="749"/>
      <c r="FJ16" s="749"/>
      <c r="FK16" s="749"/>
      <c r="FL16" s="749"/>
      <c r="FM16" s="749"/>
      <c r="FN16" s="749"/>
      <c r="FO16" s="749"/>
      <c r="FP16" s="749"/>
      <c r="FQ16" s="749"/>
      <c r="FR16" s="749"/>
      <c r="FS16" s="749"/>
      <c r="FT16" s="749"/>
      <c r="FU16" s="749"/>
      <c r="FV16" s="749"/>
      <c r="FW16" s="749"/>
      <c r="FX16" s="749"/>
      <c r="FY16" s="749"/>
      <c r="FZ16" s="749"/>
      <c r="GA16" s="749"/>
      <c r="GB16" s="749"/>
      <c r="GC16" s="749"/>
      <c r="GD16" s="749"/>
      <c r="GE16" s="749"/>
      <c r="GF16" s="749"/>
      <c r="GG16" s="749"/>
      <c r="GH16" s="749"/>
      <c r="GI16" s="749"/>
      <c r="GJ16" s="749"/>
      <c r="GK16" s="749"/>
      <c r="GL16" s="749"/>
      <c r="GM16" s="749"/>
      <c r="GN16" s="749"/>
      <c r="GO16" s="749"/>
      <c r="GP16" s="749"/>
      <c r="GQ16" s="749"/>
      <c r="GR16" s="749"/>
      <c r="GS16" s="749"/>
      <c r="GT16" s="749"/>
      <c r="GU16" s="749"/>
      <c r="GV16" s="749"/>
      <c r="GW16" s="749"/>
      <c r="GX16" s="749"/>
      <c r="GY16" s="749"/>
      <c r="GZ16" s="749"/>
      <c r="HA16" s="749"/>
      <c r="HB16" s="749"/>
      <c r="HC16" s="749"/>
      <c r="HD16" s="749"/>
      <c r="HE16" s="749"/>
      <c r="HF16" s="749"/>
      <c r="HG16" s="749"/>
      <c r="HH16" s="749"/>
      <c r="HI16" s="749"/>
      <c r="HJ16" s="749"/>
      <c r="HK16" s="749"/>
      <c r="HL16" s="749"/>
      <c r="HM16" s="749"/>
      <c r="HN16" s="749"/>
      <c r="HO16" s="749"/>
      <c r="HP16" s="749"/>
      <c r="HQ16" s="749"/>
      <c r="HR16" s="749"/>
      <c r="HS16" s="749"/>
      <c r="HT16" s="749"/>
      <c r="HU16" s="749"/>
      <c r="HV16" s="749"/>
      <c r="HW16" s="749"/>
      <c r="HX16" s="749"/>
      <c r="HY16" s="749"/>
      <c r="HZ16" s="749"/>
      <c r="IA16" s="749"/>
      <c r="IB16" s="749"/>
      <c r="IC16" s="749"/>
      <c r="ID16" s="749"/>
      <c r="IE16" s="749"/>
      <c r="IF16" s="749"/>
      <c r="IG16" s="749"/>
      <c r="IH16" s="749"/>
      <c r="II16" s="749"/>
      <c r="IJ16" s="749"/>
      <c r="IK16" s="749"/>
      <c r="IL16" s="749"/>
      <c r="IM16" s="749"/>
      <c r="IN16" s="749"/>
    </row>
    <row r="17" spans="1:248" ht="13.5" thickBot="1">
      <c r="A17" s="1" t="s">
        <v>7340</v>
      </c>
      <c r="B17" s="3"/>
      <c r="C17" s="3"/>
      <c r="D17" s="3"/>
      <c r="E17" s="3"/>
      <c r="F17" s="3"/>
      <c r="G17" s="3"/>
      <c r="H17" s="3" t="s">
        <v>7332</v>
      </c>
      <c r="I17" s="3"/>
      <c r="J17" s="3"/>
      <c r="K17" s="3"/>
      <c r="L17" s="749"/>
      <c r="M17" s="1" t="s">
        <v>7340</v>
      </c>
      <c r="N17" s="3"/>
      <c r="O17" s="3"/>
      <c r="P17" s="3"/>
      <c r="Q17" s="3"/>
      <c r="R17" s="3"/>
      <c r="S17" s="3"/>
      <c r="T17" s="3" t="s">
        <v>7332</v>
      </c>
      <c r="U17" s="3"/>
      <c r="V17" s="3"/>
      <c r="W17" s="3"/>
      <c r="X17" s="3"/>
      <c r="Y17" s="3"/>
      <c r="Z17" s="3"/>
      <c r="AA17" s="3"/>
      <c r="AB17" s="3"/>
      <c r="AC17" s="850" t="s">
        <v>6742</v>
      </c>
      <c r="AD17" s="877"/>
      <c r="AE17" s="868"/>
      <c r="AF17" s="877"/>
      <c r="AG17" s="878"/>
      <c r="AH17" s="879">
        <f t="shared" si="0"/>
        <v>0</v>
      </c>
      <c r="AI17" s="878">
        <f>'TAB 3 Project Cost'!F14</f>
        <v>7.0000000000000007E-2</v>
      </c>
      <c r="AJ17" s="877">
        <f>'TAB 3 Project Cost'!G14</f>
        <v>0</v>
      </c>
      <c r="AK17" s="876">
        <f>'TAB 3 Project Cost'!F45</f>
        <v>7.0000000000000007E-2</v>
      </c>
      <c r="AL17" s="877">
        <f>'TAB 3 Project Cost'!G45</f>
        <v>0</v>
      </c>
      <c r="AM17" s="878">
        <f>'TAB 3 Project Cost'!F91</f>
        <v>0.04</v>
      </c>
      <c r="AN17" s="877">
        <f>'TAB 3 Project Cost'!G91</f>
        <v>0</v>
      </c>
      <c r="AO17" s="868"/>
      <c r="AP17" s="851"/>
      <c r="AQ17" s="923">
        <f>'TAB 3 Project Cost'!AC45</f>
        <v>0</v>
      </c>
      <c r="AR17" s="924">
        <f>'TAB 3 Project Cost'!AD45</f>
        <v>0</v>
      </c>
      <c r="AS17" s="925">
        <f>'TAB 3 Project Cost'!AE45</f>
        <v>0</v>
      </c>
      <c r="AT17" s="923">
        <f>'TAB 3 Project Cost'!AA91</f>
        <v>0</v>
      </c>
      <c r="AU17" s="924">
        <f>'TAB 3 Project Cost'!AB91</f>
        <v>0</v>
      </c>
      <c r="AV17" s="924">
        <f>'TAB 3 Project Cost'!AC91</f>
        <v>0</v>
      </c>
      <c r="AW17" s="925">
        <f>'TAB 3 Project Cost'!AD91</f>
        <v>0</v>
      </c>
      <c r="AX17" s="749"/>
      <c r="AY17" s="749"/>
      <c r="AZ17" s="749"/>
      <c r="BA17" s="749"/>
      <c r="BB17" s="749"/>
      <c r="BC17" s="749"/>
      <c r="BD17" s="749"/>
      <c r="BE17" s="749"/>
      <c r="BF17" s="749"/>
      <c r="BG17" s="749"/>
      <c r="BH17" s="749"/>
      <c r="BI17" s="749"/>
      <c r="BJ17" s="749"/>
      <c r="BK17" s="749"/>
      <c r="BL17" s="749"/>
      <c r="BM17" s="749"/>
      <c r="BN17" s="749"/>
      <c r="BO17" s="749"/>
      <c r="BP17" s="749"/>
      <c r="BQ17" s="749"/>
      <c r="BR17" s="749"/>
      <c r="BS17" s="749"/>
      <c r="BT17" s="749"/>
      <c r="BU17" s="749"/>
      <c r="BV17" s="749"/>
      <c r="BW17" s="749"/>
      <c r="BX17" s="749"/>
      <c r="BY17" s="749"/>
      <c r="BZ17" s="749"/>
      <c r="CA17" s="749"/>
      <c r="CB17" s="749"/>
      <c r="CC17" s="749"/>
      <c r="CD17" s="749"/>
      <c r="CE17" s="749"/>
      <c r="CF17" s="749"/>
      <c r="CG17" s="749"/>
      <c r="CH17" s="749"/>
      <c r="CI17" s="749"/>
      <c r="CJ17" s="749"/>
      <c r="CK17" s="749"/>
      <c r="CL17" s="749"/>
      <c r="CM17" s="749"/>
      <c r="CN17" s="749"/>
      <c r="CO17" s="749"/>
      <c r="CP17" s="749"/>
      <c r="CQ17" s="749"/>
      <c r="CR17" s="749"/>
      <c r="CS17" s="749"/>
      <c r="CT17" s="749"/>
      <c r="CU17" s="749"/>
      <c r="CV17" s="749"/>
      <c r="CW17" s="749"/>
      <c r="CX17" s="749"/>
      <c r="CY17" s="749"/>
      <c r="CZ17" s="749"/>
      <c r="DA17" s="749"/>
      <c r="DB17" s="749"/>
      <c r="DC17" s="749"/>
      <c r="DD17" s="749"/>
      <c r="DE17" s="749"/>
      <c r="DF17" s="749"/>
      <c r="DG17" s="749"/>
      <c r="DH17" s="749"/>
      <c r="DI17" s="749"/>
      <c r="DJ17" s="749"/>
      <c r="DK17" s="749"/>
      <c r="DL17" s="749"/>
      <c r="DM17" s="749"/>
      <c r="DN17" s="749"/>
      <c r="DO17" s="749"/>
      <c r="DP17" s="749"/>
      <c r="DQ17" s="749"/>
      <c r="DR17" s="749"/>
      <c r="DS17" s="749"/>
      <c r="DT17" s="749"/>
      <c r="DU17" s="749"/>
      <c r="DV17" s="749"/>
      <c r="DW17" s="749"/>
      <c r="DX17" s="749"/>
      <c r="DY17" s="749"/>
      <c r="DZ17" s="749"/>
      <c r="EA17" s="749"/>
      <c r="EB17" s="749"/>
      <c r="EC17" s="749"/>
      <c r="ED17" s="749"/>
      <c r="EE17" s="749"/>
      <c r="EF17" s="749"/>
      <c r="EG17" s="749"/>
      <c r="EH17" s="749"/>
      <c r="EI17" s="749"/>
      <c r="EJ17" s="749"/>
      <c r="EK17" s="749"/>
      <c r="EL17" s="749"/>
      <c r="EM17" s="749"/>
      <c r="EN17" s="749"/>
      <c r="EO17" s="749"/>
      <c r="EP17" s="749"/>
      <c r="EQ17" s="749"/>
      <c r="ER17" s="749"/>
      <c r="ES17" s="749"/>
      <c r="ET17" s="749"/>
      <c r="EU17" s="749"/>
      <c r="EV17" s="749"/>
      <c r="EW17" s="749"/>
      <c r="EX17" s="749"/>
      <c r="EY17" s="749"/>
      <c r="EZ17" s="749"/>
      <c r="FA17" s="749"/>
      <c r="FB17" s="749"/>
      <c r="FC17" s="749"/>
      <c r="FD17" s="749"/>
      <c r="FE17" s="749"/>
      <c r="FF17" s="749"/>
      <c r="FG17" s="749"/>
      <c r="FH17" s="749"/>
      <c r="FI17" s="749"/>
      <c r="FJ17" s="749"/>
      <c r="FK17" s="749"/>
      <c r="FL17" s="749"/>
      <c r="FM17" s="749"/>
      <c r="FN17" s="749"/>
      <c r="FO17" s="749"/>
      <c r="FP17" s="749"/>
      <c r="FQ17" s="749"/>
      <c r="FR17" s="749"/>
      <c r="FS17" s="749"/>
      <c r="FT17" s="749"/>
      <c r="FU17" s="749"/>
      <c r="FV17" s="749"/>
      <c r="FW17" s="749"/>
      <c r="FX17" s="749"/>
      <c r="FY17" s="749"/>
      <c r="FZ17" s="749"/>
      <c r="GA17" s="749"/>
      <c r="GB17" s="749"/>
      <c r="GC17" s="749"/>
      <c r="GD17" s="749"/>
      <c r="GE17" s="749"/>
      <c r="GF17" s="749"/>
      <c r="GG17" s="749"/>
      <c r="GH17" s="749"/>
      <c r="GI17" s="749"/>
      <c r="GJ17" s="749"/>
      <c r="GK17" s="749"/>
      <c r="GL17" s="749"/>
      <c r="GM17" s="749"/>
      <c r="GN17" s="749"/>
      <c r="GO17" s="749"/>
      <c r="GP17" s="749"/>
      <c r="GQ17" s="749"/>
      <c r="GR17" s="749"/>
      <c r="GS17" s="749"/>
      <c r="GT17" s="749"/>
      <c r="GU17" s="749"/>
      <c r="GV17" s="749"/>
      <c r="GW17" s="749"/>
      <c r="GX17" s="749"/>
      <c r="GY17" s="749"/>
      <c r="GZ17" s="749"/>
      <c r="HA17" s="749"/>
      <c r="HB17" s="749"/>
      <c r="HC17" s="749"/>
      <c r="HD17" s="749"/>
      <c r="HE17" s="749"/>
      <c r="HF17" s="749"/>
      <c r="HG17" s="749"/>
      <c r="HH17" s="749"/>
      <c r="HI17" s="749"/>
      <c r="HJ17" s="749"/>
      <c r="HK17" s="749"/>
      <c r="HL17" s="749"/>
      <c r="HM17" s="749"/>
      <c r="HN17" s="749"/>
      <c r="HO17" s="749"/>
      <c r="HP17" s="749"/>
      <c r="HQ17" s="749"/>
      <c r="HR17" s="749"/>
      <c r="HS17" s="749"/>
      <c r="HT17" s="749"/>
      <c r="HU17" s="749"/>
      <c r="HV17" s="749"/>
      <c r="HW17" s="749"/>
      <c r="HX17" s="749"/>
      <c r="HY17" s="749"/>
      <c r="HZ17" s="749"/>
      <c r="IA17" s="749"/>
      <c r="IB17" s="749"/>
      <c r="IC17" s="749"/>
      <c r="ID17" s="749"/>
      <c r="IE17" s="749"/>
      <c r="IF17" s="749"/>
      <c r="IG17" s="749"/>
      <c r="IH17" s="749"/>
      <c r="II17" s="749"/>
      <c r="IJ17" s="749"/>
      <c r="IK17" s="749"/>
      <c r="IL17" s="749"/>
      <c r="IM17" s="749"/>
      <c r="IN17" s="749"/>
    </row>
    <row r="18" spans="1:248" ht="13.5" thickBot="1">
      <c r="A18" s="3"/>
      <c r="B18" s="769" t="s">
        <v>219</v>
      </c>
      <c r="C18" s="3" t="s">
        <v>7341</v>
      </c>
      <c r="D18" s="3"/>
      <c r="E18" s="3"/>
      <c r="F18" s="770"/>
      <c r="G18" s="771">
        <f>SUM(G21-G19)</f>
        <v>36222000</v>
      </c>
      <c r="H18" s="3" t="s">
        <v>7332</v>
      </c>
      <c r="I18" s="3"/>
      <c r="J18" s="3"/>
      <c r="K18" s="3"/>
      <c r="L18" s="749"/>
      <c r="M18" s="3"/>
      <c r="N18" s="769" t="s">
        <v>219</v>
      </c>
      <c r="O18" s="3" t="s">
        <v>7406</v>
      </c>
      <c r="P18" s="3"/>
      <c r="Q18" s="770"/>
      <c r="R18" s="771">
        <f>SUM(R21-R19)</f>
        <v>36222000</v>
      </c>
      <c r="S18" s="768" t="e">
        <f>SUM(R18/R14)</f>
        <v>#DIV/0!</v>
      </c>
      <c r="T18" s="771"/>
      <c r="U18" s="771"/>
      <c r="V18" s="3"/>
      <c r="W18" s="3"/>
      <c r="X18" s="3"/>
      <c r="Y18" s="3"/>
      <c r="Z18" s="3"/>
      <c r="AA18" s="3"/>
      <c r="AB18" s="3"/>
      <c r="AC18" s="850" t="s">
        <v>7526</v>
      </c>
      <c r="AD18" s="879"/>
      <c r="AE18" s="885"/>
      <c r="AF18" s="879">
        <f>AH18+AN18+AO18+AP18</f>
        <v>0</v>
      </c>
      <c r="AG18" s="876"/>
      <c r="AH18" s="879">
        <f t="shared" si="0"/>
        <v>0</v>
      </c>
      <c r="AI18" s="876"/>
      <c r="AJ18" s="879">
        <f>'TAB 3 Project Cost'!G15</f>
        <v>0</v>
      </c>
      <c r="AK18" s="876"/>
      <c r="AL18" s="879">
        <f>'TAB 3 Project Cost'!G46</f>
        <v>0</v>
      </c>
      <c r="AM18" s="876"/>
      <c r="AN18" s="877"/>
      <c r="AO18" s="868"/>
      <c r="AP18" s="851"/>
      <c r="AQ18" s="923">
        <f>'TAB 3 Project Cost'!AC46</f>
        <v>0</v>
      </c>
      <c r="AR18" s="924">
        <f>'TAB 3 Project Cost'!AD46</f>
        <v>0</v>
      </c>
      <c r="AS18" s="925">
        <f>'TAB 3 Project Cost'!AE46</f>
        <v>0</v>
      </c>
      <c r="AT18" s="923">
        <f>'TAB 3 Project Cost'!AA92</f>
        <v>0</v>
      </c>
      <c r="AU18" s="924">
        <f>'TAB 3 Project Cost'!AB92</f>
        <v>0</v>
      </c>
      <c r="AV18" s="924">
        <f>'TAB 3 Project Cost'!AC92</f>
        <v>0</v>
      </c>
      <c r="AW18" s="925">
        <f>'TAB 3 Project Cost'!AD92</f>
        <v>0</v>
      </c>
      <c r="AX18" s="749"/>
      <c r="AY18" s="749"/>
      <c r="AZ18" s="749"/>
      <c r="BA18" s="749"/>
      <c r="BB18" s="749"/>
      <c r="BC18" s="749"/>
      <c r="BD18" s="749"/>
      <c r="BE18" s="749"/>
      <c r="BF18" s="749"/>
      <c r="BG18" s="749"/>
      <c r="BH18" s="749"/>
      <c r="BI18" s="749"/>
      <c r="BJ18" s="749"/>
      <c r="BK18" s="749"/>
      <c r="BL18" s="749"/>
      <c r="BM18" s="749"/>
      <c r="BN18" s="749"/>
      <c r="BO18" s="749"/>
      <c r="BP18" s="749"/>
      <c r="BQ18" s="749"/>
      <c r="BR18" s="749"/>
      <c r="BS18" s="749"/>
      <c r="BT18" s="749"/>
      <c r="BU18" s="749"/>
      <c r="BV18" s="749"/>
      <c r="BW18" s="749"/>
      <c r="BX18" s="749"/>
      <c r="BY18" s="749"/>
      <c r="BZ18" s="749"/>
      <c r="CA18" s="749"/>
      <c r="CB18" s="749"/>
      <c r="CC18" s="749"/>
      <c r="CD18" s="749"/>
      <c r="CE18" s="749"/>
      <c r="CF18" s="749"/>
      <c r="CG18" s="749"/>
      <c r="CH18" s="749"/>
      <c r="CI18" s="749"/>
      <c r="CJ18" s="749"/>
      <c r="CK18" s="749"/>
      <c r="CL18" s="749"/>
      <c r="CM18" s="749"/>
      <c r="CN18" s="749"/>
      <c r="CO18" s="749"/>
      <c r="CP18" s="749"/>
      <c r="CQ18" s="749"/>
      <c r="CR18" s="749"/>
      <c r="CS18" s="749"/>
      <c r="CT18" s="749"/>
      <c r="CU18" s="749"/>
      <c r="CV18" s="749"/>
      <c r="CW18" s="749"/>
      <c r="CX18" s="749"/>
      <c r="CY18" s="749"/>
      <c r="CZ18" s="749"/>
      <c r="DA18" s="749"/>
      <c r="DB18" s="749"/>
      <c r="DC18" s="749"/>
      <c r="DD18" s="749"/>
      <c r="DE18" s="749"/>
      <c r="DF18" s="749"/>
      <c r="DG18" s="749"/>
      <c r="DH18" s="749"/>
      <c r="DI18" s="749"/>
      <c r="DJ18" s="749"/>
      <c r="DK18" s="749"/>
      <c r="DL18" s="749"/>
      <c r="DM18" s="749"/>
      <c r="DN18" s="749"/>
      <c r="DO18" s="749"/>
      <c r="DP18" s="749"/>
      <c r="DQ18" s="749"/>
      <c r="DR18" s="749"/>
      <c r="DS18" s="749"/>
      <c r="DT18" s="749"/>
      <c r="DU18" s="749"/>
      <c r="DV18" s="749"/>
      <c r="DW18" s="749"/>
      <c r="DX18" s="749"/>
      <c r="DY18" s="749"/>
      <c r="DZ18" s="749"/>
      <c r="EA18" s="749"/>
      <c r="EB18" s="749"/>
      <c r="EC18" s="749"/>
      <c r="ED18" s="749"/>
      <c r="EE18" s="749"/>
      <c r="EF18" s="749"/>
      <c r="EG18" s="749"/>
      <c r="EH18" s="749"/>
      <c r="EI18" s="749"/>
      <c r="EJ18" s="749"/>
      <c r="EK18" s="749"/>
      <c r="EL18" s="749"/>
      <c r="EM18" s="749"/>
      <c r="EN18" s="749"/>
      <c r="EO18" s="749"/>
      <c r="EP18" s="749"/>
      <c r="EQ18" s="749"/>
      <c r="ER18" s="749"/>
      <c r="ES18" s="749"/>
      <c r="ET18" s="749"/>
      <c r="EU18" s="749"/>
      <c r="EV18" s="749"/>
      <c r="EW18" s="749"/>
      <c r="EX18" s="749"/>
      <c r="EY18" s="749"/>
      <c r="EZ18" s="749"/>
      <c r="FA18" s="749"/>
      <c r="FB18" s="749"/>
      <c r="FC18" s="749"/>
      <c r="FD18" s="749"/>
      <c r="FE18" s="749"/>
      <c r="FF18" s="749"/>
      <c r="FG18" s="749"/>
      <c r="FH18" s="749"/>
      <c r="FI18" s="749"/>
      <c r="FJ18" s="749"/>
      <c r="FK18" s="749"/>
      <c r="FL18" s="749"/>
      <c r="FM18" s="749"/>
      <c r="FN18" s="749"/>
      <c r="FO18" s="749"/>
      <c r="FP18" s="749"/>
      <c r="FQ18" s="749"/>
      <c r="FR18" s="749"/>
      <c r="FS18" s="749"/>
      <c r="FT18" s="749"/>
      <c r="FU18" s="749"/>
      <c r="FV18" s="749"/>
      <c r="FW18" s="749"/>
      <c r="FX18" s="749"/>
      <c r="FY18" s="749"/>
      <c r="FZ18" s="749"/>
      <c r="GA18" s="749"/>
      <c r="GB18" s="749"/>
      <c r="GC18" s="749"/>
      <c r="GD18" s="749"/>
      <c r="GE18" s="749"/>
      <c r="GF18" s="749"/>
      <c r="GG18" s="749"/>
      <c r="GH18" s="749"/>
      <c r="GI18" s="749"/>
      <c r="GJ18" s="749"/>
      <c r="GK18" s="749"/>
      <c r="GL18" s="749"/>
      <c r="GM18" s="749"/>
      <c r="GN18" s="749"/>
      <c r="GO18" s="749"/>
      <c r="GP18" s="749"/>
      <c r="GQ18" s="749"/>
      <c r="GR18" s="749"/>
      <c r="GS18" s="749"/>
      <c r="GT18" s="749"/>
      <c r="GU18" s="749"/>
      <c r="GV18" s="749"/>
      <c r="GW18" s="749"/>
      <c r="GX18" s="749"/>
      <c r="GY18" s="749"/>
      <c r="GZ18" s="749"/>
      <c r="HA18" s="749"/>
      <c r="HB18" s="749"/>
      <c r="HC18" s="749"/>
      <c r="HD18" s="749"/>
      <c r="HE18" s="749"/>
      <c r="HF18" s="749"/>
      <c r="HG18" s="749"/>
      <c r="HH18" s="749"/>
      <c r="HI18" s="749"/>
      <c r="HJ18" s="749"/>
      <c r="HK18" s="749"/>
      <c r="HL18" s="749"/>
      <c r="HM18" s="749"/>
      <c r="HN18" s="749"/>
      <c r="HO18" s="749"/>
      <c r="HP18" s="749"/>
      <c r="HQ18" s="749"/>
      <c r="HR18" s="749"/>
      <c r="HS18" s="749"/>
      <c r="HT18" s="749"/>
      <c r="HU18" s="749"/>
      <c r="HV18" s="749"/>
      <c r="HW18" s="749"/>
      <c r="HX18" s="749"/>
      <c r="HY18" s="749"/>
      <c r="HZ18" s="749"/>
      <c r="IA18" s="749"/>
      <c r="IB18" s="749"/>
      <c r="IC18" s="749"/>
      <c r="ID18" s="749"/>
      <c r="IE18" s="749"/>
      <c r="IF18" s="749"/>
      <c r="IG18" s="749"/>
      <c r="IH18" s="749"/>
      <c r="II18" s="749"/>
      <c r="IJ18" s="749"/>
      <c r="IK18" s="749"/>
      <c r="IL18" s="749"/>
      <c r="IM18" s="749"/>
      <c r="IN18" s="749"/>
    </row>
    <row r="19" spans="1:248" ht="12.75">
      <c r="A19" s="3" t="s">
        <v>7332</v>
      </c>
      <c r="B19" s="769" t="s">
        <v>220</v>
      </c>
      <c r="C19" s="3" t="s">
        <v>7342</v>
      </c>
      <c r="D19" s="3"/>
      <c r="E19" s="3"/>
      <c r="F19" s="770"/>
      <c r="G19" s="771">
        <v>150000</v>
      </c>
      <c r="H19" s="3"/>
      <c r="I19" s="3"/>
      <c r="J19" s="3"/>
      <c r="K19" s="3"/>
      <c r="L19" s="749"/>
      <c r="M19" s="3" t="s">
        <v>7332</v>
      </c>
      <c r="N19" s="769" t="s">
        <v>220</v>
      </c>
      <c r="O19" s="703" t="s">
        <v>7524</v>
      </c>
      <c r="P19" s="3"/>
      <c r="Q19" s="770"/>
      <c r="R19" s="771">
        <v>150000</v>
      </c>
      <c r="S19" s="771"/>
      <c r="T19" s="3"/>
      <c r="U19" s="3"/>
      <c r="V19" s="3"/>
      <c r="W19" s="3"/>
      <c r="X19" s="3"/>
      <c r="Y19" s="3"/>
      <c r="Z19" s="3"/>
      <c r="AA19" s="3"/>
      <c r="AB19" s="3"/>
      <c r="AC19" s="850" t="s">
        <v>7527</v>
      </c>
      <c r="AD19" s="879"/>
      <c r="AE19" s="885"/>
      <c r="AF19" s="879">
        <f>AH19+AN19+AO19+AP19</f>
        <v>150000</v>
      </c>
      <c r="AG19" s="876"/>
      <c r="AH19" s="879">
        <f t="shared" si="0"/>
        <v>150000</v>
      </c>
      <c r="AI19" s="876"/>
      <c r="AJ19" s="879">
        <v>150000</v>
      </c>
      <c r="AK19" s="876"/>
      <c r="AL19" s="879">
        <f>'TAB 3 Project Cost'!G47</f>
        <v>0</v>
      </c>
      <c r="AM19" s="876"/>
      <c r="AN19" s="877"/>
      <c r="AO19" s="868"/>
      <c r="AP19" s="851"/>
      <c r="AQ19" s="923">
        <f>'TAB 3 Project Cost'!AC43</f>
        <v>0</v>
      </c>
      <c r="AR19" s="924">
        <f>'TAB 3 Project Cost'!AD43</f>
        <v>0</v>
      </c>
      <c r="AS19" s="925">
        <f>'TAB 3 Project Cost'!AE43</f>
        <v>0</v>
      </c>
      <c r="AT19" s="923"/>
      <c r="AU19" s="924"/>
      <c r="AV19" s="924"/>
      <c r="AW19" s="925"/>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749"/>
      <c r="BT19" s="749"/>
      <c r="BU19" s="749"/>
      <c r="BV19" s="749"/>
      <c r="BW19" s="749"/>
      <c r="BX19" s="749"/>
      <c r="BY19" s="749"/>
      <c r="BZ19" s="749"/>
      <c r="CA19" s="749"/>
      <c r="CB19" s="749"/>
      <c r="CC19" s="749"/>
      <c r="CD19" s="749"/>
      <c r="CE19" s="749"/>
      <c r="CF19" s="749"/>
      <c r="CG19" s="749"/>
      <c r="CH19" s="749"/>
      <c r="CI19" s="749"/>
      <c r="CJ19" s="749"/>
      <c r="CK19" s="749"/>
      <c r="CL19" s="749"/>
      <c r="CM19" s="749"/>
      <c r="CN19" s="749"/>
      <c r="CO19" s="749"/>
      <c r="CP19" s="749"/>
      <c r="CQ19" s="749"/>
      <c r="CR19" s="749"/>
      <c r="CS19" s="749"/>
      <c r="CT19" s="749"/>
      <c r="CU19" s="749"/>
      <c r="CV19" s="749"/>
      <c r="CW19" s="749"/>
      <c r="CX19" s="749"/>
      <c r="CY19" s="749"/>
      <c r="CZ19" s="749"/>
      <c r="DA19" s="749"/>
      <c r="DB19" s="749"/>
      <c r="DC19" s="749"/>
      <c r="DD19" s="749"/>
      <c r="DE19" s="749"/>
      <c r="DF19" s="749"/>
      <c r="DG19" s="749"/>
      <c r="DH19" s="749"/>
      <c r="DI19" s="749"/>
      <c r="DJ19" s="749"/>
      <c r="DK19" s="749"/>
      <c r="DL19" s="749"/>
      <c r="DM19" s="749"/>
      <c r="DN19" s="749"/>
      <c r="DO19" s="749"/>
      <c r="DP19" s="749"/>
      <c r="DQ19" s="749"/>
      <c r="DR19" s="749"/>
      <c r="DS19" s="749"/>
      <c r="DT19" s="749"/>
      <c r="DU19" s="749"/>
      <c r="DV19" s="749"/>
      <c r="DW19" s="749"/>
      <c r="DX19" s="749"/>
      <c r="DY19" s="749"/>
      <c r="DZ19" s="749"/>
      <c r="EA19" s="749"/>
      <c r="EB19" s="749"/>
      <c r="EC19" s="749"/>
      <c r="ED19" s="749"/>
      <c r="EE19" s="749"/>
      <c r="EF19" s="749"/>
      <c r="EG19" s="749"/>
      <c r="EH19" s="749"/>
      <c r="EI19" s="749"/>
      <c r="EJ19" s="749"/>
      <c r="EK19" s="749"/>
      <c r="EL19" s="749"/>
      <c r="EM19" s="749"/>
      <c r="EN19" s="749"/>
      <c r="EO19" s="749"/>
      <c r="EP19" s="749"/>
      <c r="EQ19" s="749"/>
      <c r="ER19" s="749"/>
      <c r="ES19" s="749"/>
      <c r="ET19" s="749"/>
      <c r="EU19" s="749"/>
      <c r="EV19" s="749"/>
      <c r="EW19" s="749"/>
      <c r="EX19" s="749"/>
      <c r="EY19" s="749"/>
      <c r="EZ19" s="749"/>
      <c r="FA19" s="749"/>
      <c r="FB19" s="749"/>
      <c r="FC19" s="749"/>
      <c r="FD19" s="749"/>
      <c r="FE19" s="749"/>
      <c r="FF19" s="749"/>
      <c r="FG19" s="749"/>
      <c r="FH19" s="749"/>
      <c r="FI19" s="749"/>
      <c r="FJ19" s="749"/>
      <c r="FK19" s="749"/>
      <c r="FL19" s="749"/>
      <c r="FM19" s="749"/>
      <c r="FN19" s="749"/>
      <c r="FO19" s="749"/>
      <c r="FP19" s="749"/>
      <c r="FQ19" s="749"/>
      <c r="FR19" s="749"/>
      <c r="FS19" s="749"/>
      <c r="FT19" s="749"/>
      <c r="FU19" s="749"/>
      <c r="FV19" s="749"/>
      <c r="FW19" s="749"/>
      <c r="FX19" s="749"/>
      <c r="FY19" s="749"/>
      <c r="FZ19" s="749"/>
      <c r="GA19" s="749"/>
      <c r="GB19" s="749"/>
      <c r="GC19" s="749"/>
      <c r="GD19" s="749"/>
      <c r="GE19" s="749"/>
      <c r="GF19" s="749"/>
      <c r="GG19" s="749"/>
      <c r="GH19" s="749"/>
      <c r="GI19" s="749"/>
      <c r="GJ19" s="749"/>
      <c r="GK19" s="749"/>
      <c r="GL19" s="749"/>
      <c r="GM19" s="749"/>
      <c r="GN19" s="749"/>
      <c r="GO19" s="749"/>
      <c r="GP19" s="749"/>
      <c r="GQ19" s="749"/>
      <c r="GR19" s="749"/>
      <c r="GS19" s="749"/>
      <c r="GT19" s="749"/>
      <c r="GU19" s="749"/>
      <c r="GV19" s="749"/>
      <c r="GW19" s="749"/>
      <c r="GX19" s="749"/>
      <c r="GY19" s="749"/>
      <c r="GZ19" s="749"/>
      <c r="HA19" s="749"/>
      <c r="HB19" s="749"/>
      <c r="HC19" s="749"/>
      <c r="HD19" s="749"/>
      <c r="HE19" s="749"/>
      <c r="HF19" s="749"/>
      <c r="HG19" s="749"/>
      <c r="HH19" s="749"/>
      <c r="HI19" s="749"/>
      <c r="HJ19" s="749"/>
      <c r="HK19" s="749"/>
      <c r="HL19" s="749"/>
      <c r="HM19" s="749"/>
      <c r="HN19" s="749"/>
      <c r="HO19" s="749"/>
      <c r="HP19" s="749"/>
      <c r="HQ19" s="749"/>
      <c r="HR19" s="749"/>
      <c r="HS19" s="749"/>
      <c r="HT19" s="749"/>
      <c r="HU19" s="749"/>
      <c r="HV19" s="749"/>
      <c r="HW19" s="749"/>
      <c r="HX19" s="749"/>
      <c r="HY19" s="749"/>
      <c r="HZ19" s="749"/>
      <c r="IA19" s="749"/>
      <c r="IB19" s="749"/>
      <c r="IC19" s="749"/>
      <c r="ID19" s="749"/>
      <c r="IE19" s="749"/>
      <c r="IF19" s="749"/>
      <c r="IG19" s="749"/>
      <c r="IH19" s="749"/>
      <c r="II19" s="749"/>
      <c r="IJ19" s="749"/>
      <c r="IK19" s="749"/>
      <c r="IL19" s="749"/>
      <c r="IM19" s="749"/>
      <c r="IN19" s="749"/>
    </row>
    <row r="20" spans="1:248" ht="12.75">
      <c r="A20" s="3"/>
      <c r="B20" s="769"/>
      <c r="C20" s="3"/>
      <c r="D20" s="3"/>
      <c r="E20" s="3"/>
      <c r="F20" s="770"/>
      <c r="G20" s="771"/>
      <c r="H20" s="3"/>
      <c r="I20" s="3"/>
      <c r="J20" s="3"/>
      <c r="K20" s="3"/>
      <c r="L20" s="749"/>
      <c r="M20" s="3"/>
      <c r="N20" s="769"/>
      <c r="O20" s="3"/>
      <c r="P20" s="3"/>
      <c r="Q20" s="770"/>
      <c r="R20" s="771"/>
      <c r="S20" s="771"/>
      <c r="T20" s="3"/>
      <c r="U20" s="3"/>
      <c r="V20" s="3"/>
      <c r="W20" s="3"/>
      <c r="X20" s="3"/>
      <c r="Y20" s="3"/>
      <c r="Z20" s="3"/>
      <c r="AA20" s="3"/>
      <c r="AB20" s="3"/>
      <c r="AC20" s="849"/>
      <c r="AD20" s="838"/>
      <c r="AE20" s="836"/>
      <c r="AF20" s="838"/>
      <c r="AG20" s="872"/>
      <c r="AH20" s="838"/>
      <c r="AI20" s="872"/>
      <c r="AJ20" s="838"/>
      <c r="AK20" s="872"/>
      <c r="AL20" s="838"/>
      <c r="AM20" s="872"/>
      <c r="AN20" s="838"/>
      <c r="AO20" s="836"/>
      <c r="AP20" s="844"/>
      <c r="AQ20" s="920"/>
      <c r="AR20" s="921"/>
      <c r="AS20" s="922"/>
      <c r="AT20" s="920"/>
      <c r="AU20" s="921"/>
      <c r="AV20" s="921"/>
      <c r="AW20" s="922"/>
      <c r="AX20" s="749"/>
      <c r="AY20" s="749"/>
      <c r="AZ20" s="749"/>
      <c r="BA20" s="749"/>
      <c r="BB20" s="749"/>
      <c r="BC20" s="749"/>
      <c r="BD20" s="749"/>
      <c r="BE20" s="749"/>
      <c r="BF20" s="749"/>
      <c r="BG20" s="749"/>
      <c r="BH20" s="749"/>
      <c r="BI20" s="749"/>
      <c r="BJ20" s="749"/>
      <c r="BK20" s="749"/>
      <c r="BL20" s="749"/>
      <c r="BM20" s="749"/>
      <c r="BN20" s="749"/>
      <c r="BO20" s="749"/>
      <c r="BP20" s="749"/>
      <c r="BQ20" s="749"/>
      <c r="BR20" s="749"/>
      <c r="BS20" s="749"/>
      <c r="BT20" s="749"/>
      <c r="BU20" s="749"/>
      <c r="BV20" s="749"/>
      <c r="BW20" s="749"/>
      <c r="BX20" s="749"/>
      <c r="BY20" s="749"/>
      <c r="BZ20" s="749"/>
      <c r="CA20" s="749"/>
      <c r="CB20" s="749"/>
      <c r="CC20" s="749"/>
      <c r="CD20" s="749"/>
      <c r="CE20" s="749"/>
      <c r="CF20" s="749"/>
      <c r="CG20" s="749"/>
      <c r="CH20" s="749"/>
      <c r="CI20" s="749"/>
      <c r="CJ20" s="749"/>
      <c r="CK20" s="749"/>
      <c r="CL20" s="749"/>
      <c r="CM20" s="749"/>
      <c r="CN20" s="749"/>
      <c r="CO20" s="749"/>
      <c r="CP20" s="749"/>
      <c r="CQ20" s="749"/>
      <c r="CR20" s="749"/>
      <c r="CS20" s="749"/>
      <c r="CT20" s="749"/>
      <c r="CU20" s="749"/>
      <c r="CV20" s="749"/>
      <c r="CW20" s="749"/>
      <c r="CX20" s="749"/>
      <c r="CY20" s="749"/>
      <c r="CZ20" s="749"/>
      <c r="DA20" s="749"/>
      <c r="DB20" s="749"/>
      <c r="DC20" s="749"/>
      <c r="DD20" s="749"/>
      <c r="DE20" s="749"/>
      <c r="DF20" s="749"/>
      <c r="DG20" s="749"/>
      <c r="DH20" s="749"/>
      <c r="DI20" s="749"/>
      <c r="DJ20" s="749"/>
      <c r="DK20" s="749"/>
      <c r="DL20" s="749"/>
      <c r="DM20" s="749"/>
      <c r="DN20" s="749"/>
      <c r="DO20" s="749"/>
      <c r="DP20" s="749"/>
      <c r="DQ20" s="749"/>
      <c r="DR20" s="749"/>
      <c r="DS20" s="749"/>
      <c r="DT20" s="749"/>
      <c r="DU20" s="749"/>
      <c r="DV20" s="749"/>
      <c r="DW20" s="749"/>
      <c r="DX20" s="749"/>
      <c r="DY20" s="749"/>
      <c r="DZ20" s="749"/>
      <c r="EA20" s="749"/>
      <c r="EB20" s="749"/>
      <c r="EC20" s="749"/>
      <c r="ED20" s="749"/>
      <c r="EE20" s="749"/>
      <c r="EF20" s="749"/>
      <c r="EG20" s="749"/>
      <c r="EH20" s="749"/>
      <c r="EI20" s="749"/>
      <c r="EJ20" s="749"/>
      <c r="EK20" s="749"/>
      <c r="EL20" s="749"/>
      <c r="EM20" s="749"/>
      <c r="EN20" s="749"/>
      <c r="EO20" s="749"/>
      <c r="EP20" s="749"/>
      <c r="EQ20" s="749"/>
      <c r="ER20" s="749"/>
      <c r="ES20" s="749"/>
      <c r="ET20" s="749"/>
      <c r="EU20" s="749"/>
      <c r="EV20" s="749"/>
      <c r="EW20" s="749"/>
      <c r="EX20" s="749"/>
      <c r="EY20" s="749"/>
      <c r="EZ20" s="749"/>
      <c r="FA20" s="749"/>
      <c r="FB20" s="749"/>
      <c r="FC20" s="749"/>
      <c r="FD20" s="749"/>
      <c r="FE20" s="749"/>
      <c r="FF20" s="749"/>
      <c r="FG20" s="749"/>
      <c r="FH20" s="749"/>
      <c r="FI20" s="749"/>
      <c r="FJ20" s="749"/>
      <c r="FK20" s="749"/>
      <c r="FL20" s="749"/>
      <c r="FM20" s="749"/>
      <c r="FN20" s="749"/>
      <c r="FO20" s="749"/>
      <c r="FP20" s="749"/>
      <c r="FQ20" s="749"/>
      <c r="FR20" s="749"/>
      <c r="FS20" s="749"/>
      <c r="FT20" s="749"/>
      <c r="FU20" s="749"/>
      <c r="FV20" s="749"/>
      <c r="FW20" s="749"/>
      <c r="FX20" s="749"/>
      <c r="FY20" s="749"/>
      <c r="FZ20" s="749"/>
      <c r="GA20" s="749"/>
      <c r="GB20" s="749"/>
      <c r="GC20" s="749"/>
      <c r="GD20" s="749"/>
      <c r="GE20" s="749"/>
      <c r="GF20" s="749"/>
      <c r="GG20" s="749"/>
      <c r="GH20" s="749"/>
      <c r="GI20" s="749"/>
      <c r="GJ20" s="749"/>
      <c r="GK20" s="749"/>
      <c r="GL20" s="749"/>
      <c r="GM20" s="749"/>
      <c r="GN20" s="749"/>
      <c r="GO20" s="749"/>
      <c r="GP20" s="749"/>
      <c r="GQ20" s="749"/>
      <c r="GR20" s="749"/>
      <c r="GS20" s="749"/>
      <c r="GT20" s="749"/>
      <c r="GU20" s="749"/>
      <c r="GV20" s="749"/>
      <c r="GW20" s="749"/>
      <c r="GX20" s="749"/>
      <c r="GY20" s="749"/>
      <c r="GZ20" s="749"/>
      <c r="HA20" s="749"/>
      <c r="HB20" s="749"/>
      <c r="HC20" s="749"/>
      <c r="HD20" s="749"/>
      <c r="HE20" s="749"/>
      <c r="HF20" s="749"/>
      <c r="HG20" s="749"/>
      <c r="HH20" s="749"/>
      <c r="HI20" s="749"/>
      <c r="HJ20" s="749"/>
      <c r="HK20" s="749"/>
      <c r="HL20" s="749"/>
      <c r="HM20" s="749"/>
      <c r="HN20" s="749"/>
      <c r="HO20" s="749"/>
      <c r="HP20" s="749"/>
      <c r="HQ20" s="749"/>
      <c r="HR20" s="749"/>
      <c r="HS20" s="749"/>
      <c r="HT20" s="749"/>
      <c r="HU20" s="749"/>
      <c r="HV20" s="749"/>
      <c r="HW20" s="749"/>
      <c r="HX20" s="749"/>
      <c r="HY20" s="749"/>
      <c r="HZ20" s="749"/>
      <c r="IA20" s="749"/>
      <c r="IB20" s="749"/>
      <c r="IC20" s="749"/>
      <c r="ID20" s="749"/>
      <c r="IE20" s="749"/>
      <c r="IF20" s="749"/>
      <c r="IG20" s="749"/>
      <c r="IH20" s="749"/>
      <c r="II20" s="749"/>
      <c r="IJ20" s="749"/>
      <c r="IK20" s="749"/>
      <c r="IL20" s="749"/>
      <c r="IM20" s="749"/>
      <c r="IN20" s="749"/>
    </row>
    <row r="21" spans="1:248" ht="12.75">
      <c r="A21" s="3"/>
      <c r="B21" s="769"/>
      <c r="C21" s="3" t="s">
        <v>7343</v>
      </c>
      <c r="D21" s="3"/>
      <c r="E21" s="3"/>
      <c r="F21" s="770"/>
      <c r="G21" s="771">
        <f>SUM(H27-G26-G25-G24)</f>
        <v>36372000</v>
      </c>
      <c r="H21" s="771"/>
      <c r="I21" s="3"/>
      <c r="J21" s="3"/>
      <c r="K21" s="3"/>
      <c r="L21" s="749"/>
      <c r="M21" s="3"/>
      <c r="N21" s="769"/>
      <c r="O21" s="3" t="s">
        <v>7343</v>
      </c>
      <c r="P21" s="3"/>
      <c r="Q21" s="770"/>
      <c r="R21" s="771">
        <f>SUM(T27-R26-R25-R24)</f>
        <v>36372000</v>
      </c>
      <c r="S21" s="771"/>
      <c r="T21" s="771"/>
      <c r="U21" s="771"/>
      <c r="V21" s="3"/>
      <c r="W21" s="3"/>
      <c r="X21" s="3"/>
      <c r="Y21" s="3"/>
      <c r="Z21" s="3"/>
      <c r="AA21" s="3"/>
      <c r="AB21" s="3"/>
      <c r="AC21" s="850" t="s">
        <v>7528</v>
      </c>
      <c r="AD21" s="879"/>
      <c r="AE21" s="885"/>
      <c r="AF21" s="879">
        <f>AH21+AN21+AO21+AP21</f>
        <v>150000</v>
      </c>
      <c r="AG21" s="876"/>
      <c r="AH21" s="879">
        <f t="shared" ref="AH21" si="1">AJ21+AL21</f>
        <v>150000</v>
      </c>
      <c r="AI21" s="876"/>
      <c r="AJ21" s="879">
        <f>AJ18+AJ19</f>
        <v>150000</v>
      </c>
      <c r="AK21" s="876"/>
      <c r="AL21" s="879">
        <f>AL18+AL19</f>
        <v>0</v>
      </c>
      <c r="AM21" s="876"/>
      <c r="AN21" s="879">
        <f>'TAB 3 Project Cost'!G92</f>
        <v>0</v>
      </c>
      <c r="AO21" s="868"/>
      <c r="AP21" s="851"/>
      <c r="AQ21" s="976">
        <f>AQ18+AQ19</f>
        <v>0</v>
      </c>
      <c r="AR21" s="977">
        <f>AR18+AR19</f>
        <v>0</v>
      </c>
      <c r="AS21" s="978">
        <f>AS18+AS19</f>
        <v>0</v>
      </c>
      <c r="AT21" s="976">
        <f>AT18+AT19</f>
        <v>0</v>
      </c>
      <c r="AU21" s="977">
        <f t="shared" ref="AU21:AW21" si="2">AU18+AU19</f>
        <v>0</v>
      </c>
      <c r="AV21" s="977">
        <f t="shared" si="2"/>
        <v>0</v>
      </c>
      <c r="AW21" s="978">
        <f t="shared" si="2"/>
        <v>0</v>
      </c>
      <c r="AX21" s="749"/>
      <c r="AY21" s="749"/>
      <c r="AZ21" s="749"/>
      <c r="BA21" s="749"/>
      <c r="BB21" s="749"/>
      <c r="BC21" s="749"/>
      <c r="BD21" s="749"/>
      <c r="BE21" s="749"/>
      <c r="BF21" s="749"/>
      <c r="BG21" s="749"/>
      <c r="BH21" s="749"/>
      <c r="BI21" s="749"/>
      <c r="BJ21" s="749"/>
      <c r="BK21" s="749"/>
      <c r="BL21" s="749"/>
      <c r="BM21" s="749"/>
      <c r="BN21" s="749"/>
      <c r="BO21" s="749"/>
      <c r="BP21" s="749"/>
      <c r="BQ21" s="749"/>
      <c r="BR21" s="749"/>
      <c r="BS21" s="749"/>
      <c r="BT21" s="749"/>
      <c r="BU21" s="749"/>
      <c r="BV21" s="749"/>
      <c r="BW21" s="749"/>
      <c r="BX21" s="749"/>
      <c r="BY21" s="749"/>
      <c r="BZ21" s="749"/>
      <c r="CA21" s="749"/>
      <c r="CB21" s="749"/>
      <c r="CC21" s="749"/>
      <c r="CD21" s="749"/>
      <c r="CE21" s="749"/>
      <c r="CF21" s="749"/>
      <c r="CG21" s="749"/>
      <c r="CH21" s="749"/>
      <c r="CI21" s="749"/>
      <c r="CJ21" s="749"/>
      <c r="CK21" s="749"/>
      <c r="CL21" s="749"/>
      <c r="CM21" s="749"/>
      <c r="CN21" s="749"/>
      <c r="CO21" s="749"/>
      <c r="CP21" s="749"/>
      <c r="CQ21" s="749"/>
      <c r="CR21" s="749"/>
      <c r="CS21" s="749"/>
      <c r="CT21" s="749"/>
      <c r="CU21" s="749"/>
      <c r="CV21" s="749"/>
      <c r="CW21" s="749"/>
      <c r="CX21" s="749"/>
      <c r="CY21" s="749"/>
      <c r="CZ21" s="749"/>
      <c r="DA21" s="749"/>
      <c r="DB21" s="749"/>
      <c r="DC21" s="749"/>
      <c r="DD21" s="749"/>
      <c r="DE21" s="749"/>
      <c r="DF21" s="749"/>
      <c r="DG21" s="749"/>
      <c r="DH21" s="749"/>
      <c r="DI21" s="749"/>
      <c r="DJ21" s="749"/>
      <c r="DK21" s="749"/>
      <c r="DL21" s="749"/>
      <c r="DM21" s="749"/>
      <c r="DN21" s="749"/>
      <c r="DO21" s="749"/>
      <c r="DP21" s="749"/>
      <c r="DQ21" s="749"/>
      <c r="DR21" s="749"/>
      <c r="DS21" s="749"/>
      <c r="DT21" s="749"/>
      <c r="DU21" s="749"/>
      <c r="DV21" s="749"/>
      <c r="DW21" s="749"/>
      <c r="DX21" s="749"/>
      <c r="DY21" s="749"/>
      <c r="DZ21" s="749"/>
      <c r="EA21" s="749"/>
      <c r="EB21" s="749"/>
      <c r="EC21" s="749"/>
      <c r="ED21" s="749"/>
      <c r="EE21" s="749"/>
      <c r="EF21" s="749"/>
      <c r="EG21" s="749"/>
      <c r="EH21" s="749"/>
      <c r="EI21" s="749"/>
      <c r="EJ21" s="749"/>
      <c r="EK21" s="749"/>
      <c r="EL21" s="749"/>
      <c r="EM21" s="749"/>
      <c r="EN21" s="749"/>
      <c r="EO21" s="749"/>
      <c r="EP21" s="749"/>
      <c r="EQ21" s="749"/>
      <c r="ER21" s="749"/>
      <c r="ES21" s="749"/>
      <c r="ET21" s="749"/>
      <c r="EU21" s="749"/>
      <c r="EV21" s="749"/>
      <c r="EW21" s="749"/>
      <c r="EX21" s="749"/>
      <c r="EY21" s="749"/>
      <c r="EZ21" s="749"/>
      <c r="FA21" s="749"/>
      <c r="FB21" s="749"/>
      <c r="FC21" s="749"/>
      <c r="FD21" s="749"/>
      <c r="FE21" s="749"/>
      <c r="FF21" s="749"/>
      <c r="FG21" s="749"/>
      <c r="FH21" s="749"/>
      <c r="FI21" s="749"/>
      <c r="FJ21" s="749"/>
      <c r="FK21" s="749"/>
      <c r="FL21" s="749"/>
      <c r="FM21" s="749"/>
      <c r="FN21" s="749"/>
      <c r="FO21" s="749"/>
      <c r="FP21" s="749"/>
      <c r="FQ21" s="749"/>
      <c r="FR21" s="749"/>
      <c r="FS21" s="749"/>
      <c r="FT21" s="749"/>
      <c r="FU21" s="749"/>
      <c r="FV21" s="749"/>
      <c r="FW21" s="749"/>
      <c r="FX21" s="749"/>
      <c r="FY21" s="749"/>
      <c r="FZ21" s="749"/>
      <c r="GA21" s="749"/>
      <c r="GB21" s="749"/>
      <c r="GC21" s="749"/>
      <c r="GD21" s="749"/>
      <c r="GE21" s="749"/>
      <c r="GF21" s="749"/>
      <c r="GG21" s="749"/>
      <c r="GH21" s="749"/>
      <c r="GI21" s="749"/>
      <c r="GJ21" s="749"/>
      <c r="GK21" s="749"/>
      <c r="GL21" s="749"/>
      <c r="GM21" s="749"/>
      <c r="GN21" s="749"/>
      <c r="GO21" s="749"/>
      <c r="GP21" s="749"/>
      <c r="GQ21" s="749"/>
      <c r="GR21" s="749"/>
      <c r="GS21" s="749"/>
      <c r="GT21" s="749"/>
      <c r="GU21" s="749"/>
      <c r="GV21" s="749"/>
      <c r="GW21" s="749"/>
      <c r="GX21" s="749"/>
      <c r="GY21" s="749"/>
      <c r="GZ21" s="749"/>
      <c r="HA21" s="749"/>
      <c r="HB21" s="749"/>
      <c r="HC21" s="749"/>
      <c r="HD21" s="749"/>
      <c r="HE21" s="749"/>
      <c r="HF21" s="749"/>
      <c r="HG21" s="749"/>
      <c r="HH21" s="749"/>
      <c r="HI21" s="749"/>
      <c r="HJ21" s="749"/>
      <c r="HK21" s="749"/>
      <c r="HL21" s="749"/>
      <c r="HM21" s="749"/>
      <c r="HN21" s="749"/>
      <c r="HO21" s="749"/>
      <c r="HP21" s="749"/>
      <c r="HQ21" s="749"/>
      <c r="HR21" s="749"/>
      <c r="HS21" s="749"/>
      <c r="HT21" s="749"/>
      <c r="HU21" s="749"/>
      <c r="HV21" s="749"/>
      <c r="HW21" s="749"/>
      <c r="HX21" s="749"/>
      <c r="HY21" s="749"/>
      <c r="HZ21" s="749"/>
      <c r="IA21" s="749"/>
      <c r="IB21" s="749"/>
      <c r="IC21" s="749"/>
      <c r="ID21" s="749"/>
      <c r="IE21" s="749"/>
      <c r="IF21" s="749"/>
      <c r="IG21" s="749"/>
      <c r="IH21" s="749"/>
      <c r="II21" s="749"/>
      <c r="IJ21" s="749"/>
      <c r="IK21" s="749"/>
      <c r="IL21" s="749"/>
      <c r="IM21" s="749"/>
      <c r="IN21" s="749"/>
    </row>
    <row r="22" spans="1:248" ht="12.75">
      <c r="A22" s="3"/>
      <c r="B22" s="769"/>
      <c r="C22" s="3"/>
      <c r="D22" s="3"/>
      <c r="E22" s="3"/>
      <c r="F22" s="770"/>
      <c r="G22" s="771"/>
      <c r="H22" s="3"/>
      <c r="I22" s="3"/>
      <c r="J22" s="3"/>
      <c r="K22" s="3"/>
      <c r="L22" s="749"/>
      <c r="M22" s="3"/>
      <c r="N22" s="769"/>
      <c r="O22" s="3"/>
      <c r="P22" s="3"/>
      <c r="Q22" s="770"/>
      <c r="R22" s="771"/>
      <c r="S22" s="771"/>
      <c r="T22" s="3"/>
      <c r="U22" s="3"/>
      <c r="V22" s="3"/>
      <c r="W22" s="3"/>
      <c r="X22" s="3"/>
      <c r="Y22" s="3"/>
      <c r="Z22" s="3"/>
      <c r="AA22" s="3"/>
      <c r="AB22" s="3"/>
      <c r="AC22" s="849"/>
      <c r="AD22" s="838"/>
      <c r="AE22" s="836"/>
      <c r="AF22" s="838"/>
      <c r="AG22" s="872"/>
      <c r="AH22" s="838"/>
      <c r="AI22" s="872"/>
      <c r="AJ22" s="838"/>
      <c r="AK22" s="872"/>
      <c r="AL22" s="838"/>
      <c r="AM22" s="872"/>
      <c r="AN22" s="838"/>
      <c r="AO22" s="836"/>
      <c r="AP22" s="844"/>
      <c r="AQ22" s="920"/>
      <c r="AR22" s="921"/>
      <c r="AS22" s="922"/>
      <c r="AT22" s="920"/>
      <c r="AU22" s="921"/>
      <c r="AV22" s="921"/>
      <c r="AW22" s="922"/>
      <c r="AX22" s="749"/>
      <c r="AY22" s="749"/>
      <c r="AZ22" s="749"/>
      <c r="BA22" s="749"/>
      <c r="BB22" s="749"/>
      <c r="BC22" s="749"/>
      <c r="BD22" s="749"/>
      <c r="BE22" s="749"/>
      <c r="BF22" s="749"/>
      <c r="BG22" s="749"/>
      <c r="BH22" s="749"/>
      <c r="BI22" s="749"/>
      <c r="BJ22" s="749"/>
      <c r="BK22" s="749"/>
      <c r="BL22" s="749"/>
      <c r="BM22" s="749"/>
      <c r="BN22" s="749"/>
      <c r="BO22" s="749"/>
      <c r="BP22" s="749"/>
      <c r="BQ22" s="749"/>
      <c r="BR22" s="749"/>
      <c r="BS22" s="749"/>
      <c r="BT22" s="749"/>
      <c r="BU22" s="749"/>
      <c r="BV22" s="749"/>
      <c r="BW22" s="749"/>
      <c r="BX22" s="749"/>
      <c r="BY22" s="749"/>
      <c r="BZ22" s="749"/>
      <c r="CA22" s="749"/>
      <c r="CB22" s="749"/>
      <c r="CC22" s="749"/>
      <c r="CD22" s="749"/>
      <c r="CE22" s="749"/>
      <c r="CF22" s="749"/>
      <c r="CG22" s="749"/>
      <c r="CH22" s="749"/>
      <c r="CI22" s="749"/>
      <c r="CJ22" s="749"/>
      <c r="CK22" s="749"/>
      <c r="CL22" s="749"/>
      <c r="CM22" s="749"/>
      <c r="CN22" s="749"/>
      <c r="CO22" s="749"/>
      <c r="CP22" s="749"/>
      <c r="CQ22" s="749"/>
      <c r="CR22" s="749"/>
      <c r="CS22" s="749"/>
      <c r="CT22" s="749"/>
      <c r="CU22" s="749"/>
      <c r="CV22" s="749"/>
      <c r="CW22" s="749"/>
      <c r="CX22" s="749"/>
      <c r="CY22" s="749"/>
      <c r="CZ22" s="749"/>
      <c r="DA22" s="749"/>
      <c r="DB22" s="749"/>
      <c r="DC22" s="749"/>
      <c r="DD22" s="749"/>
      <c r="DE22" s="749"/>
      <c r="DF22" s="749"/>
      <c r="DG22" s="749"/>
      <c r="DH22" s="749"/>
      <c r="DI22" s="749"/>
      <c r="DJ22" s="749"/>
      <c r="DK22" s="749"/>
      <c r="DL22" s="749"/>
      <c r="DM22" s="749"/>
      <c r="DN22" s="749"/>
      <c r="DO22" s="749"/>
      <c r="DP22" s="749"/>
      <c r="DQ22" s="749"/>
      <c r="DR22" s="749"/>
      <c r="DS22" s="749"/>
      <c r="DT22" s="749"/>
      <c r="DU22" s="749"/>
      <c r="DV22" s="749"/>
      <c r="DW22" s="749"/>
      <c r="DX22" s="749"/>
      <c r="DY22" s="749"/>
      <c r="DZ22" s="749"/>
      <c r="EA22" s="749"/>
      <c r="EB22" s="749"/>
      <c r="EC22" s="749"/>
      <c r="ED22" s="749"/>
      <c r="EE22" s="749"/>
      <c r="EF22" s="749"/>
      <c r="EG22" s="749"/>
      <c r="EH22" s="749"/>
      <c r="EI22" s="749"/>
      <c r="EJ22" s="749"/>
      <c r="EK22" s="749"/>
      <c r="EL22" s="749"/>
      <c r="EM22" s="749"/>
      <c r="EN22" s="749"/>
      <c r="EO22" s="749"/>
      <c r="EP22" s="749"/>
      <c r="EQ22" s="749"/>
      <c r="ER22" s="749"/>
      <c r="ES22" s="749"/>
      <c r="ET22" s="749"/>
      <c r="EU22" s="749"/>
      <c r="EV22" s="749"/>
      <c r="EW22" s="749"/>
      <c r="EX22" s="749"/>
      <c r="EY22" s="749"/>
      <c r="EZ22" s="749"/>
      <c r="FA22" s="749"/>
      <c r="FB22" s="749"/>
      <c r="FC22" s="749"/>
      <c r="FD22" s="749"/>
      <c r="FE22" s="749"/>
      <c r="FF22" s="749"/>
      <c r="FG22" s="749"/>
      <c r="FH22" s="749"/>
      <c r="FI22" s="749"/>
      <c r="FJ22" s="749"/>
      <c r="FK22" s="749"/>
      <c r="FL22" s="749"/>
      <c r="FM22" s="749"/>
      <c r="FN22" s="749"/>
      <c r="FO22" s="749"/>
      <c r="FP22" s="749"/>
      <c r="FQ22" s="749"/>
      <c r="FR22" s="749"/>
      <c r="FS22" s="749"/>
      <c r="FT22" s="749"/>
      <c r="FU22" s="749"/>
      <c r="FV22" s="749"/>
      <c r="FW22" s="749"/>
      <c r="FX22" s="749"/>
      <c r="FY22" s="749"/>
      <c r="FZ22" s="749"/>
      <c r="GA22" s="749"/>
      <c r="GB22" s="749"/>
      <c r="GC22" s="749"/>
      <c r="GD22" s="749"/>
      <c r="GE22" s="749"/>
      <c r="GF22" s="749"/>
      <c r="GG22" s="749"/>
      <c r="GH22" s="749"/>
      <c r="GI22" s="749"/>
      <c r="GJ22" s="749"/>
      <c r="GK22" s="749"/>
      <c r="GL22" s="749"/>
      <c r="GM22" s="749"/>
      <c r="GN22" s="749"/>
      <c r="GO22" s="749"/>
      <c r="GP22" s="749"/>
      <c r="GQ22" s="749"/>
      <c r="GR22" s="749"/>
      <c r="GS22" s="749"/>
      <c r="GT22" s="749"/>
      <c r="GU22" s="749"/>
      <c r="GV22" s="749"/>
      <c r="GW22" s="749"/>
      <c r="GX22" s="749"/>
      <c r="GY22" s="749"/>
      <c r="GZ22" s="749"/>
      <c r="HA22" s="749"/>
      <c r="HB22" s="749"/>
      <c r="HC22" s="749"/>
      <c r="HD22" s="749"/>
      <c r="HE22" s="749"/>
      <c r="HF22" s="749"/>
      <c r="HG22" s="749"/>
      <c r="HH22" s="749"/>
      <c r="HI22" s="749"/>
      <c r="HJ22" s="749"/>
      <c r="HK22" s="749"/>
      <c r="HL22" s="749"/>
      <c r="HM22" s="749"/>
      <c r="HN22" s="749"/>
      <c r="HO22" s="749"/>
      <c r="HP22" s="749"/>
      <c r="HQ22" s="749"/>
      <c r="HR22" s="749"/>
      <c r="HS22" s="749"/>
      <c r="HT22" s="749"/>
      <c r="HU22" s="749"/>
      <c r="HV22" s="749"/>
      <c r="HW22" s="749"/>
      <c r="HX22" s="749"/>
      <c r="HY22" s="749"/>
      <c r="HZ22" s="749"/>
      <c r="IA22" s="749"/>
      <c r="IB22" s="749"/>
      <c r="IC22" s="749"/>
      <c r="ID22" s="749"/>
      <c r="IE22" s="749"/>
      <c r="IF22" s="749"/>
      <c r="IG22" s="749"/>
      <c r="IH22" s="749"/>
      <c r="II22" s="749"/>
      <c r="IJ22" s="749"/>
      <c r="IK22" s="749"/>
      <c r="IL22" s="749"/>
      <c r="IM22" s="749"/>
      <c r="IN22" s="749"/>
    </row>
    <row r="23" spans="1:248" ht="12.75">
      <c r="A23" s="3"/>
      <c r="B23" s="769" t="s">
        <v>221</v>
      </c>
      <c r="C23" s="3" t="s">
        <v>7344</v>
      </c>
      <c r="D23" s="3"/>
      <c r="E23" s="3"/>
      <c r="F23" s="770"/>
      <c r="G23" s="771"/>
      <c r="H23" s="3"/>
      <c r="I23" s="3"/>
      <c r="J23" s="3"/>
      <c r="K23" s="3"/>
      <c r="L23" s="749"/>
      <c r="M23" s="3"/>
      <c r="N23" s="769" t="s">
        <v>1520</v>
      </c>
      <c r="O23" s="3" t="s">
        <v>7344</v>
      </c>
      <c r="P23" s="3"/>
      <c r="Q23" s="770"/>
      <c r="R23" s="771"/>
      <c r="S23" s="771"/>
      <c r="T23" s="3"/>
      <c r="U23" s="3"/>
      <c r="V23" s="3"/>
      <c r="W23" s="3"/>
      <c r="X23" s="3"/>
      <c r="Y23" s="3"/>
      <c r="Z23" s="3"/>
      <c r="AA23" s="3"/>
      <c r="AB23" s="3"/>
      <c r="AC23" s="849"/>
      <c r="AD23" s="838"/>
      <c r="AE23" s="836"/>
      <c r="AF23" s="838"/>
      <c r="AG23" s="872"/>
      <c r="AH23" s="838"/>
      <c r="AI23" s="872"/>
      <c r="AJ23" s="838"/>
      <c r="AK23" s="872"/>
      <c r="AL23" s="838"/>
      <c r="AM23" s="872"/>
      <c r="AN23" s="838"/>
      <c r="AO23" s="836"/>
      <c r="AP23" s="844"/>
      <c r="AQ23" s="920"/>
      <c r="AR23" s="921"/>
      <c r="AS23" s="922"/>
      <c r="AT23" s="920"/>
      <c r="AU23" s="921"/>
      <c r="AV23" s="921"/>
      <c r="AW23" s="922"/>
      <c r="AX23" s="749"/>
      <c r="AY23" s="749"/>
      <c r="AZ23" s="749"/>
      <c r="BA23" s="749"/>
      <c r="BB23" s="749"/>
      <c r="BC23" s="749"/>
      <c r="BD23" s="749"/>
      <c r="BE23" s="749"/>
      <c r="BF23" s="749"/>
      <c r="BG23" s="749"/>
      <c r="BH23" s="749"/>
      <c r="BI23" s="749"/>
      <c r="BJ23" s="749"/>
      <c r="BK23" s="749"/>
      <c r="BL23" s="749"/>
      <c r="BM23" s="749"/>
      <c r="BN23" s="749"/>
      <c r="BO23" s="749"/>
      <c r="BP23" s="749"/>
      <c r="BQ23" s="749"/>
      <c r="BR23" s="749"/>
      <c r="BS23" s="749"/>
      <c r="BT23" s="749"/>
      <c r="BU23" s="749"/>
      <c r="BV23" s="749"/>
      <c r="BW23" s="749"/>
      <c r="BX23" s="749"/>
      <c r="BY23" s="749"/>
      <c r="BZ23" s="749"/>
      <c r="CA23" s="749"/>
      <c r="CB23" s="749"/>
      <c r="CC23" s="749"/>
      <c r="CD23" s="749"/>
      <c r="CE23" s="749"/>
      <c r="CF23" s="749"/>
      <c r="CG23" s="749"/>
      <c r="CH23" s="749"/>
      <c r="CI23" s="749"/>
      <c r="CJ23" s="749"/>
      <c r="CK23" s="749"/>
      <c r="CL23" s="749"/>
      <c r="CM23" s="749"/>
      <c r="CN23" s="749"/>
      <c r="CO23" s="749"/>
      <c r="CP23" s="749"/>
      <c r="CQ23" s="749"/>
      <c r="CR23" s="749"/>
      <c r="CS23" s="749"/>
      <c r="CT23" s="749"/>
      <c r="CU23" s="749"/>
      <c r="CV23" s="749"/>
      <c r="CW23" s="749"/>
      <c r="CX23" s="749"/>
      <c r="CY23" s="749"/>
      <c r="CZ23" s="749"/>
      <c r="DA23" s="749"/>
      <c r="DB23" s="749"/>
      <c r="DC23" s="749"/>
      <c r="DD23" s="749"/>
      <c r="DE23" s="749"/>
      <c r="DF23" s="749"/>
      <c r="DG23" s="749"/>
      <c r="DH23" s="749"/>
      <c r="DI23" s="749"/>
      <c r="DJ23" s="749"/>
      <c r="DK23" s="749"/>
      <c r="DL23" s="749"/>
      <c r="DM23" s="749"/>
      <c r="DN23" s="749"/>
      <c r="DO23" s="749"/>
      <c r="DP23" s="749"/>
      <c r="DQ23" s="749"/>
      <c r="DR23" s="749"/>
      <c r="DS23" s="749"/>
      <c r="DT23" s="749"/>
      <c r="DU23" s="749"/>
      <c r="DV23" s="749"/>
      <c r="DW23" s="749"/>
      <c r="DX23" s="749"/>
      <c r="DY23" s="749"/>
      <c r="DZ23" s="749"/>
      <c r="EA23" s="749"/>
      <c r="EB23" s="749"/>
      <c r="EC23" s="749"/>
      <c r="ED23" s="749"/>
      <c r="EE23" s="749"/>
      <c r="EF23" s="749"/>
      <c r="EG23" s="749"/>
      <c r="EH23" s="749"/>
      <c r="EI23" s="749"/>
      <c r="EJ23" s="749"/>
      <c r="EK23" s="749"/>
      <c r="EL23" s="749"/>
      <c r="EM23" s="749"/>
      <c r="EN23" s="749"/>
      <c r="EO23" s="749"/>
      <c r="EP23" s="749"/>
      <c r="EQ23" s="749"/>
      <c r="ER23" s="749"/>
      <c r="ES23" s="749"/>
      <c r="ET23" s="749"/>
      <c r="EU23" s="749"/>
      <c r="EV23" s="749"/>
      <c r="EW23" s="749"/>
      <c r="EX23" s="749"/>
      <c r="EY23" s="749"/>
      <c r="EZ23" s="749"/>
      <c r="FA23" s="749"/>
      <c r="FB23" s="749"/>
      <c r="FC23" s="749"/>
      <c r="FD23" s="749"/>
      <c r="FE23" s="749"/>
      <c r="FF23" s="749"/>
      <c r="FG23" s="749"/>
      <c r="FH23" s="749"/>
      <c r="FI23" s="749"/>
      <c r="FJ23" s="749"/>
      <c r="FK23" s="749"/>
      <c r="FL23" s="749"/>
      <c r="FM23" s="749"/>
      <c r="FN23" s="749"/>
      <c r="FO23" s="749"/>
      <c r="FP23" s="749"/>
      <c r="FQ23" s="749"/>
      <c r="FR23" s="749"/>
      <c r="FS23" s="749"/>
      <c r="FT23" s="749"/>
      <c r="FU23" s="749"/>
      <c r="FV23" s="749"/>
      <c r="FW23" s="749"/>
      <c r="FX23" s="749"/>
      <c r="FY23" s="749"/>
      <c r="FZ23" s="749"/>
      <c r="GA23" s="749"/>
      <c r="GB23" s="749"/>
      <c r="GC23" s="749"/>
      <c r="GD23" s="749"/>
      <c r="GE23" s="749"/>
      <c r="GF23" s="749"/>
      <c r="GG23" s="749"/>
      <c r="GH23" s="749"/>
      <c r="GI23" s="749"/>
      <c r="GJ23" s="749"/>
      <c r="GK23" s="749"/>
      <c r="GL23" s="749"/>
      <c r="GM23" s="749"/>
      <c r="GN23" s="749"/>
      <c r="GO23" s="749"/>
      <c r="GP23" s="749"/>
      <c r="GQ23" s="749"/>
      <c r="GR23" s="749"/>
      <c r="GS23" s="749"/>
      <c r="GT23" s="749"/>
      <c r="GU23" s="749"/>
      <c r="GV23" s="749"/>
      <c r="GW23" s="749"/>
      <c r="GX23" s="749"/>
      <c r="GY23" s="749"/>
      <c r="GZ23" s="749"/>
      <c r="HA23" s="749"/>
      <c r="HB23" s="749"/>
      <c r="HC23" s="749"/>
      <c r="HD23" s="749"/>
      <c r="HE23" s="749"/>
      <c r="HF23" s="749"/>
      <c r="HG23" s="749"/>
      <c r="HH23" s="749"/>
      <c r="HI23" s="749"/>
      <c r="HJ23" s="749"/>
      <c r="HK23" s="749"/>
      <c r="HL23" s="749"/>
      <c r="HM23" s="749"/>
      <c r="HN23" s="749"/>
      <c r="HO23" s="749"/>
      <c r="HP23" s="749"/>
      <c r="HQ23" s="749"/>
      <c r="HR23" s="749"/>
      <c r="HS23" s="749"/>
      <c r="HT23" s="749"/>
      <c r="HU23" s="749"/>
      <c r="HV23" s="749"/>
      <c r="HW23" s="749"/>
      <c r="HX23" s="749"/>
      <c r="HY23" s="749"/>
      <c r="HZ23" s="749"/>
      <c r="IA23" s="749"/>
      <c r="IB23" s="749"/>
      <c r="IC23" s="749"/>
      <c r="ID23" s="749"/>
      <c r="IE23" s="749"/>
      <c r="IF23" s="749"/>
      <c r="IG23" s="749"/>
      <c r="IH23" s="749"/>
      <c r="II23" s="749"/>
      <c r="IJ23" s="749"/>
      <c r="IK23" s="749"/>
      <c r="IL23" s="749"/>
      <c r="IM23" s="749"/>
      <c r="IN23" s="749"/>
    </row>
    <row r="24" spans="1:248" ht="12.75">
      <c r="A24" s="3"/>
      <c r="B24" s="769"/>
      <c r="C24" s="2"/>
      <c r="D24" s="3" t="s">
        <v>7345</v>
      </c>
      <c r="E24" s="3"/>
      <c r="F24" s="770">
        <v>7.4999999999999997E-3</v>
      </c>
      <c r="G24" s="771">
        <f>SUM(F24*H27)</f>
        <v>315000</v>
      </c>
      <c r="H24" s="3"/>
      <c r="I24" s="3"/>
      <c r="J24" s="3"/>
      <c r="K24" s="3"/>
      <c r="L24" s="749"/>
      <c r="M24" s="3"/>
      <c r="N24" s="769"/>
      <c r="O24" s="2"/>
      <c r="P24" s="3" t="s">
        <v>7345</v>
      </c>
      <c r="Q24" s="770">
        <v>7.4999999999999997E-3</v>
      </c>
      <c r="R24" s="771">
        <f>SUM(Q24*T27)</f>
        <v>315000</v>
      </c>
      <c r="S24" s="771"/>
      <c r="T24" s="3"/>
      <c r="U24" s="3"/>
      <c r="V24" s="3"/>
      <c r="AB24" s="770"/>
      <c r="AC24" s="852" t="s">
        <v>6928</v>
      </c>
      <c r="AD24" s="879"/>
      <c r="AE24" s="885"/>
      <c r="AF24" s="879">
        <f t="shared" ref="AF24:AF26" si="3">AH24+AN24+AO24+AP24</f>
        <v>0</v>
      </c>
      <c r="AG24" s="876" t="e">
        <f>AH24/$AH$27</f>
        <v>#DIV/0!</v>
      </c>
      <c r="AH24" s="879">
        <f t="shared" ref="AH24:AH26" si="4">AJ24+AL24</f>
        <v>0</v>
      </c>
      <c r="AI24" s="876" t="str">
        <f>'TAB 3 Project Cost'!F17</f>
        <v/>
      </c>
      <c r="AJ24" s="879">
        <f>'TAB 3 Project Cost'!G17</f>
        <v>0</v>
      </c>
      <c r="AK24" s="876" t="str">
        <f>'TAB 3 Project Cost'!F48</f>
        <v/>
      </c>
      <c r="AL24" s="879">
        <f>'TAB 3 Project Cost'!G48</f>
        <v>0</v>
      </c>
      <c r="AM24" s="876" t="str">
        <f>'TAB 3 Project Cost'!F93</f>
        <v/>
      </c>
      <c r="AN24" s="879">
        <f>'TAB 3 Project Cost'!G93</f>
        <v>0</v>
      </c>
      <c r="AO24" s="868"/>
      <c r="AP24" s="851"/>
      <c r="AQ24" s="923">
        <f>'TAB 3 Project Cost'!AC48</f>
        <v>0</v>
      </c>
      <c r="AR24" s="924">
        <f>'TAB 3 Project Cost'!AD48</f>
        <v>0</v>
      </c>
      <c r="AS24" s="925">
        <f>'TAB 3 Project Cost'!AE48</f>
        <v>0</v>
      </c>
      <c r="AT24" s="923">
        <f>'TAB 3 Project Cost'!AA93</f>
        <v>0</v>
      </c>
      <c r="AU24" s="924">
        <f>'TAB 3 Project Cost'!AB93</f>
        <v>0</v>
      </c>
      <c r="AV24" s="924">
        <f>'TAB 3 Project Cost'!AC93</f>
        <v>0</v>
      </c>
      <c r="AW24" s="925">
        <f>'TAB 3 Project Cost'!AD93</f>
        <v>0</v>
      </c>
      <c r="AX24" s="749"/>
      <c r="AY24" s="749"/>
      <c r="AZ24" s="749"/>
      <c r="BA24" s="749"/>
      <c r="BB24" s="749"/>
      <c r="BC24" s="749"/>
      <c r="BD24" s="749"/>
      <c r="BE24" s="749"/>
      <c r="BF24" s="749"/>
      <c r="BG24" s="749"/>
      <c r="BH24" s="749"/>
      <c r="BI24" s="749"/>
      <c r="BJ24" s="749"/>
      <c r="BK24" s="749"/>
      <c r="BL24" s="749"/>
      <c r="BM24" s="749"/>
      <c r="BN24" s="749"/>
      <c r="BO24" s="749"/>
      <c r="BP24" s="749"/>
      <c r="BQ24" s="749"/>
      <c r="BR24" s="749"/>
      <c r="BS24" s="749"/>
      <c r="BT24" s="749"/>
      <c r="BU24" s="749"/>
      <c r="BV24" s="749"/>
      <c r="BW24" s="749"/>
      <c r="BX24" s="749"/>
      <c r="BY24" s="749"/>
      <c r="BZ24" s="749"/>
      <c r="CA24" s="749"/>
      <c r="CB24" s="749"/>
      <c r="CC24" s="749"/>
      <c r="CD24" s="749"/>
      <c r="CE24" s="749"/>
      <c r="CF24" s="749"/>
      <c r="CG24" s="749"/>
      <c r="CH24" s="749"/>
      <c r="CI24" s="749"/>
      <c r="CJ24" s="749"/>
      <c r="CK24" s="749"/>
      <c r="CL24" s="749"/>
      <c r="CM24" s="749"/>
      <c r="CN24" s="749"/>
      <c r="CO24" s="749"/>
      <c r="CP24" s="749"/>
      <c r="CQ24" s="749"/>
      <c r="CR24" s="749"/>
      <c r="CS24" s="749"/>
      <c r="CT24" s="749"/>
      <c r="CU24" s="749"/>
      <c r="CV24" s="749"/>
      <c r="CW24" s="749"/>
      <c r="CX24" s="749"/>
      <c r="CY24" s="749"/>
      <c r="CZ24" s="749"/>
      <c r="DA24" s="749"/>
      <c r="DB24" s="749"/>
      <c r="DC24" s="749"/>
      <c r="DD24" s="749"/>
      <c r="DE24" s="749"/>
      <c r="DF24" s="749"/>
      <c r="DG24" s="749"/>
      <c r="DH24" s="749"/>
      <c r="DI24" s="749"/>
      <c r="DJ24" s="749"/>
      <c r="DK24" s="749"/>
      <c r="DL24" s="749"/>
      <c r="DM24" s="749"/>
      <c r="DN24" s="749"/>
      <c r="DO24" s="749"/>
      <c r="DP24" s="749"/>
      <c r="DQ24" s="749"/>
      <c r="DR24" s="749"/>
      <c r="DS24" s="749"/>
      <c r="DT24" s="749"/>
      <c r="DU24" s="749"/>
      <c r="DV24" s="749"/>
      <c r="DW24" s="749"/>
      <c r="DX24" s="749"/>
      <c r="DY24" s="749"/>
      <c r="DZ24" s="749"/>
      <c r="EA24" s="749"/>
      <c r="EB24" s="749"/>
      <c r="EC24" s="749"/>
      <c r="ED24" s="749"/>
      <c r="EE24" s="749"/>
      <c r="EF24" s="749"/>
      <c r="EG24" s="749"/>
      <c r="EH24" s="749"/>
      <c r="EI24" s="749"/>
      <c r="EJ24" s="749"/>
      <c r="EK24" s="749"/>
      <c r="EL24" s="749"/>
      <c r="EM24" s="749"/>
      <c r="EN24" s="749"/>
      <c r="EO24" s="749"/>
      <c r="EP24" s="749"/>
      <c r="EQ24" s="749"/>
      <c r="ER24" s="749"/>
      <c r="ES24" s="749"/>
      <c r="ET24" s="749"/>
      <c r="EU24" s="749"/>
      <c r="EV24" s="749"/>
      <c r="EW24" s="749"/>
      <c r="EX24" s="749"/>
      <c r="EY24" s="749"/>
      <c r="EZ24" s="749"/>
      <c r="FA24" s="749"/>
      <c r="FB24" s="749"/>
      <c r="FC24" s="749"/>
      <c r="FD24" s="749"/>
      <c r="FE24" s="749"/>
      <c r="FF24" s="749"/>
      <c r="FG24" s="749"/>
      <c r="FH24" s="749"/>
      <c r="FI24" s="749"/>
      <c r="FJ24" s="749"/>
      <c r="FK24" s="749"/>
      <c r="FL24" s="749"/>
      <c r="FM24" s="749"/>
      <c r="FN24" s="749"/>
      <c r="FO24" s="749"/>
      <c r="FP24" s="749"/>
      <c r="FQ24" s="749"/>
      <c r="FR24" s="749"/>
      <c r="FS24" s="749"/>
      <c r="FT24" s="749"/>
      <c r="FU24" s="749"/>
      <c r="FV24" s="749"/>
      <c r="FW24" s="749"/>
      <c r="FX24" s="749"/>
      <c r="FY24" s="749"/>
      <c r="FZ24" s="749"/>
      <c r="GA24" s="749"/>
      <c r="GB24" s="749"/>
      <c r="GC24" s="749"/>
      <c r="GD24" s="749"/>
      <c r="GE24" s="749"/>
      <c r="GF24" s="749"/>
      <c r="GG24" s="749"/>
      <c r="GH24" s="749"/>
      <c r="GI24" s="749"/>
      <c r="GJ24" s="749"/>
      <c r="GK24" s="749"/>
      <c r="GL24" s="749"/>
      <c r="GM24" s="749"/>
      <c r="GN24" s="749"/>
      <c r="GO24" s="749"/>
      <c r="GP24" s="749"/>
      <c r="GQ24" s="749"/>
      <c r="GR24" s="749"/>
      <c r="GS24" s="749"/>
      <c r="GT24" s="749"/>
      <c r="GU24" s="749"/>
      <c r="GV24" s="749"/>
      <c r="GW24" s="749"/>
      <c r="GX24" s="749"/>
      <c r="GY24" s="749"/>
      <c r="GZ24" s="749"/>
      <c r="HA24" s="749"/>
      <c r="HB24" s="749"/>
      <c r="HC24" s="749"/>
      <c r="HD24" s="749"/>
      <c r="HE24" s="749"/>
      <c r="HF24" s="749"/>
      <c r="HG24" s="749"/>
      <c r="HH24" s="749"/>
      <c r="HI24" s="749"/>
      <c r="HJ24" s="749"/>
      <c r="HK24" s="749"/>
      <c r="HL24" s="749"/>
      <c r="HM24" s="749"/>
      <c r="HN24" s="749"/>
      <c r="HO24" s="749"/>
      <c r="HP24" s="749"/>
      <c r="HQ24" s="749"/>
      <c r="HR24" s="749"/>
      <c r="HS24" s="749"/>
      <c r="HT24" s="749"/>
      <c r="HU24" s="749"/>
      <c r="HV24" s="749"/>
      <c r="HW24" s="749"/>
      <c r="HX24" s="749"/>
      <c r="HY24" s="749"/>
      <c r="HZ24" s="749"/>
      <c r="IA24" s="749"/>
      <c r="IB24" s="749"/>
      <c r="IC24" s="749"/>
      <c r="ID24" s="749"/>
      <c r="IE24" s="749"/>
      <c r="IF24" s="749"/>
      <c r="IG24" s="749"/>
      <c r="IH24" s="749"/>
      <c r="II24" s="749"/>
      <c r="IJ24" s="749"/>
      <c r="IK24" s="749"/>
      <c r="IL24" s="749"/>
      <c r="IM24" s="749"/>
      <c r="IN24" s="749"/>
    </row>
    <row r="25" spans="1:248" ht="12.75">
      <c r="A25" s="3"/>
      <c r="B25" s="769"/>
      <c r="C25" s="2"/>
      <c r="D25" s="3" t="s">
        <v>7346</v>
      </c>
      <c r="E25" s="3"/>
      <c r="F25" s="770">
        <v>4.1500000000000002E-2</v>
      </c>
      <c r="G25" s="771">
        <f>SUM(F25*H27)</f>
        <v>1743000</v>
      </c>
      <c r="H25" s="3"/>
      <c r="I25" s="3"/>
      <c r="J25" s="3"/>
      <c r="K25" s="3"/>
      <c r="L25" s="749"/>
      <c r="M25" s="3"/>
      <c r="N25" s="769"/>
      <c r="O25" s="2"/>
      <c r="P25" s="3" t="s">
        <v>7346</v>
      </c>
      <c r="Q25" s="770">
        <v>4.1500000000000002E-2</v>
      </c>
      <c r="R25" s="771">
        <f>SUM(Q25*T27)</f>
        <v>1743000</v>
      </c>
      <c r="S25" s="771"/>
      <c r="T25" s="3"/>
      <c r="U25" s="3"/>
      <c r="V25" s="3"/>
      <c r="AB25" s="770"/>
      <c r="AC25" s="852" t="s">
        <v>6929</v>
      </c>
      <c r="AD25" s="879"/>
      <c r="AE25" s="885"/>
      <c r="AF25" s="879">
        <f t="shared" si="3"/>
        <v>0</v>
      </c>
      <c r="AG25" s="876" t="e">
        <f t="shared" ref="AG25:AG26" si="5">AH25/$AH$27</f>
        <v>#DIV/0!</v>
      </c>
      <c r="AH25" s="879">
        <f t="shared" si="4"/>
        <v>0</v>
      </c>
      <c r="AI25" s="876" t="str">
        <f>'TAB 3 Project Cost'!F19</f>
        <v/>
      </c>
      <c r="AJ25" s="879">
        <f>'TAB 3 Project Cost'!G19</f>
        <v>0</v>
      </c>
      <c r="AK25" s="876" t="str">
        <f>'TAB 3 Project Cost'!F50</f>
        <v/>
      </c>
      <c r="AL25" s="879">
        <f>'TAB 3 Project Cost'!G50</f>
        <v>0</v>
      </c>
      <c r="AM25" s="876" t="str">
        <f>'TAB 3 Project Cost'!F95</f>
        <v/>
      </c>
      <c r="AN25" s="879">
        <f>'TAB 3 Project Cost'!G95</f>
        <v>0</v>
      </c>
      <c r="AO25" s="868"/>
      <c r="AP25" s="851"/>
      <c r="AQ25" s="923">
        <f>'TAB 3 Project Cost'!AC49</f>
        <v>0</v>
      </c>
      <c r="AR25" s="924">
        <f>'TAB 3 Project Cost'!AD49</f>
        <v>0</v>
      </c>
      <c r="AS25" s="925">
        <f>'TAB 3 Project Cost'!AE49</f>
        <v>0</v>
      </c>
      <c r="AT25" s="923">
        <f>'TAB 3 Project Cost'!AA94</f>
        <v>0</v>
      </c>
      <c r="AU25" s="924">
        <f>'TAB 3 Project Cost'!AB94</f>
        <v>0</v>
      </c>
      <c r="AV25" s="924">
        <f>'TAB 3 Project Cost'!AC94</f>
        <v>0</v>
      </c>
      <c r="AW25" s="925">
        <f>'TAB 3 Project Cost'!AD94</f>
        <v>0</v>
      </c>
      <c r="AX25" s="749"/>
      <c r="AY25" s="749"/>
      <c r="AZ25" s="749"/>
      <c r="BA25" s="749"/>
      <c r="BB25" s="749"/>
      <c r="BC25" s="749"/>
      <c r="BD25" s="749"/>
      <c r="BE25" s="749"/>
      <c r="BF25" s="749"/>
      <c r="BG25" s="749"/>
      <c r="BH25" s="749"/>
      <c r="BI25" s="749"/>
      <c r="BJ25" s="749"/>
      <c r="BK25" s="749"/>
      <c r="BL25" s="749"/>
      <c r="BM25" s="749"/>
      <c r="BN25" s="749"/>
      <c r="BO25" s="749"/>
      <c r="BP25" s="749"/>
      <c r="BQ25" s="749"/>
      <c r="BR25" s="749"/>
      <c r="BS25" s="749"/>
      <c r="BT25" s="749"/>
      <c r="BU25" s="749"/>
      <c r="BV25" s="749"/>
      <c r="BW25" s="749"/>
      <c r="BX25" s="749"/>
      <c r="BY25" s="749"/>
      <c r="BZ25" s="749"/>
      <c r="CA25" s="749"/>
      <c r="CB25" s="749"/>
      <c r="CC25" s="749"/>
      <c r="CD25" s="749"/>
      <c r="CE25" s="749"/>
      <c r="CF25" s="749"/>
      <c r="CG25" s="749"/>
      <c r="CH25" s="749"/>
      <c r="CI25" s="749"/>
      <c r="CJ25" s="749"/>
      <c r="CK25" s="749"/>
      <c r="CL25" s="749"/>
      <c r="CM25" s="749"/>
      <c r="CN25" s="749"/>
      <c r="CO25" s="749"/>
      <c r="CP25" s="749"/>
      <c r="CQ25" s="749"/>
      <c r="CR25" s="749"/>
      <c r="CS25" s="749"/>
      <c r="CT25" s="749"/>
      <c r="CU25" s="749"/>
      <c r="CV25" s="749"/>
      <c r="CW25" s="749"/>
      <c r="CX25" s="749"/>
      <c r="CY25" s="749"/>
      <c r="CZ25" s="749"/>
      <c r="DA25" s="749"/>
      <c r="DB25" s="749"/>
      <c r="DC25" s="749"/>
      <c r="DD25" s="749"/>
      <c r="DE25" s="749"/>
      <c r="DF25" s="749"/>
      <c r="DG25" s="749"/>
      <c r="DH25" s="749"/>
      <c r="DI25" s="749"/>
      <c r="DJ25" s="749"/>
      <c r="DK25" s="749"/>
      <c r="DL25" s="749"/>
      <c r="DM25" s="749"/>
      <c r="DN25" s="749"/>
      <c r="DO25" s="749"/>
      <c r="DP25" s="749"/>
      <c r="DQ25" s="749"/>
      <c r="DR25" s="749"/>
      <c r="DS25" s="749"/>
      <c r="DT25" s="749"/>
      <c r="DU25" s="749"/>
      <c r="DV25" s="749"/>
      <c r="DW25" s="749"/>
      <c r="DX25" s="749"/>
      <c r="DY25" s="749"/>
      <c r="DZ25" s="749"/>
      <c r="EA25" s="749"/>
      <c r="EB25" s="749"/>
      <c r="EC25" s="749"/>
      <c r="ED25" s="749"/>
      <c r="EE25" s="749"/>
      <c r="EF25" s="749"/>
      <c r="EG25" s="749"/>
      <c r="EH25" s="749"/>
      <c r="EI25" s="749"/>
      <c r="EJ25" s="749"/>
      <c r="EK25" s="749"/>
      <c r="EL25" s="749"/>
      <c r="EM25" s="749"/>
      <c r="EN25" s="749"/>
      <c r="EO25" s="749"/>
      <c r="EP25" s="749"/>
      <c r="EQ25" s="749"/>
      <c r="ER25" s="749"/>
      <c r="ES25" s="749"/>
      <c r="ET25" s="749"/>
      <c r="EU25" s="749"/>
      <c r="EV25" s="749"/>
      <c r="EW25" s="749"/>
      <c r="EX25" s="749"/>
      <c r="EY25" s="749"/>
      <c r="EZ25" s="749"/>
      <c r="FA25" s="749"/>
      <c r="FB25" s="749"/>
      <c r="FC25" s="749"/>
      <c r="FD25" s="749"/>
      <c r="FE25" s="749"/>
      <c r="FF25" s="749"/>
      <c r="FG25" s="749"/>
      <c r="FH25" s="749"/>
      <c r="FI25" s="749"/>
      <c r="FJ25" s="749"/>
      <c r="FK25" s="749"/>
      <c r="FL25" s="749"/>
      <c r="FM25" s="749"/>
      <c r="FN25" s="749"/>
      <c r="FO25" s="749"/>
      <c r="FP25" s="749"/>
      <c r="FQ25" s="749"/>
      <c r="FR25" s="749"/>
      <c r="FS25" s="749"/>
      <c r="FT25" s="749"/>
      <c r="FU25" s="749"/>
      <c r="FV25" s="749"/>
      <c r="FW25" s="749"/>
      <c r="FX25" s="749"/>
      <c r="FY25" s="749"/>
      <c r="FZ25" s="749"/>
      <c r="GA25" s="749"/>
      <c r="GB25" s="749"/>
      <c r="GC25" s="749"/>
      <c r="GD25" s="749"/>
      <c r="GE25" s="749"/>
      <c r="GF25" s="749"/>
      <c r="GG25" s="749"/>
      <c r="GH25" s="749"/>
      <c r="GI25" s="749"/>
      <c r="GJ25" s="749"/>
      <c r="GK25" s="749"/>
      <c r="GL25" s="749"/>
      <c r="GM25" s="749"/>
      <c r="GN25" s="749"/>
      <c r="GO25" s="749"/>
      <c r="GP25" s="749"/>
      <c r="GQ25" s="749"/>
      <c r="GR25" s="749"/>
      <c r="GS25" s="749"/>
      <c r="GT25" s="749"/>
      <c r="GU25" s="749"/>
      <c r="GV25" s="749"/>
      <c r="GW25" s="749"/>
      <c r="GX25" s="749"/>
      <c r="GY25" s="749"/>
      <c r="GZ25" s="749"/>
      <c r="HA25" s="749"/>
      <c r="HB25" s="749"/>
      <c r="HC25" s="749"/>
      <c r="HD25" s="749"/>
      <c r="HE25" s="749"/>
      <c r="HF25" s="749"/>
      <c r="HG25" s="749"/>
      <c r="HH25" s="749"/>
      <c r="HI25" s="749"/>
      <c r="HJ25" s="749"/>
      <c r="HK25" s="749"/>
      <c r="HL25" s="749"/>
      <c r="HM25" s="749"/>
      <c r="HN25" s="749"/>
      <c r="HO25" s="749"/>
      <c r="HP25" s="749"/>
      <c r="HQ25" s="749"/>
      <c r="HR25" s="749"/>
      <c r="HS25" s="749"/>
      <c r="HT25" s="749"/>
      <c r="HU25" s="749"/>
      <c r="HV25" s="749"/>
      <c r="HW25" s="749"/>
      <c r="HX25" s="749"/>
      <c r="HY25" s="749"/>
      <c r="HZ25" s="749"/>
      <c r="IA25" s="749"/>
      <c r="IB25" s="749"/>
      <c r="IC25" s="749"/>
      <c r="ID25" s="749"/>
      <c r="IE25" s="749"/>
      <c r="IF25" s="749"/>
      <c r="IG25" s="749"/>
      <c r="IH25" s="749"/>
      <c r="II25" s="749"/>
      <c r="IJ25" s="749"/>
      <c r="IK25" s="749"/>
      <c r="IL25" s="749"/>
      <c r="IM25" s="749"/>
      <c r="IN25" s="749"/>
    </row>
    <row r="26" spans="1:248" ht="12.75">
      <c r="A26" s="3"/>
      <c r="B26" s="769"/>
      <c r="C26" s="2"/>
      <c r="D26" s="3" t="s">
        <v>7347</v>
      </c>
      <c r="E26" s="3"/>
      <c r="F26" s="770">
        <v>8.5000000000000006E-2</v>
      </c>
      <c r="G26" s="771">
        <f>SUM(F26*H27)</f>
        <v>3570000.0000000005</v>
      </c>
      <c r="H26" s="3"/>
      <c r="I26" s="3"/>
      <c r="J26" s="3"/>
      <c r="K26" s="3"/>
      <c r="L26" s="749"/>
      <c r="M26" s="3"/>
      <c r="N26" s="769"/>
      <c r="O26" s="2"/>
      <c r="P26" s="3" t="s">
        <v>7347</v>
      </c>
      <c r="Q26" s="770">
        <v>8.5000000000000006E-2</v>
      </c>
      <c r="R26" s="771">
        <f>SUM(Q26*T27)</f>
        <v>3570000.0000000005</v>
      </c>
      <c r="S26" s="771"/>
      <c r="T26" s="3"/>
      <c r="U26" s="3"/>
      <c r="V26" s="3"/>
      <c r="AB26" s="770"/>
      <c r="AC26" s="852" t="s">
        <v>6930</v>
      </c>
      <c r="AD26" s="879"/>
      <c r="AE26" s="885"/>
      <c r="AF26" s="879">
        <f t="shared" si="3"/>
        <v>0</v>
      </c>
      <c r="AG26" s="876" t="e">
        <f t="shared" si="5"/>
        <v>#DIV/0!</v>
      </c>
      <c r="AH26" s="879">
        <f t="shared" si="4"/>
        <v>0</v>
      </c>
      <c r="AI26" s="876" t="str">
        <f>'TAB 3 Project Cost'!F18</f>
        <v/>
      </c>
      <c r="AJ26" s="879">
        <f>'TAB 3 Project Cost'!G18</f>
        <v>0</v>
      </c>
      <c r="AK26" s="876" t="str">
        <f>'TAB 3 Project Cost'!F49</f>
        <v/>
      </c>
      <c r="AL26" s="879">
        <f>'TAB 3 Project Cost'!G49</f>
        <v>0</v>
      </c>
      <c r="AM26" s="876" t="str">
        <f>'TAB 3 Project Cost'!F94</f>
        <v/>
      </c>
      <c r="AN26" s="879">
        <f>'TAB 3 Project Cost'!G94</f>
        <v>0</v>
      </c>
      <c r="AO26" s="868"/>
      <c r="AP26" s="851"/>
      <c r="AQ26" s="923">
        <f>'TAB 3 Project Cost'!AC50</f>
        <v>0</v>
      </c>
      <c r="AR26" s="924">
        <f>'TAB 3 Project Cost'!AD50</f>
        <v>0</v>
      </c>
      <c r="AS26" s="925">
        <f>'TAB 3 Project Cost'!AE50</f>
        <v>0</v>
      </c>
      <c r="AT26" s="923">
        <f>'TAB 3 Project Cost'!AA95</f>
        <v>0</v>
      </c>
      <c r="AU26" s="924">
        <f>'TAB 3 Project Cost'!AB95</f>
        <v>0</v>
      </c>
      <c r="AV26" s="924">
        <f>'TAB 3 Project Cost'!AC95</f>
        <v>0</v>
      </c>
      <c r="AW26" s="925">
        <f>'TAB 3 Project Cost'!AD95</f>
        <v>0</v>
      </c>
      <c r="AX26" s="749"/>
      <c r="AY26" s="749"/>
      <c r="AZ26" s="749"/>
      <c r="BA26" s="749"/>
      <c r="BB26" s="749"/>
      <c r="BC26" s="749"/>
      <c r="BD26" s="749"/>
      <c r="BE26" s="749"/>
      <c r="BF26" s="749"/>
      <c r="BG26" s="749"/>
      <c r="BH26" s="749"/>
      <c r="BI26" s="749"/>
      <c r="BJ26" s="749"/>
      <c r="BK26" s="749"/>
      <c r="BL26" s="749"/>
      <c r="BM26" s="749"/>
      <c r="BN26" s="749"/>
      <c r="BO26" s="749"/>
      <c r="BP26" s="749"/>
      <c r="BQ26" s="749"/>
      <c r="BR26" s="749"/>
      <c r="BS26" s="749"/>
      <c r="BT26" s="749"/>
      <c r="BU26" s="749"/>
      <c r="BV26" s="749"/>
      <c r="BW26" s="749"/>
      <c r="BX26" s="749"/>
      <c r="BY26" s="749"/>
      <c r="BZ26" s="749"/>
      <c r="CA26" s="749"/>
      <c r="CB26" s="749"/>
      <c r="CC26" s="749"/>
      <c r="CD26" s="749"/>
      <c r="CE26" s="749"/>
      <c r="CF26" s="749"/>
      <c r="CG26" s="749"/>
      <c r="CH26" s="749"/>
      <c r="CI26" s="749"/>
      <c r="CJ26" s="749"/>
      <c r="CK26" s="749"/>
      <c r="CL26" s="749"/>
      <c r="CM26" s="749"/>
      <c r="CN26" s="749"/>
      <c r="CO26" s="749"/>
      <c r="CP26" s="749"/>
      <c r="CQ26" s="749"/>
      <c r="CR26" s="749"/>
      <c r="CS26" s="749"/>
      <c r="CT26" s="749"/>
      <c r="CU26" s="749"/>
      <c r="CV26" s="749"/>
      <c r="CW26" s="749"/>
      <c r="CX26" s="749"/>
      <c r="CY26" s="749"/>
      <c r="CZ26" s="749"/>
      <c r="DA26" s="749"/>
      <c r="DB26" s="749"/>
      <c r="DC26" s="749"/>
      <c r="DD26" s="749"/>
      <c r="DE26" s="749"/>
      <c r="DF26" s="749"/>
      <c r="DG26" s="749"/>
      <c r="DH26" s="749"/>
      <c r="DI26" s="749"/>
      <c r="DJ26" s="749"/>
      <c r="DK26" s="749"/>
      <c r="DL26" s="749"/>
      <c r="DM26" s="749"/>
      <c r="DN26" s="749"/>
      <c r="DO26" s="749"/>
      <c r="DP26" s="749"/>
      <c r="DQ26" s="749"/>
      <c r="DR26" s="749"/>
      <c r="DS26" s="749"/>
      <c r="DT26" s="749"/>
      <c r="DU26" s="749"/>
      <c r="DV26" s="749"/>
      <c r="DW26" s="749"/>
      <c r="DX26" s="749"/>
      <c r="DY26" s="749"/>
      <c r="DZ26" s="749"/>
      <c r="EA26" s="749"/>
      <c r="EB26" s="749"/>
      <c r="EC26" s="749"/>
      <c r="ED26" s="749"/>
      <c r="EE26" s="749"/>
      <c r="EF26" s="749"/>
      <c r="EG26" s="749"/>
      <c r="EH26" s="749"/>
      <c r="EI26" s="749"/>
      <c r="EJ26" s="749"/>
      <c r="EK26" s="749"/>
      <c r="EL26" s="749"/>
      <c r="EM26" s="749"/>
      <c r="EN26" s="749"/>
      <c r="EO26" s="749"/>
      <c r="EP26" s="749"/>
      <c r="EQ26" s="749"/>
      <c r="ER26" s="749"/>
      <c r="ES26" s="749"/>
      <c r="ET26" s="749"/>
      <c r="EU26" s="749"/>
      <c r="EV26" s="749"/>
      <c r="EW26" s="749"/>
      <c r="EX26" s="749"/>
      <c r="EY26" s="749"/>
      <c r="EZ26" s="749"/>
      <c r="FA26" s="749"/>
      <c r="FB26" s="749"/>
      <c r="FC26" s="749"/>
      <c r="FD26" s="749"/>
      <c r="FE26" s="749"/>
      <c r="FF26" s="749"/>
      <c r="FG26" s="749"/>
      <c r="FH26" s="749"/>
      <c r="FI26" s="749"/>
      <c r="FJ26" s="749"/>
      <c r="FK26" s="749"/>
      <c r="FL26" s="749"/>
      <c r="FM26" s="749"/>
      <c r="FN26" s="749"/>
      <c r="FO26" s="749"/>
      <c r="FP26" s="749"/>
      <c r="FQ26" s="749"/>
      <c r="FR26" s="749"/>
      <c r="FS26" s="749"/>
      <c r="FT26" s="749"/>
      <c r="FU26" s="749"/>
      <c r="FV26" s="749"/>
      <c r="FW26" s="749"/>
      <c r="FX26" s="749"/>
      <c r="FY26" s="749"/>
      <c r="FZ26" s="749"/>
      <c r="GA26" s="749"/>
      <c r="GB26" s="749"/>
      <c r="GC26" s="749"/>
      <c r="GD26" s="749"/>
      <c r="GE26" s="749"/>
      <c r="GF26" s="749"/>
      <c r="GG26" s="749"/>
      <c r="GH26" s="749"/>
      <c r="GI26" s="749"/>
      <c r="GJ26" s="749"/>
      <c r="GK26" s="749"/>
      <c r="GL26" s="749"/>
      <c r="GM26" s="749"/>
      <c r="GN26" s="749"/>
      <c r="GO26" s="749"/>
      <c r="GP26" s="749"/>
      <c r="GQ26" s="749"/>
      <c r="GR26" s="749"/>
      <c r="GS26" s="749"/>
      <c r="GT26" s="749"/>
      <c r="GU26" s="749"/>
      <c r="GV26" s="749"/>
      <c r="GW26" s="749"/>
      <c r="GX26" s="749"/>
      <c r="GY26" s="749"/>
      <c r="GZ26" s="749"/>
      <c r="HA26" s="749"/>
      <c r="HB26" s="749"/>
      <c r="HC26" s="749"/>
      <c r="HD26" s="749"/>
      <c r="HE26" s="749"/>
      <c r="HF26" s="749"/>
      <c r="HG26" s="749"/>
      <c r="HH26" s="749"/>
      <c r="HI26" s="749"/>
      <c r="HJ26" s="749"/>
      <c r="HK26" s="749"/>
      <c r="HL26" s="749"/>
      <c r="HM26" s="749"/>
      <c r="HN26" s="749"/>
      <c r="HO26" s="749"/>
      <c r="HP26" s="749"/>
      <c r="HQ26" s="749"/>
      <c r="HR26" s="749"/>
      <c r="HS26" s="749"/>
      <c r="HT26" s="749"/>
      <c r="HU26" s="749"/>
      <c r="HV26" s="749"/>
      <c r="HW26" s="749"/>
      <c r="HX26" s="749"/>
      <c r="HY26" s="749"/>
      <c r="HZ26" s="749"/>
      <c r="IA26" s="749"/>
      <c r="IB26" s="749"/>
      <c r="IC26" s="749"/>
      <c r="ID26" s="749"/>
      <c r="IE26" s="749"/>
      <c r="IF26" s="749"/>
      <c r="IG26" s="749"/>
      <c r="IH26" s="749"/>
      <c r="II26" s="749"/>
      <c r="IJ26" s="749"/>
      <c r="IK26" s="749"/>
      <c r="IL26" s="749"/>
      <c r="IM26" s="749"/>
      <c r="IN26" s="749"/>
    </row>
    <row r="27" spans="1:248" ht="12.75">
      <c r="A27" s="3"/>
      <c r="B27" s="769" t="s">
        <v>222</v>
      </c>
      <c r="C27" s="3" t="s">
        <v>7348</v>
      </c>
      <c r="D27" s="3"/>
      <c r="E27" s="3"/>
      <c r="F27" s="772">
        <f>SUM(F24:F26)</f>
        <v>0.13400000000000001</v>
      </c>
      <c r="G27" s="760"/>
      <c r="H27" s="795">
        <v>42000000</v>
      </c>
      <c r="I27" s="771"/>
      <c r="J27" s="3"/>
      <c r="K27" s="3"/>
      <c r="L27" s="749"/>
      <c r="M27" s="3"/>
      <c r="N27" s="769" t="s">
        <v>481</v>
      </c>
      <c r="O27" s="3" t="s">
        <v>7348</v>
      </c>
      <c r="P27" s="3"/>
      <c r="Q27" s="772">
        <f>SUM(Q24:Q26)</f>
        <v>0.13400000000000001</v>
      </c>
      <c r="R27" s="760"/>
      <c r="S27" s="1"/>
      <c r="T27" s="795">
        <v>42000000</v>
      </c>
      <c r="U27" s="803"/>
      <c r="V27" s="809">
        <f>'TAB 3 Project Cost'!G20</f>
        <v>0</v>
      </c>
      <c r="W27" s="809">
        <f>'TAB 3 Project Cost'!H20</f>
        <v>0</v>
      </c>
      <c r="X27" s="809"/>
      <c r="Y27" s="809"/>
      <c r="Z27" s="809"/>
      <c r="AA27" s="809"/>
      <c r="AB27" s="3"/>
      <c r="AC27" s="853" t="s">
        <v>6719</v>
      </c>
      <c r="AD27" s="881"/>
      <c r="AE27" s="894"/>
      <c r="AF27" s="879">
        <f>AH27+AN27+AO27+AP27</f>
        <v>0</v>
      </c>
      <c r="AG27" s="880"/>
      <c r="AH27" s="892">
        <f>AJ27+AL27</f>
        <v>0</v>
      </c>
      <c r="AI27" s="880"/>
      <c r="AJ27" s="881">
        <f>'TAB 3 Project Cost'!G20</f>
        <v>0</v>
      </c>
      <c r="AK27" s="880"/>
      <c r="AL27" s="881">
        <f>'TAB 3 Project Cost'!G51</f>
        <v>0</v>
      </c>
      <c r="AM27" s="880"/>
      <c r="AN27" s="881">
        <f>'TAB 3 Project Cost'!G96</f>
        <v>0</v>
      </c>
      <c r="AO27" s="868"/>
      <c r="AP27" s="851"/>
      <c r="AQ27" s="926">
        <f>'TAB 3 Project Cost'!AC51</f>
        <v>0</v>
      </c>
      <c r="AR27" s="927">
        <f>'TAB 3 Project Cost'!AD51</f>
        <v>0</v>
      </c>
      <c r="AS27" s="928">
        <f>'TAB 3 Project Cost'!AE51</f>
        <v>0</v>
      </c>
      <c r="AT27" s="926">
        <f>'TAB 3 Project Cost'!AA96</f>
        <v>0</v>
      </c>
      <c r="AU27" s="927">
        <f>'TAB 3 Project Cost'!AB96</f>
        <v>0</v>
      </c>
      <c r="AV27" s="927">
        <f>'TAB 3 Project Cost'!AC96</f>
        <v>0</v>
      </c>
      <c r="AW27" s="928">
        <f>'TAB 3 Project Cost'!AD96</f>
        <v>0</v>
      </c>
      <c r="AX27" s="749"/>
      <c r="AY27" s="749"/>
      <c r="AZ27" s="749"/>
      <c r="BA27" s="749"/>
      <c r="BB27" s="749"/>
      <c r="BC27" s="749"/>
      <c r="BD27" s="749"/>
      <c r="BE27" s="749"/>
      <c r="BF27" s="749"/>
      <c r="BG27" s="749"/>
      <c r="BH27" s="749"/>
      <c r="BI27" s="749"/>
      <c r="BJ27" s="749"/>
      <c r="BK27" s="749"/>
      <c r="BL27" s="749"/>
      <c r="BM27" s="749"/>
      <c r="BN27" s="749"/>
      <c r="BO27" s="749"/>
      <c r="BP27" s="749"/>
      <c r="BQ27" s="749"/>
      <c r="BR27" s="749"/>
      <c r="BS27" s="749"/>
      <c r="BT27" s="749"/>
      <c r="BU27" s="749"/>
      <c r="BV27" s="749"/>
      <c r="BW27" s="749"/>
      <c r="BX27" s="749"/>
      <c r="BY27" s="749"/>
      <c r="BZ27" s="749"/>
      <c r="CA27" s="749"/>
      <c r="CB27" s="749"/>
      <c r="CC27" s="749"/>
      <c r="CD27" s="749"/>
      <c r="CE27" s="749"/>
      <c r="CF27" s="749"/>
      <c r="CG27" s="749"/>
      <c r="CH27" s="749"/>
      <c r="CI27" s="749"/>
      <c r="CJ27" s="749"/>
      <c r="CK27" s="749"/>
      <c r="CL27" s="749"/>
      <c r="CM27" s="749"/>
      <c r="CN27" s="749"/>
      <c r="CO27" s="749"/>
      <c r="CP27" s="749"/>
      <c r="CQ27" s="749"/>
      <c r="CR27" s="749"/>
      <c r="CS27" s="749"/>
      <c r="CT27" s="749"/>
      <c r="CU27" s="749"/>
      <c r="CV27" s="749"/>
      <c r="CW27" s="749"/>
      <c r="CX27" s="749"/>
      <c r="CY27" s="749"/>
      <c r="CZ27" s="749"/>
      <c r="DA27" s="749"/>
      <c r="DB27" s="749"/>
      <c r="DC27" s="749"/>
      <c r="DD27" s="749"/>
      <c r="DE27" s="749"/>
      <c r="DF27" s="749"/>
      <c r="DG27" s="749"/>
      <c r="DH27" s="749"/>
      <c r="DI27" s="749"/>
      <c r="DJ27" s="749"/>
      <c r="DK27" s="749"/>
      <c r="DL27" s="749"/>
      <c r="DM27" s="749"/>
      <c r="DN27" s="749"/>
      <c r="DO27" s="749"/>
      <c r="DP27" s="749"/>
      <c r="DQ27" s="749"/>
      <c r="DR27" s="749"/>
      <c r="DS27" s="749"/>
      <c r="DT27" s="749"/>
      <c r="DU27" s="749"/>
      <c r="DV27" s="749"/>
      <c r="DW27" s="749"/>
      <c r="DX27" s="749"/>
      <c r="DY27" s="749"/>
      <c r="DZ27" s="749"/>
      <c r="EA27" s="749"/>
      <c r="EB27" s="749"/>
      <c r="EC27" s="749"/>
      <c r="ED27" s="749"/>
      <c r="EE27" s="749"/>
      <c r="EF27" s="749"/>
      <c r="EG27" s="749"/>
      <c r="EH27" s="749"/>
      <c r="EI27" s="749"/>
      <c r="EJ27" s="749"/>
      <c r="EK27" s="749"/>
      <c r="EL27" s="749"/>
      <c r="EM27" s="749"/>
      <c r="EN27" s="749"/>
      <c r="EO27" s="749"/>
      <c r="EP27" s="749"/>
      <c r="EQ27" s="749"/>
      <c r="ER27" s="749"/>
      <c r="ES27" s="749"/>
      <c r="ET27" s="749"/>
      <c r="EU27" s="749"/>
      <c r="EV27" s="749"/>
      <c r="EW27" s="749"/>
      <c r="EX27" s="749"/>
      <c r="EY27" s="749"/>
      <c r="EZ27" s="749"/>
      <c r="FA27" s="749"/>
      <c r="FB27" s="749"/>
      <c r="FC27" s="749"/>
      <c r="FD27" s="749"/>
      <c r="FE27" s="749"/>
      <c r="FF27" s="749"/>
      <c r="FG27" s="749"/>
      <c r="FH27" s="749"/>
      <c r="FI27" s="749"/>
      <c r="FJ27" s="749"/>
      <c r="FK27" s="749"/>
      <c r="FL27" s="749"/>
      <c r="FM27" s="749"/>
      <c r="FN27" s="749"/>
      <c r="FO27" s="749"/>
      <c r="FP27" s="749"/>
      <c r="FQ27" s="749"/>
      <c r="FR27" s="749"/>
      <c r="FS27" s="749"/>
      <c r="FT27" s="749"/>
      <c r="FU27" s="749"/>
      <c r="FV27" s="749"/>
      <c r="FW27" s="749"/>
      <c r="FX27" s="749"/>
      <c r="FY27" s="749"/>
      <c r="FZ27" s="749"/>
      <c r="GA27" s="749"/>
      <c r="GB27" s="749"/>
      <c r="GC27" s="749"/>
      <c r="GD27" s="749"/>
      <c r="GE27" s="749"/>
      <c r="GF27" s="749"/>
      <c r="GG27" s="749"/>
      <c r="GH27" s="749"/>
      <c r="GI27" s="749"/>
      <c r="GJ27" s="749"/>
      <c r="GK27" s="749"/>
      <c r="GL27" s="749"/>
      <c r="GM27" s="749"/>
      <c r="GN27" s="749"/>
      <c r="GO27" s="749"/>
      <c r="GP27" s="749"/>
      <c r="GQ27" s="749"/>
      <c r="GR27" s="749"/>
      <c r="GS27" s="749"/>
      <c r="GT27" s="749"/>
      <c r="GU27" s="749"/>
      <c r="GV27" s="749"/>
      <c r="GW27" s="749"/>
      <c r="GX27" s="749"/>
      <c r="GY27" s="749"/>
      <c r="GZ27" s="749"/>
      <c r="HA27" s="749"/>
      <c r="HB27" s="749"/>
      <c r="HC27" s="749"/>
      <c r="HD27" s="749"/>
      <c r="HE27" s="749"/>
      <c r="HF27" s="749"/>
      <c r="HG27" s="749"/>
      <c r="HH27" s="749"/>
      <c r="HI27" s="749"/>
      <c r="HJ27" s="749"/>
      <c r="HK27" s="749"/>
      <c r="HL27" s="749"/>
      <c r="HM27" s="749"/>
      <c r="HN27" s="749"/>
      <c r="HO27" s="749"/>
      <c r="HP27" s="749"/>
      <c r="HQ27" s="749"/>
      <c r="HR27" s="749"/>
      <c r="HS27" s="749"/>
      <c r="HT27" s="749"/>
      <c r="HU27" s="749"/>
      <c r="HV27" s="749"/>
      <c r="HW27" s="749"/>
      <c r="HX27" s="749"/>
      <c r="HY27" s="749"/>
      <c r="HZ27" s="749"/>
      <c r="IA27" s="749"/>
      <c r="IB27" s="749"/>
      <c r="IC27" s="749"/>
      <c r="ID27" s="749"/>
      <c r="IE27" s="749"/>
      <c r="IF27" s="749"/>
      <c r="IG27" s="749"/>
      <c r="IH27" s="749"/>
      <c r="II27" s="749"/>
      <c r="IJ27" s="749"/>
      <c r="IK27" s="749"/>
      <c r="IL27" s="749"/>
      <c r="IM27" s="749"/>
      <c r="IN27" s="749"/>
    </row>
    <row r="28" spans="1:248" ht="12.75">
      <c r="A28" s="3"/>
      <c r="B28" s="769"/>
      <c r="C28" s="3"/>
      <c r="D28" s="3"/>
      <c r="E28" s="3"/>
      <c r="F28" s="770"/>
      <c r="G28" s="1"/>
      <c r="H28" s="1"/>
      <c r="I28" s="771"/>
      <c r="J28" s="3"/>
      <c r="K28" s="3"/>
      <c r="L28" s="749"/>
      <c r="M28" s="3"/>
      <c r="N28" s="769"/>
      <c r="O28" s="3"/>
      <c r="P28" s="3"/>
      <c r="Q28" s="770"/>
      <c r="R28" s="1"/>
      <c r="S28" s="1"/>
      <c r="T28" s="803"/>
      <c r="U28" s="803"/>
      <c r="V28" s="771"/>
      <c r="W28" s="3"/>
      <c r="X28" s="3"/>
      <c r="Y28" s="3"/>
      <c r="Z28" s="3"/>
      <c r="AA28" s="3"/>
      <c r="AB28" s="3"/>
      <c r="AC28" s="849"/>
      <c r="AD28" s="838"/>
      <c r="AE28" s="836"/>
      <c r="AF28" s="838"/>
      <c r="AG28" s="872"/>
      <c r="AH28" s="838"/>
      <c r="AI28" s="872"/>
      <c r="AJ28" s="838"/>
      <c r="AK28" s="872"/>
      <c r="AL28" s="838"/>
      <c r="AM28" s="872"/>
      <c r="AN28" s="838"/>
      <c r="AO28" s="836"/>
      <c r="AP28" s="844"/>
      <c r="AQ28" s="920"/>
      <c r="AR28" s="921"/>
      <c r="AS28" s="922"/>
      <c r="AT28" s="920"/>
      <c r="AU28" s="921"/>
      <c r="AV28" s="921"/>
      <c r="AW28" s="922"/>
      <c r="AX28" s="749"/>
      <c r="AY28" s="749"/>
      <c r="AZ28" s="749"/>
      <c r="BA28" s="749"/>
      <c r="BB28" s="749"/>
      <c r="BC28" s="749"/>
      <c r="BD28" s="749"/>
      <c r="BE28" s="749"/>
      <c r="BF28" s="749"/>
      <c r="BG28" s="749"/>
      <c r="BH28" s="749"/>
      <c r="BI28" s="749"/>
      <c r="BJ28" s="749"/>
      <c r="BK28" s="749"/>
      <c r="BL28" s="749"/>
      <c r="BM28" s="749"/>
      <c r="BN28" s="749"/>
      <c r="BO28" s="749"/>
      <c r="BP28" s="749"/>
      <c r="BQ28" s="749"/>
      <c r="BR28" s="749"/>
      <c r="BS28" s="749"/>
      <c r="BT28" s="749"/>
      <c r="BU28" s="749"/>
      <c r="BV28" s="749"/>
      <c r="BW28" s="749"/>
      <c r="BX28" s="749"/>
      <c r="BY28" s="749"/>
      <c r="BZ28" s="749"/>
      <c r="CA28" s="749"/>
      <c r="CB28" s="749"/>
      <c r="CC28" s="749"/>
      <c r="CD28" s="749"/>
      <c r="CE28" s="749"/>
      <c r="CF28" s="749"/>
      <c r="CG28" s="749"/>
      <c r="CH28" s="749"/>
      <c r="CI28" s="749"/>
      <c r="CJ28" s="749"/>
      <c r="CK28" s="749"/>
      <c r="CL28" s="749"/>
      <c r="CM28" s="749"/>
      <c r="CN28" s="749"/>
      <c r="CO28" s="749"/>
      <c r="CP28" s="749"/>
      <c r="CQ28" s="749"/>
      <c r="CR28" s="749"/>
      <c r="CS28" s="749"/>
      <c r="CT28" s="749"/>
      <c r="CU28" s="749"/>
      <c r="CV28" s="749"/>
      <c r="CW28" s="749"/>
      <c r="CX28" s="749"/>
      <c r="CY28" s="749"/>
      <c r="CZ28" s="749"/>
      <c r="DA28" s="749"/>
      <c r="DB28" s="749"/>
      <c r="DC28" s="749"/>
      <c r="DD28" s="749"/>
      <c r="DE28" s="749"/>
      <c r="DF28" s="749"/>
      <c r="DG28" s="749"/>
      <c r="DH28" s="749"/>
      <c r="DI28" s="749"/>
      <c r="DJ28" s="749"/>
      <c r="DK28" s="749"/>
      <c r="DL28" s="749"/>
      <c r="DM28" s="749"/>
      <c r="DN28" s="749"/>
      <c r="DO28" s="749"/>
      <c r="DP28" s="749"/>
      <c r="DQ28" s="749"/>
      <c r="DR28" s="749"/>
      <c r="DS28" s="749"/>
      <c r="DT28" s="749"/>
      <c r="DU28" s="749"/>
      <c r="DV28" s="749"/>
      <c r="DW28" s="749"/>
      <c r="DX28" s="749"/>
      <c r="DY28" s="749"/>
      <c r="DZ28" s="749"/>
      <c r="EA28" s="749"/>
      <c r="EB28" s="749"/>
      <c r="EC28" s="749"/>
      <c r="ED28" s="749"/>
      <c r="EE28" s="749"/>
      <c r="EF28" s="749"/>
      <c r="EG28" s="749"/>
      <c r="EH28" s="749"/>
      <c r="EI28" s="749"/>
      <c r="EJ28" s="749"/>
      <c r="EK28" s="749"/>
      <c r="EL28" s="749"/>
      <c r="EM28" s="749"/>
      <c r="EN28" s="749"/>
      <c r="EO28" s="749"/>
      <c r="EP28" s="749"/>
      <c r="EQ28" s="749"/>
      <c r="ER28" s="749"/>
      <c r="ES28" s="749"/>
      <c r="ET28" s="749"/>
      <c r="EU28" s="749"/>
      <c r="EV28" s="749"/>
      <c r="EW28" s="749"/>
      <c r="EX28" s="749"/>
      <c r="EY28" s="749"/>
      <c r="EZ28" s="749"/>
      <c r="FA28" s="749"/>
      <c r="FB28" s="749"/>
      <c r="FC28" s="749"/>
      <c r="FD28" s="749"/>
      <c r="FE28" s="749"/>
      <c r="FF28" s="749"/>
      <c r="FG28" s="749"/>
      <c r="FH28" s="749"/>
      <c r="FI28" s="749"/>
      <c r="FJ28" s="749"/>
      <c r="FK28" s="749"/>
      <c r="FL28" s="749"/>
      <c r="FM28" s="749"/>
      <c r="FN28" s="749"/>
      <c r="FO28" s="749"/>
      <c r="FP28" s="749"/>
      <c r="FQ28" s="749"/>
      <c r="FR28" s="749"/>
      <c r="FS28" s="749"/>
      <c r="FT28" s="749"/>
      <c r="FU28" s="749"/>
      <c r="FV28" s="749"/>
      <c r="FW28" s="749"/>
      <c r="FX28" s="749"/>
      <c r="FY28" s="749"/>
      <c r="FZ28" s="749"/>
      <c r="GA28" s="749"/>
      <c r="GB28" s="749"/>
      <c r="GC28" s="749"/>
      <c r="GD28" s="749"/>
      <c r="GE28" s="749"/>
      <c r="GF28" s="749"/>
      <c r="GG28" s="749"/>
      <c r="GH28" s="749"/>
      <c r="GI28" s="749"/>
      <c r="GJ28" s="749"/>
      <c r="GK28" s="749"/>
      <c r="GL28" s="749"/>
      <c r="GM28" s="749"/>
      <c r="GN28" s="749"/>
      <c r="GO28" s="749"/>
      <c r="GP28" s="749"/>
      <c r="GQ28" s="749"/>
      <c r="GR28" s="749"/>
      <c r="GS28" s="749"/>
      <c r="GT28" s="749"/>
      <c r="GU28" s="749"/>
      <c r="GV28" s="749"/>
      <c r="GW28" s="749"/>
      <c r="GX28" s="749"/>
      <c r="GY28" s="749"/>
      <c r="GZ28" s="749"/>
      <c r="HA28" s="749"/>
      <c r="HB28" s="749"/>
      <c r="HC28" s="749"/>
      <c r="HD28" s="749"/>
      <c r="HE28" s="749"/>
      <c r="HF28" s="749"/>
      <c r="HG28" s="749"/>
      <c r="HH28" s="749"/>
      <c r="HI28" s="749"/>
      <c r="HJ28" s="749"/>
      <c r="HK28" s="749"/>
      <c r="HL28" s="749"/>
      <c r="HM28" s="749"/>
      <c r="HN28" s="749"/>
      <c r="HO28" s="749"/>
      <c r="HP28" s="749"/>
      <c r="HQ28" s="749"/>
      <c r="HR28" s="749"/>
      <c r="HS28" s="749"/>
      <c r="HT28" s="749"/>
      <c r="HU28" s="749"/>
      <c r="HV28" s="749"/>
      <c r="HW28" s="749"/>
      <c r="HX28" s="749"/>
      <c r="HY28" s="749"/>
      <c r="HZ28" s="749"/>
      <c r="IA28" s="749"/>
      <c r="IB28" s="749"/>
      <c r="IC28" s="749"/>
      <c r="ID28" s="749"/>
      <c r="IE28" s="749"/>
      <c r="IF28" s="749"/>
      <c r="IG28" s="749"/>
      <c r="IH28" s="749"/>
      <c r="II28" s="749"/>
      <c r="IJ28" s="749"/>
      <c r="IK28" s="749"/>
      <c r="IL28" s="749"/>
      <c r="IM28" s="749"/>
      <c r="IN28" s="749"/>
    </row>
    <row r="29" spans="1:248" ht="12.75">
      <c r="A29" s="1" t="s">
        <v>7349</v>
      </c>
      <c r="B29" s="3"/>
      <c r="C29" s="3"/>
      <c r="D29" s="3"/>
      <c r="E29" s="3"/>
      <c r="F29" s="770"/>
      <c r="G29" s="3"/>
      <c r="H29" s="3"/>
      <c r="I29" s="771"/>
      <c r="J29" s="3"/>
      <c r="K29" s="3"/>
      <c r="L29" s="749"/>
      <c r="M29" s="1" t="s">
        <v>7349</v>
      </c>
      <c r="N29" s="3"/>
      <c r="O29" s="3"/>
      <c r="P29" s="3"/>
      <c r="Q29" s="770"/>
      <c r="R29" s="3"/>
      <c r="S29" s="3"/>
      <c r="T29" s="3"/>
      <c r="U29" s="3"/>
      <c r="V29" s="771"/>
      <c r="W29" s="3"/>
      <c r="X29" s="3"/>
      <c r="Y29" s="3"/>
      <c r="Z29" s="3"/>
      <c r="AA29" s="3"/>
      <c r="AB29" s="3"/>
      <c r="AC29" s="849"/>
      <c r="AD29" s="838"/>
      <c r="AE29" s="836"/>
      <c r="AF29" s="838"/>
      <c r="AG29" s="872"/>
      <c r="AH29" s="838"/>
      <c r="AI29" s="872"/>
      <c r="AJ29" s="838"/>
      <c r="AK29" s="872"/>
      <c r="AL29" s="838"/>
      <c r="AM29" s="872"/>
      <c r="AN29" s="838"/>
      <c r="AO29" s="836"/>
      <c r="AP29" s="844"/>
      <c r="AQ29" s="920"/>
      <c r="AR29" s="921"/>
      <c r="AS29" s="922"/>
      <c r="AT29" s="920"/>
      <c r="AU29" s="921"/>
      <c r="AV29" s="921"/>
      <c r="AW29" s="922"/>
      <c r="AX29" s="749"/>
      <c r="AY29" s="749"/>
      <c r="AZ29" s="749"/>
      <c r="BA29" s="749"/>
      <c r="BB29" s="749"/>
      <c r="BC29" s="749"/>
      <c r="BD29" s="749"/>
      <c r="BE29" s="749"/>
      <c r="BF29" s="749"/>
      <c r="BG29" s="749"/>
      <c r="BH29" s="749"/>
      <c r="BI29" s="749"/>
      <c r="BJ29" s="749"/>
      <c r="BK29" s="749"/>
      <c r="BL29" s="749"/>
      <c r="BM29" s="749"/>
      <c r="BN29" s="749"/>
      <c r="BO29" s="749"/>
      <c r="BP29" s="749"/>
      <c r="BQ29" s="749"/>
      <c r="BR29" s="749"/>
      <c r="BS29" s="749"/>
      <c r="BT29" s="749"/>
      <c r="BU29" s="749"/>
      <c r="BV29" s="749"/>
      <c r="BW29" s="749"/>
      <c r="BX29" s="749"/>
      <c r="BY29" s="749"/>
      <c r="BZ29" s="749"/>
      <c r="CA29" s="749"/>
      <c r="CB29" s="749"/>
      <c r="CC29" s="749"/>
      <c r="CD29" s="749"/>
      <c r="CE29" s="749"/>
      <c r="CF29" s="749"/>
      <c r="CG29" s="749"/>
      <c r="CH29" s="749"/>
      <c r="CI29" s="749"/>
      <c r="CJ29" s="749"/>
      <c r="CK29" s="749"/>
      <c r="CL29" s="749"/>
      <c r="CM29" s="749"/>
      <c r="CN29" s="749"/>
      <c r="CO29" s="749"/>
      <c r="CP29" s="749"/>
      <c r="CQ29" s="749"/>
      <c r="CR29" s="749"/>
      <c r="CS29" s="749"/>
      <c r="CT29" s="749"/>
      <c r="CU29" s="749"/>
      <c r="CV29" s="749"/>
      <c r="CW29" s="749"/>
      <c r="CX29" s="749"/>
      <c r="CY29" s="749"/>
      <c r="CZ29" s="749"/>
      <c r="DA29" s="749"/>
      <c r="DB29" s="749"/>
      <c r="DC29" s="749"/>
      <c r="DD29" s="749"/>
      <c r="DE29" s="749"/>
      <c r="DF29" s="749"/>
      <c r="DG29" s="749"/>
      <c r="DH29" s="749"/>
      <c r="DI29" s="749"/>
      <c r="DJ29" s="749"/>
      <c r="DK29" s="749"/>
      <c r="DL29" s="749"/>
      <c r="DM29" s="749"/>
      <c r="DN29" s="749"/>
      <c r="DO29" s="749"/>
      <c r="DP29" s="749"/>
      <c r="DQ29" s="749"/>
      <c r="DR29" s="749"/>
      <c r="DS29" s="749"/>
      <c r="DT29" s="749"/>
      <c r="DU29" s="749"/>
      <c r="DV29" s="749"/>
      <c r="DW29" s="749"/>
      <c r="DX29" s="749"/>
      <c r="DY29" s="749"/>
      <c r="DZ29" s="749"/>
      <c r="EA29" s="749"/>
      <c r="EB29" s="749"/>
      <c r="EC29" s="749"/>
      <c r="ED29" s="749"/>
      <c r="EE29" s="749"/>
      <c r="EF29" s="749"/>
      <c r="EG29" s="749"/>
      <c r="EH29" s="749"/>
      <c r="EI29" s="749"/>
      <c r="EJ29" s="749"/>
      <c r="EK29" s="749"/>
      <c r="EL29" s="749"/>
      <c r="EM29" s="749"/>
      <c r="EN29" s="749"/>
      <c r="EO29" s="749"/>
      <c r="EP29" s="749"/>
      <c r="EQ29" s="749"/>
      <c r="ER29" s="749"/>
      <c r="ES29" s="749"/>
      <c r="ET29" s="749"/>
      <c r="EU29" s="749"/>
      <c r="EV29" s="749"/>
      <c r="EW29" s="749"/>
      <c r="EX29" s="749"/>
      <c r="EY29" s="749"/>
      <c r="EZ29" s="749"/>
      <c r="FA29" s="749"/>
      <c r="FB29" s="749"/>
      <c r="FC29" s="749"/>
      <c r="FD29" s="749"/>
      <c r="FE29" s="749"/>
      <c r="FF29" s="749"/>
      <c r="FG29" s="749"/>
      <c r="FH29" s="749"/>
      <c r="FI29" s="749"/>
      <c r="FJ29" s="749"/>
      <c r="FK29" s="749"/>
      <c r="FL29" s="749"/>
      <c r="FM29" s="749"/>
      <c r="FN29" s="749"/>
      <c r="FO29" s="749"/>
      <c r="FP29" s="749"/>
      <c r="FQ29" s="749"/>
      <c r="FR29" s="749"/>
      <c r="FS29" s="749"/>
      <c r="FT29" s="749"/>
      <c r="FU29" s="749"/>
      <c r="FV29" s="749"/>
      <c r="FW29" s="749"/>
      <c r="FX29" s="749"/>
      <c r="FY29" s="749"/>
      <c r="FZ29" s="749"/>
      <c r="GA29" s="749"/>
      <c r="GB29" s="749"/>
      <c r="GC29" s="749"/>
      <c r="GD29" s="749"/>
      <c r="GE29" s="749"/>
      <c r="GF29" s="749"/>
      <c r="GG29" s="749"/>
      <c r="GH29" s="749"/>
      <c r="GI29" s="749"/>
      <c r="GJ29" s="749"/>
      <c r="GK29" s="749"/>
      <c r="GL29" s="749"/>
      <c r="GM29" s="749"/>
      <c r="GN29" s="749"/>
      <c r="GO29" s="749"/>
      <c r="GP29" s="749"/>
      <c r="GQ29" s="749"/>
      <c r="GR29" s="749"/>
      <c r="GS29" s="749"/>
      <c r="GT29" s="749"/>
      <c r="GU29" s="749"/>
      <c r="GV29" s="749"/>
      <c r="GW29" s="749"/>
      <c r="GX29" s="749"/>
      <c r="GY29" s="749"/>
      <c r="GZ29" s="749"/>
      <c r="HA29" s="749"/>
      <c r="HB29" s="749"/>
      <c r="HC29" s="749"/>
      <c r="HD29" s="749"/>
      <c r="HE29" s="749"/>
      <c r="HF29" s="749"/>
      <c r="HG29" s="749"/>
      <c r="HH29" s="749"/>
      <c r="HI29" s="749"/>
      <c r="HJ29" s="749"/>
      <c r="HK29" s="749"/>
      <c r="HL29" s="749"/>
      <c r="HM29" s="749"/>
      <c r="HN29" s="749"/>
      <c r="HO29" s="749"/>
      <c r="HP29" s="749"/>
      <c r="HQ29" s="749"/>
      <c r="HR29" s="749"/>
      <c r="HS29" s="749"/>
      <c r="HT29" s="749"/>
      <c r="HU29" s="749"/>
      <c r="HV29" s="749"/>
      <c r="HW29" s="749"/>
      <c r="HX29" s="749"/>
      <c r="HY29" s="749"/>
      <c r="HZ29" s="749"/>
      <c r="IA29" s="749"/>
      <c r="IB29" s="749"/>
      <c r="IC29" s="749"/>
      <c r="ID29" s="749"/>
      <c r="IE29" s="749"/>
      <c r="IF29" s="749"/>
      <c r="IG29" s="749"/>
      <c r="IH29" s="749"/>
      <c r="II29" s="749"/>
      <c r="IJ29" s="749"/>
      <c r="IK29" s="749"/>
      <c r="IL29" s="749"/>
      <c r="IM29" s="749"/>
      <c r="IN29" s="749"/>
    </row>
    <row r="30" spans="1:248" ht="12.75">
      <c r="A30" s="1"/>
      <c r="B30" s="769" t="s">
        <v>219</v>
      </c>
      <c r="C30" s="3" t="s">
        <v>7350</v>
      </c>
      <c r="D30" s="3"/>
      <c r="E30" s="3"/>
      <c r="F30" s="770"/>
      <c r="G30" s="2"/>
      <c r="H30" s="3"/>
      <c r="I30" s="771"/>
      <c r="J30" s="3"/>
      <c r="K30" s="3"/>
      <c r="L30" s="749"/>
      <c r="M30" s="1"/>
      <c r="N30" s="769" t="s">
        <v>219</v>
      </c>
      <c r="O30" s="3" t="s">
        <v>7350</v>
      </c>
      <c r="P30" s="3"/>
      <c r="Q30" s="770"/>
      <c r="R30" s="2"/>
      <c r="S30" s="2"/>
      <c r="T30" s="3"/>
      <c r="U30" s="3"/>
      <c r="V30" s="771"/>
      <c r="W30" s="3"/>
      <c r="X30" s="3"/>
      <c r="Y30" s="3"/>
      <c r="Z30" s="3"/>
      <c r="AA30" s="3"/>
      <c r="AB30" s="3"/>
      <c r="AC30" s="849"/>
      <c r="AD30" s="838"/>
      <c r="AE30" s="836"/>
      <c r="AF30" s="838"/>
      <c r="AG30" s="872"/>
      <c r="AH30" s="838"/>
      <c r="AI30" s="872"/>
      <c r="AJ30" s="838"/>
      <c r="AK30" s="872"/>
      <c r="AL30" s="838"/>
      <c r="AM30" s="872"/>
      <c r="AN30" s="838"/>
      <c r="AO30" s="836"/>
      <c r="AP30" s="844"/>
      <c r="AQ30" s="920"/>
      <c r="AR30" s="921"/>
      <c r="AS30" s="922"/>
      <c r="AT30" s="920"/>
      <c r="AU30" s="921"/>
      <c r="AV30" s="921"/>
      <c r="AW30" s="922"/>
      <c r="AX30" s="749"/>
      <c r="AY30" s="749"/>
      <c r="AZ30" s="749"/>
      <c r="BA30" s="749"/>
      <c r="BB30" s="749"/>
      <c r="BC30" s="749"/>
      <c r="BD30" s="749"/>
      <c r="BE30" s="749"/>
      <c r="BF30" s="749"/>
      <c r="BG30" s="749"/>
      <c r="BH30" s="749"/>
      <c r="BI30" s="749"/>
      <c r="BJ30" s="749"/>
      <c r="BK30" s="749"/>
      <c r="BL30" s="749"/>
      <c r="BM30" s="749"/>
      <c r="BN30" s="749"/>
      <c r="BO30" s="749"/>
      <c r="BP30" s="749"/>
      <c r="BQ30" s="749"/>
      <c r="BR30" s="749"/>
      <c r="BS30" s="749"/>
      <c r="BT30" s="749"/>
      <c r="BU30" s="749"/>
      <c r="BV30" s="749"/>
      <c r="BW30" s="749"/>
      <c r="BX30" s="749"/>
      <c r="BY30" s="749"/>
      <c r="BZ30" s="749"/>
      <c r="CA30" s="749"/>
      <c r="CB30" s="749"/>
      <c r="CC30" s="749"/>
      <c r="CD30" s="749"/>
      <c r="CE30" s="749"/>
      <c r="CF30" s="749"/>
      <c r="CG30" s="749"/>
      <c r="CH30" s="749"/>
      <c r="CI30" s="749"/>
      <c r="CJ30" s="749"/>
      <c r="CK30" s="749"/>
      <c r="CL30" s="749"/>
      <c r="CM30" s="749"/>
      <c r="CN30" s="749"/>
      <c r="CO30" s="749"/>
      <c r="CP30" s="749"/>
      <c r="CQ30" s="749"/>
      <c r="CR30" s="749"/>
      <c r="CS30" s="749"/>
      <c r="CT30" s="749"/>
      <c r="CU30" s="749"/>
      <c r="CV30" s="749"/>
      <c r="CW30" s="749"/>
      <c r="CX30" s="749"/>
      <c r="CY30" s="749"/>
      <c r="CZ30" s="749"/>
      <c r="DA30" s="749"/>
      <c r="DB30" s="749"/>
      <c r="DC30" s="749"/>
      <c r="DD30" s="749"/>
      <c r="DE30" s="749"/>
      <c r="DF30" s="749"/>
      <c r="DG30" s="749"/>
      <c r="DH30" s="749"/>
      <c r="DI30" s="749"/>
      <c r="DJ30" s="749"/>
      <c r="DK30" s="749"/>
      <c r="DL30" s="749"/>
      <c r="DM30" s="749"/>
      <c r="DN30" s="749"/>
      <c r="DO30" s="749"/>
      <c r="DP30" s="749"/>
      <c r="DQ30" s="749"/>
      <c r="DR30" s="749"/>
      <c r="DS30" s="749"/>
      <c r="DT30" s="749"/>
      <c r="DU30" s="749"/>
      <c r="DV30" s="749"/>
      <c r="DW30" s="749"/>
      <c r="DX30" s="749"/>
      <c r="DY30" s="749"/>
      <c r="DZ30" s="749"/>
      <c r="EA30" s="749"/>
      <c r="EB30" s="749"/>
      <c r="EC30" s="749"/>
      <c r="ED30" s="749"/>
      <c r="EE30" s="749"/>
      <c r="EF30" s="749"/>
      <c r="EG30" s="749"/>
      <c r="EH30" s="749"/>
      <c r="EI30" s="749"/>
      <c r="EJ30" s="749"/>
      <c r="EK30" s="749"/>
      <c r="EL30" s="749"/>
      <c r="EM30" s="749"/>
      <c r="EN30" s="749"/>
      <c r="EO30" s="749"/>
      <c r="EP30" s="749"/>
      <c r="EQ30" s="749"/>
      <c r="ER30" s="749"/>
      <c r="ES30" s="749"/>
      <c r="ET30" s="749"/>
      <c r="EU30" s="749"/>
      <c r="EV30" s="749"/>
      <c r="EW30" s="749"/>
      <c r="EX30" s="749"/>
      <c r="EY30" s="749"/>
      <c r="EZ30" s="749"/>
      <c r="FA30" s="749"/>
      <c r="FB30" s="749"/>
      <c r="FC30" s="749"/>
      <c r="FD30" s="749"/>
      <c r="FE30" s="749"/>
      <c r="FF30" s="749"/>
      <c r="FG30" s="749"/>
      <c r="FH30" s="749"/>
      <c r="FI30" s="749"/>
      <c r="FJ30" s="749"/>
      <c r="FK30" s="749"/>
      <c r="FL30" s="749"/>
      <c r="FM30" s="749"/>
      <c r="FN30" s="749"/>
      <c r="FO30" s="749"/>
      <c r="FP30" s="749"/>
      <c r="FQ30" s="749"/>
      <c r="FR30" s="749"/>
      <c r="FS30" s="749"/>
      <c r="FT30" s="749"/>
      <c r="FU30" s="749"/>
      <c r="FV30" s="749"/>
      <c r="FW30" s="749"/>
      <c r="FX30" s="749"/>
      <c r="FY30" s="749"/>
      <c r="FZ30" s="749"/>
      <c r="GA30" s="749"/>
      <c r="GB30" s="749"/>
      <c r="GC30" s="749"/>
      <c r="GD30" s="749"/>
      <c r="GE30" s="749"/>
      <c r="GF30" s="749"/>
      <c r="GG30" s="749"/>
      <c r="GH30" s="749"/>
      <c r="GI30" s="749"/>
      <c r="GJ30" s="749"/>
      <c r="GK30" s="749"/>
      <c r="GL30" s="749"/>
      <c r="GM30" s="749"/>
      <c r="GN30" s="749"/>
      <c r="GO30" s="749"/>
      <c r="GP30" s="749"/>
      <c r="GQ30" s="749"/>
      <c r="GR30" s="749"/>
      <c r="GS30" s="749"/>
      <c r="GT30" s="749"/>
      <c r="GU30" s="749"/>
      <c r="GV30" s="749"/>
      <c r="GW30" s="749"/>
      <c r="GX30" s="749"/>
      <c r="GY30" s="749"/>
      <c r="GZ30" s="749"/>
      <c r="HA30" s="749"/>
      <c r="HB30" s="749"/>
      <c r="HC30" s="749"/>
      <c r="HD30" s="749"/>
      <c r="HE30" s="749"/>
      <c r="HF30" s="749"/>
      <c r="HG30" s="749"/>
      <c r="HH30" s="749"/>
      <c r="HI30" s="749"/>
      <c r="HJ30" s="749"/>
      <c r="HK30" s="749"/>
      <c r="HL30" s="749"/>
      <c r="HM30" s="749"/>
      <c r="HN30" s="749"/>
      <c r="HO30" s="749"/>
      <c r="HP30" s="749"/>
      <c r="HQ30" s="749"/>
      <c r="HR30" s="749"/>
      <c r="HS30" s="749"/>
      <c r="HT30" s="749"/>
      <c r="HU30" s="749"/>
      <c r="HV30" s="749"/>
      <c r="HW30" s="749"/>
      <c r="HX30" s="749"/>
      <c r="HY30" s="749"/>
      <c r="HZ30" s="749"/>
      <c r="IA30" s="749"/>
      <c r="IB30" s="749"/>
      <c r="IC30" s="749"/>
      <c r="ID30" s="749"/>
      <c r="IE30" s="749"/>
      <c r="IF30" s="749"/>
      <c r="IG30" s="749"/>
      <c r="IH30" s="749"/>
      <c r="II30" s="749"/>
      <c r="IJ30" s="749"/>
      <c r="IK30" s="749"/>
      <c r="IL30" s="749"/>
      <c r="IM30" s="749"/>
      <c r="IN30" s="749"/>
    </row>
    <row r="31" spans="1:248" ht="12.75">
      <c r="A31" s="1"/>
      <c r="B31" s="769"/>
      <c r="C31" s="3"/>
      <c r="D31" s="773" t="s">
        <v>7351</v>
      </c>
      <c r="E31" s="3"/>
      <c r="F31" s="770">
        <v>0</v>
      </c>
      <c r="G31" s="771">
        <f>SUM(F31*E86)</f>
        <v>0</v>
      </c>
      <c r="H31" s="3"/>
      <c r="I31" s="771"/>
      <c r="J31" s="3"/>
      <c r="K31" s="3"/>
      <c r="L31" s="749"/>
      <c r="M31" s="1"/>
      <c r="N31" s="769"/>
      <c r="O31" s="3"/>
      <c r="P31" s="773" t="s">
        <v>7351</v>
      </c>
      <c r="Q31" s="770">
        <v>0</v>
      </c>
      <c r="R31" s="771">
        <f>SUM(Q31*Q86)</f>
        <v>0</v>
      </c>
      <c r="S31" s="771"/>
      <c r="T31" s="3"/>
      <c r="U31" s="3"/>
      <c r="V31" s="771"/>
      <c r="W31" s="3"/>
      <c r="X31" s="3"/>
      <c r="Y31" s="3"/>
      <c r="Z31" s="3"/>
      <c r="AA31" s="3"/>
      <c r="AB31" s="3"/>
      <c r="AC31" s="849"/>
      <c r="AD31" s="838"/>
      <c r="AE31" s="836"/>
      <c r="AF31" s="838"/>
      <c r="AG31" s="872"/>
      <c r="AH31" s="838"/>
      <c r="AI31" s="872"/>
      <c r="AJ31" s="838"/>
      <c r="AK31" s="872"/>
      <c r="AL31" s="838"/>
      <c r="AM31" s="872"/>
      <c r="AN31" s="838"/>
      <c r="AO31" s="836"/>
      <c r="AP31" s="844"/>
      <c r="AQ31" s="920"/>
      <c r="AR31" s="921"/>
      <c r="AS31" s="922"/>
      <c r="AT31" s="920"/>
      <c r="AU31" s="921"/>
      <c r="AV31" s="921"/>
      <c r="AW31" s="922"/>
      <c r="AX31" s="749"/>
      <c r="AY31" s="749"/>
      <c r="AZ31" s="749"/>
      <c r="BA31" s="749"/>
      <c r="BB31" s="749"/>
      <c r="BC31" s="749"/>
      <c r="BD31" s="749"/>
      <c r="BE31" s="749"/>
      <c r="BF31" s="749"/>
      <c r="BG31" s="749"/>
      <c r="BH31" s="749"/>
      <c r="BI31" s="749"/>
      <c r="BJ31" s="749"/>
      <c r="BK31" s="749"/>
      <c r="BL31" s="749"/>
      <c r="BM31" s="749"/>
      <c r="BN31" s="749"/>
      <c r="BO31" s="749"/>
      <c r="BP31" s="749"/>
      <c r="BQ31" s="749"/>
      <c r="BR31" s="749"/>
      <c r="BS31" s="749"/>
      <c r="BT31" s="749"/>
      <c r="BU31" s="749"/>
      <c r="BV31" s="749"/>
      <c r="BW31" s="749"/>
      <c r="BX31" s="749"/>
      <c r="BY31" s="749"/>
      <c r="BZ31" s="749"/>
      <c r="CA31" s="749"/>
      <c r="CB31" s="749"/>
      <c r="CC31" s="749"/>
      <c r="CD31" s="749"/>
      <c r="CE31" s="749"/>
      <c r="CF31" s="749"/>
      <c r="CG31" s="749"/>
      <c r="CH31" s="749"/>
      <c r="CI31" s="749"/>
      <c r="CJ31" s="749"/>
      <c r="CK31" s="749"/>
      <c r="CL31" s="749"/>
      <c r="CM31" s="749"/>
      <c r="CN31" s="749"/>
      <c r="CO31" s="749"/>
      <c r="CP31" s="749"/>
      <c r="CQ31" s="749"/>
      <c r="CR31" s="749"/>
      <c r="CS31" s="749"/>
      <c r="CT31" s="749"/>
      <c r="CU31" s="749"/>
      <c r="CV31" s="749"/>
      <c r="CW31" s="749"/>
      <c r="CX31" s="749"/>
      <c r="CY31" s="749"/>
      <c r="CZ31" s="749"/>
      <c r="DA31" s="749"/>
      <c r="DB31" s="749"/>
      <c r="DC31" s="749"/>
      <c r="DD31" s="749"/>
      <c r="DE31" s="749"/>
      <c r="DF31" s="749"/>
      <c r="DG31" s="749"/>
      <c r="DH31" s="749"/>
      <c r="DI31" s="749"/>
      <c r="DJ31" s="749"/>
      <c r="DK31" s="749"/>
      <c r="DL31" s="749"/>
      <c r="DM31" s="749"/>
      <c r="DN31" s="749"/>
      <c r="DO31" s="749"/>
      <c r="DP31" s="749"/>
      <c r="DQ31" s="749"/>
      <c r="DR31" s="749"/>
      <c r="DS31" s="749"/>
      <c r="DT31" s="749"/>
      <c r="DU31" s="749"/>
      <c r="DV31" s="749"/>
      <c r="DW31" s="749"/>
      <c r="DX31" s="749"/>
      <c r="DY31" s="749"/>
      <c r="DZ31" s="749"/>
      <c r="EA31" s="749"/>
      <c r="EB31" s="749"/>
      <c r="EC31" s="749"/>
      <c r="ED31" s="749"/>
      <c r="EE31" s="749"/>
      <c r="EF31" s="749"/>
      <c r="EG31" s="749"/>
      <c r="EH31" s="749"/>
      <c r="EI31" s="749"/>
      <c r="EJ31" s="749"/>
      <c r="EK31" s="749"/>
      <c r="EL31" s="749"/>
      <c r="EM31" s="749"/>
      <c r="EN31" s="749"/>
      <c r="EO31" s="749"/>
      <c r="EP31" s="749"/>
      <c r="EQ31" s="749"/>
      <c r="ER31" s="749"/>
      <c r="ES31" s="749"/>
      <c r="ET31" s="749"/>
      <c r="EU31" s="749"/>
      <c r="EV31" s="749"/>
      <c r="EW31" s="749"/>
      <c r="EX31" s="749"/>
      <c r="EY31" s="749"/>
      <c r="EZ31" s="749"/>
      <c r="FA31" s="749"/>
      <c r="FB31" s="749"/>
      <c r="FC31" s="749"/>
      <c r="FD31" s="749"/>
      <c r="FE31" s="749"/>
      <c r="FF31" s="749"/>
      <c r="FG31" s="749"/>
      <c r="FH31" s="749"/>
      <c r="FI31" s="749"/>
      <c r="FJ31" s="749"/>
      <c r="FK31" s="749"/>
      <c r="FL31" s="749"/>
      <c r="FM31" s="749"/>
      <c r="FN31" s="749"/>
      <c r="FO31" s="749"/>
      <c r="FP31" s="749"/>
      <c r="FQ31" s="749"/>
      <c r="FR31" s="749"/>
      <c r="FS31" s="749"/>
      <c r="FT31" s="749"/>
      <c r="FU31" s="749"/>
      <c r="FV31" s="749"/>
      <c r="FW31" s="749"/>
      <c r="FX31" s="749"/>
      <c r="FY31" s="749"/>
      <c r="FZ31" s="749"/>
      <c r="GA31" s="749"/>
      <c r="GB31" s="749"/>
      <c r="GC31" s="749"/>
      <c r="GD31" s="749"/>
      <c r="GE31" s="749"/>
      <c r="GF31" s="749"/>
      <c r="GG31" s="749"/>
      <c r="GH31" s="749"/>
      <c r="GI31" s="749"/>
      <c r="GJ31" s="749"/>
      <c r="GK31" s="749"/>
      <c r="GL31" s="749"/>
      <c r="GM31" s="749"/>
      <c r="GN31" s="749"/>
      <c r="GO31" s="749"/>
      <c r="GP31" s="749"/>
      <c r="GQ31" s="749"/>
      <c r="GR31" s="749"/>
      <c r="GS31" s="749"/>
      <c r="GT31" s="749"/>
      <c r="GU31" s="749"/>
      <c r="GV31" s="749"/>
      <c r="GW31" s="749"/>
      <c r="GX31" s="749"/>
      <c r="GY31" s="749"/>
      <c r="GZ31" s="749"/>
      <c r="HA31" s="749"/>
      <c r="HB31" s="749"/>
      <c r="HC31" s="749"/>
      <c r="HD31" s="749"/>
      <c r="HE31" s="749"/>
      <c r="HF31" s="749"/>
      <c r="HG31" s="749"/>
      <c r="HH31" s="749"/>
      <c r="HI31" s="749"/>
      <c r="HJ31" s="749"/>
      <c r="HK31" s="749"/>
      <c r="HL31" s="749"/>
      <c r="HM31" s="749"/>
      <c r="HN31" s="749"/>
      <c r="HO31" s="749"/>
      <c r="HP31" s="749"/>
      <c r="HQ31" s="749"/>
      <c r="HR31" s="749"/>
      <c r="HS31" s="749"/>
      <c r="HT31" s="749"/>
      <c r="HU31" s="749"/>
      <c r="HV31" s="749"/>
      <c r="HW31" s="749"/>
      <c r="HX31" s="749"/>
      <c r="HY31" s="749"/>
      <c r="HZ31" s="749"/>
      <c r="IA31" s="749"/>
      <c r="IB31" s="749"/>
      <c r="IC31" s="749"/>
      <c r="ID31" s="749"/>
      <c r="IE31" s="749"/>
      <c r="IF31" s="749"/>
      <c r="IG31" s="749"/>
      <c r="IH31" s="749"/>
      <c r="II31" s="749"/>
      <c r="IJ31" s="749"/>
      <c r="IK31" s="749"/>
      <c r="IL31" s="749"/>
      <c r="IM31" s="749"/>
      <c r="IN31" s="749"/>
    </row>
    <row r="32" spans="1:248" ht="12.75">
      <c r="A32" s="1"/>
      <c r="B32" s="769"/>
      <c r="C32" s="3"/>
      <c r="D32" s="773" t="s">
        <v>7352</v>
      </c>
      <c r="E32" s="3"/>
      <c r="F32" s="770">
        <v>0</v>
      </c>
      <c r="G32" s="771">
        <f>SUM(F32*E86)</f>
        <v>0</v>
      </c>
      <c r="H32" s="3"/>
      <c r="I32" s="771"/>
      <c r="J32" s="3"/>
      <c r="K32" s="3"/>
      <c r="L32" s="749"/>
      <c r="M32" s="1"/>
      <c r="N32" s="769"/>
      <c r="O32" s="3"/>
      <c r="P32" s="773" t="s">
        <v>7352</v>
      </c>
      <c r="Q32" s="770">
        <v>0</v>
      </c>
      <c r="R32" s="771">
        <f>SUM(Q32*Q86)</f>
        <v>0</v>
      </c>
      <c r="S32" s="771"/>
      <c r="T32" s="3"/>
      <c r="U32" s="3"/>
      <c r="V32" s="771"/>
      <c r="W32" s="3"/>
      <c r="X32" s="3"/>
      <c r="Y32" s="3"/>
      <c r="Z32" s="3"/>
      <c r="AA32" s="3"/>
      <c r="AB32" s="3"/>
      <c r="AC32" s="849"/>
      <c r="AD32" s="838"/>
      <c r="AE32" s="836"/>
      <c r="AF32" s="838"/>
      <c r="AG32" s="872"/>
      <c r="AH32" s="838"/>
      <c r="AI32" s="872"/>
      <c r="AJ32" s="838"/>
      <c r="AK32" s="872"/>
      <c r="AL32" s="838"/>
      <c r="AM32" s="872"/>
      <c r="AN32" s="838"/>
      <c r="AO32" s="836"/>
      <c r="AP32" s="844"/>
      <c r="AQ32" s="920"/>
      <c r="AR32" s="921"/>
      <c r="AS32" s="922"/>
      <c r="AT32" s="920"/>
      <c r="AU32" s="921"/>
      <c r="AV32" s="921"/>
      <c r="AW32" s="922"/>
      <c r="AX32" s="749"/>
      <c r="AY32" s="749"/>
      <c r="AZ32" s="749"/>
      <c r="BA32" s="749"/>
      <c r="BB32" s="749"/>
      <c r="BC32" s="749"/>
      <c r="BD32" s="749"/>
      <c r="BE32" s="749"/>
      <c r="BF32" s="749"/>
      <c r="BG32" s="749"/>
      <c r="BH32" s="749"/>
      <c r="BI32" s="749"/>
      <c r="BJ32" s="749"/>
      <c r="BK32" s="749"/>
      <c r="BL32" s="749"/>
      <c r="BM32" s="749"/>
      <c r="BN32" s="749"/>
      <c r="BO32" s="749"/>
      <c r="BP32" s="749"/>
      <c r="BQ32" s="749"/>
      <c r="BR32" s="749"/>
      <c r="BS32" s="749"/>
      <c r="BT32" s="749"/>
      <c r="BU32" s="749"/>
      <c r="BV32" s="749"/>
      <c r="BW32" s="749"/>
      <c r="BX32" s="749"/>
      <c r="BY32" s="749"/>
      <c r="BZ32" s="749"/>
      <c r="CA32" s="749"/>
      <c r="CB32" s="749"/>
      <c r="CC32" s="749"/>
      <c r="CD32" s="749"/>
      <c r="CE32" s="749"/>
      <c r="CF32" s="749"/>
      <c r="CG32" s="749"/>
      <c r="CH32" s="749"/>
      <c r="CI32" s="749"/>
      <c r="CJ32" s="749"/>
      <c r="CK32" s="749"/>
      <c r="CL32" s="749"/>
      <c r="CM32" s="749"/>
      <c r="CN32" s="749"/>
      <c r="CO32" s="749"/>
      <c r="CP32" s="749"/>
      <c r="CQ32" s="749"/>
      <c r="CR32" s="749"/>
      <c r="CS32" s="749"/>
      <c r="CT32" s="749"/>
      <c r="CU32" s="749"/>
      <c r="CV32" s="749"/>
      <c r="CW32" s="749"/>
      <c r="CX32" s="749"/>
      <c r="CY32" s="749"/>
      <c r="CZ32" s="749"/>
      <c r="DA32" s="749"/>
      <c r="DB32" s="749"/>
      <c r="DC32" s="749"/>
      <c r="DD32" s="749"/>
      <c r="DE32" s="749"/>
      <c r="DF32" s="749"/>
      <c r="DG32" s="749"/>
      <c r="DH32" s="749"/>
      <c r="DI32" s="749"/>
      <c r="DJ32" s="749"/>
      <c r="DK32" s="749"/>
      <c r="DL32" s="749"/>
      <c r="DM32" s="749"/>
      <c r="DN32" s="749"/>
      <c r="DO32" s="749"/>
      <c r="DP32" s="749"/>
      <c r="DQ32" s="749"/>
      <c r="DR32" s="749"/>
      <c r="DS32" s="749"/>
      <c r="DT32" s="749"/>
      <c r="DU32" s="749"/>
      <c r="DV32" s="749"/>
      <c r="DW32" s="749"/>
      <c r="DX32" s="749"/>
      <c r="DY32" s="749"/>
      <c r="DZ32" s="749"/>
      <c r="EA32" s="749"/>
      <c r="EB32" s="749"/>
      <c r="EC32" s="749"/>
      <c r="ED32" s="749"/>
      <c r="EE32" s="749"/>
      <c r="EF32" s="749"/>
      <c r="EG32" s="749"/>
      <c r="EH32" s="749"/>
      <c r="EI32" s="749"/>
      <c r="EJ32" s="749"/>
      <c r="EK32" s="749"/>
      <c r="EL32" s="749"/>
      <c r="EM32" s="749"/>
      <c r="EN32" s="749"/>
      <c r="EO32" s="749"/>
      <c r="EP32" s="749"/>
      <c r="EQ32" s="749"/>
      <c r="ER32" s="749"/>
      <c r="ES32" s="749"/>
      <c r="ET32" s="749"/>
      <c r="EU32" s="749"/>
      <c r="EV32" s="749"/>
      <c r="EW32" s="749"/>
      <c r="EX32" s="749"/>
      <c r="EY32" s="749"/>
      <c r="EZ32" s="749"/>
      <c r="FA32" s="749"/>
      <c r="FB32" s="749"/>
      <c r="FC32" s="749"/>
      <c r="FD32" s="749"/>
      <c r="FE32" s="749"/>
      <c r="FF32" s="749"/>
      <c r="FG32" s="749"/>
      <c r="FH32" s="749"/>
      <c r="FI32" s="749"/>
      <c r="FJ32" s="749"/>
      <c r="FK32" s="749"/>
      <c r="FL32" s="749"/>
      <c r="FM32" s="749"/>
      <c r="FN32" s="749"/>
      <c r="FO32" s="749"/>
      <c r="FP32" s="749"/>
      <c r="FQ32" s="749"/>
      <c r="FR32" s="749"/>
      <c r="FS32" s="749"/>
      <c r="FT32" s="749"/>
      <c r="FU32" s="749"/>
      <c r="FV32" s="749"/>
      <c r="FW32" s="749"/>
      <c r="FX32" s="749"/>
      <c r="FY32" s="749"/>
      <c r="FZ32" s="749"/>
      <c r="GA32" s="749"/>
      <c r="GB32" s="749"/>
      <c r="GC32" s="749"/>
      <c r="GD32" s="749"/>
      <c r="GE32" s="749"/>
      <c r="GF32" s="749"/>
      <c r="GG32" s="749"/>
      <c r="GH32" s="749"/>
      <c r="GI32" s="749"/>
      <c r="GJ32" s="749"/>
      <c r="GK32" s="749"/>
      <c r="GL32" s="749"/>
      <c r="GM32" s="749"/>
      <c r="GN32" s="749"/>
      <c r="GO32" s="749"/>
      <c r="GP32" s="749"/>
      <c r="GQ32" s="749"/>
      <c r="GR32" s="749"/>
      <c r="GS32" s="749"/>
      <c r="GT32" s="749"/>
      <c r="GU32" s="749"/>
      <c r="GV32" s="749"/>
      <c r="GW32" s="749"/>
      <c r="GX32" s="749"/>
      <c r="GY32" s="749"/>
      <c r="GZ32" s="749"/>
      <c r="HA32" s="749"/>
      <c r="HB32" s="749"/>
      <c r="HC32" s="749"/>
      <c r="HD32" s="749"/>
      <c r="HE32" s="749"/>
      <c r="HF32" s="749"/>
      <c r="HG32" s="749"/>
      <c r="HH32" s="749"/>
      <c r="HI32" s="749"/>
      <c r="HJ32" s="749"/>
      <c r="HK32" s="749"/>
      <c r="HL32" s="749"/>
      <c r="HM32" s="749"/>
      <c r="HN32" s="749"/>
      <c r="HO32" s="749"/>
      <c r="HP32" s="749"/>
      <c r="HQ32" s="749"/>
      <c r="HR32" s="749"/>
      <c r="HS32" s="749"/>
      <c r="HT32" s="749"/>
      <c r="HU32" s="749"/>
      <c r="HV32" s="749"/>
      <c r="HW32" s="749"/>
      <c r="HX32" s="749"/>
      <c r="HY32" s="749"/>
      <c r="HZ32" s="749"/>
      <c r="IA32" s="749"/>
      <c r="IB32" s="749"/>
      <c r="IC32" s="749"/>
      <c r="ID32" s="749"/>
      <c r="IE32" s="749"/>
      <c r="IF32" s="749"/>
      <c r="IG32" s="749"/>
      <c r="IH32" s="749"/>
      <c r="II32" s="749"/>
      <c r="IJ32" s="749"/>
      <c r="IK32" s="749"/>
      <c r="IL32" s="749"/>
      <c r="IM32" s="749"/>
      <c r="IN32" s="749"/>
    </row>
    <row r="33" spans="1:248" ht="12.75">
      <c r="A33" s="1"/>
      <c r="B33" s="769"/>
      <c r="C33" s="3"/>
      <c r="D33" s="773" t="s">
        <v>7353</v>
      </c>
      <c r="E33" s="3"/>
      <c r="F33" s="770">
        <v>0</v>
      </c>
      <c r="G33" s="771">
        <f>SUM(F33*E86)</f>
        <v>0</v>
      </c>
      <c r="H33" s="3"/>
      <c r="I33" s="771"/>
      <c r="J33" s="3"/>
      <c r="K33" s="3"/>
      <c r="L33" s="749"/>
      <c r="M33" s="1"/>
      <c r="N33" s="769"/>
      <c r="O33" s="3"/>
      <c r="P33" s="773" t="s">
        <v>7353</v>
      </c>
      <c r="Q33" s="770">
        <v>0</v>
      </c>
      <c r="R33" s="771">
        <f>SUM(Q33*Q86)</f>
        <v>0</v>
      </c>
      <c r="S33" s="771"/>
      <c r="T33" s="3"/>
      <c r="U33" s="3"/>
      <c r="V33" s="771"/>
      <c r="W33" s="3"/>
      <c r="X33" s="3"/>
      <c r="Y33" s="3"/>
      <c r="Z33" s="3"/>
      <c r="AA33" s="3"/>
      <c r="AB33" s="3"/>
      <c r="AC33" s="854"/>
      <c r="AD33" s="839"/>
      <c r="AE33" s="837"/>
      <c r="AF33" s="839"/>
      <c r="AG33" s="882"/>
      <c r="AH33" s="839"/>
      <c r="AI33" s="882"/>
      <c r="AJ33" s="839"/>
      <c r="AK33" s="882"/>
      <c r="AL33" s="839"/>
      <c r="AM33" s="882"/>
      <c r="AN33" s="839"/>
      <c r="AO33" s="837"/>
      <c r="AP33" s="844"/>
      <c r="AQ33" s="920"/>
      <c r="AR33" s="921"/>
      <c r="AS33" s="922"/>
      <c r="AT33" s="920"/>
      <c r="AU33" s="921"/>
      <c r="AV33" s="921"/>
      <c r="AW33" s="922"/>
      <c r="AX33" s="749"/>
      <c r="AY33" s="749"/>
      <c r="AZ33" s="749"/>
      <c r="BA33" s="749"/>
      <c r="BB33" s="749"/>
      <c r="BC33" s="749"/>
      <c r="BD33" s="749"/>
      <c r="BE33" s="749"/>
      <c r="BF33" s="749"/>
      <c r="BG33" s="749"/>
      <c r="BH33" s="749"/>
      <c r="BI33" s="749"/>
      <c r="BJ33" s="749"/>
      <c r="BK33" s="749"/>
      <c r="BL33" s="749"/>
      <c r="BM33" s="749"/>
      <c r="BN33" s="749"/>
      <c r="BO33" s="749"/>
      <c r="BP33" s="749"/>
      <c r="BQ33" s="749"/>
      <c r="BR33" s="749"/>
      <c r="BS33" s="749"/>
      <c r="BT33" s="749"/>
      <c r="BU33" s="749"/>
      <c r="BV33" s="749"/>
      <c r="BW33" s="749"/>
      <c r="BX33" s="749"/>
      <c r="BY33" s="749"/>
      <c r="BZ33" s="749"/>
      <c r="CA33" s="749"/>
      <c r="CB33" s="749"/>
      <c r="CC33" s="749"/>
      <c r="CD33" s="749"/>
      <c r="CE33" s="749"/>
      <c r="CF33" s="749"/>
      <c r="CG33" s="749"/>
      <c r="CH33" s="749"/>
      <c r="CI33" s="749"/>
      <c r="CJ33" s="749"/>
      <c r="CK33" s="749"/>
      <c r="CL33" s="749"/>
      <c r="CM33" s="749"/>
      <c r="CN33" s="749"/>
      <c r="CO33" s="749"/>
      <c r="CP33" s="749"/>
      <c r="CQ33" s="749"/>
      <c r="CR33" s="749"/>
      <c r="CS33" s="749"/>
      <c r="CT33" s="749"/>
      <c r="CU33" s="749"/>
      <c r="CV33" s="749"/>
      <c r="CW33" s="749"/>
      <c r="CX33" s="749"/>
      <c r="CY33" s="749"/>
      <c r="CZ33" s="749"/>
      <c r="DA33" s="749"/>
      <c r="DB33" s="749"/>
      <c r="DC33" s="749"/>
      <c r="DD33" s="749"/>
      <c r="DE33" s="749"/>
      <c r="DF33" s="749"/>
      <c r="DG33" s="749"/>
      <c r="DH33" s="749"/>
      <c r="DI33" s="749"/>
      <c r="DJ33" s="749"/>
      <c r="DK33" s="749"/>
      <c r="DL33" s="749"/>
      <c r="DM33" s="749"/>
      <c r="DN33" s="749"/>
      <c r="DO33" s="749"/>
      <c r="DP33" s="749"/>
      <c r="DQ33" s="749"/>
      <c r="DR33" s="749"/>
      <c r="DS33" s="749"/>
      <c r="DT33" s="749"/>
      <c r="DU33" s="749"/>
      <c r="DV33" s="749"/>
      <c r="DW33" s="749"/>
      <c r="DX33" s="749"/>
      <c r="DY33" s="749"/>
      <c r="DZ33" s="749"/>
      <c r="EA33" s="749"/>
      <c r="EB33" s="749"/>
      <c r="EC33" s="749"/>
      <c r="ED33" s="749"/>
      <c r="EE33" s="749"/>
      <c r="EF33" s="749"/>
      <c r="EG33" s="749"/>
      <c r="EH33" s="749"/>
      <c r="EI33" s="749"/>
      <c r="EJ33" s="749"/>
      <c r="EK33" s="749"/>
      <c r="EL33" s="749"/>
      <c r="EM33" s="749"/>
      <c r="EN33" s="749"/>
      <c r="EO33" s="749"/>
      <c r="EP33" s="749"/>
      <c r="EQ33" s="749"/>
      <c r="ER33" s="749"/>
      <c r="ES33" s="749"/>
      <c r="ET33" s="749"/>
      <c r="EU33" s="749"/>
      <c r="EV33" s="749"/>
      <c r="EW33" s="749"/>
      <c r="EX33" s="749"/>
      <c r="EY33" s="749"/>
      <c r="EZ33" s="749"/>
      <c r="FA33" s="749"/>
      <c r="FB33" s="749"/>
      <c r="FC33" s="749"/>
      <c r="FD33" s="749"/>
      <c r="FE33" s="749"/>
      <c r="FF33" s="749"/>
      <c r="FG33" s="749"/>
      <c r="FH33" s="749"/>
      <c r="FI33" s="749"/>
      <c r="FJ33" s="749"/>
      <c r="FK33" s="749"/>
      <c r="FL33" s="749"/>
      <c r="FM33" s="749"/>
      <c r="FN33" s="749"/>
      <c r="FO33" s="749"/>
      <c r="FP33" s="749"/>
      <c r="FQ33" s="749"/>
      <c r="FR33" s="749"/>
      <c r="FS33" s="749"/>
      <c r="FT33" s="749"/>
      <c r="FU33" s="749"/>
      <c r="FV33" s="749"/>
      <c r="FW33" s="749"/>
      <c r="FX33" s="749"/>
      <c r="FY33" s="749"/>
      <c r="FZ33" s="749"/>
      <c r="GA33" s="749"/>
      <c r="GB33" s="749"/>
      <c r="GC33" s="749"/>
      <c r="GD33" s="749"/>
      <c r="GE33" s="749"/>
      <c r="GF33" s="749"/>
      <c r="GG33" s="749"/>
      <c r="GH33" s="749"/>
      <c r="GI33" s="749"/>
      <c r="GJ33" s="749"/>
      <c r="GK33" s="749"/>
      <c r="GL33" s="749"/>
      <c r="GM33" s="749"/>
      <c r="GN33" s="749"/>
      <c r="GO33" s="749"/>
      <c r="GP33" s="749"/>
      <c r="GQ33" s="749"/>
      <c r="GR33" s="749"/>
      <c r="GS33" s="749"/>
      <c r="GT33" s="749"/>
      <c r="GU33" s="749"/>
      <c r="GV33" s="749"/>
      <c r="GW33" s="749"/>
      <c r="GX33" s="749"/>
      <c r="GY33" s="749"/>
      <c r="GZ33" s="749"/>
      <c r="HA33" s="749"/>
      <c r="HB33" s="749"/>
      <c r="HC33" s="749"/>
      <c r="HD33" s="749"/>
      <c r="HE33" s="749"/>
      <c r="HF33" s="749"/>
      <c r="HG33" s="749"/>
      <c r="HH33" s="749"/>
      <c r="HI33" s="749"/>
      <c r="HJ33" s="749"/>
      <c r="HK33" s="749"/>
      <c r="HL33" s="749"/>
      <c r="HM33" s="749"/>
      <c r="HN33" s="749"/>
      <c r="HO33" s="749"/>
      <c r="HP33" s="749"/>
      <c r="HQ33" s="749"/>
      <c r="HR33" s="749"/>
      <c r="HS33" s="749"/>
      <c r="HT33" s="749"/>
      <c r="HU33" s="749"/>
      <c r="HV33" s="749"/>
      <c r="HW33" s="749"/>
      <c r="HX33" s="749"/>
      <c r="HY33" s="749"/>
      <c r="HZ33" s="749"/>
      <c r="IA33" s="749"/>
      <c r="IB33" s="749"/>
      <c r="IC33" s="749"/>
      <c r="ID33" s="749"/>
      <c r="IE33" s="749"/>
      <c r="IF33" s="749"/>
      <c r="IG33" s="749"/>
      <c r="IH33" s="749"/>
      <c r="II33" s="749"/>
      <c r="IJ33" s="749"/>
      <c r="IK33" s="749"/>
      <c r="IL33" s="749"/>
      <c r="IM33" s="749"/>
      <c r="IN33" s="749"/>
    </row>
    <row r="34" spans="1:248" ht="12.75">
      <c r="A34" s="3"/>
      <c r="B34" s="769" t="s">
        <v>221</v>
      </c>
      <c r="C34" s="3" t="s">
        <v>7354</v>
      </c>
      <c r="D34" s="3"/>
      <c r="E34" s="3"/>
      <c r="F34" s="774">
        <f>SUM(F30:F30)</f>
        <v>0</v>
      </c>
      <c r="G34" s="775"/>
      <c r="H34" s="775">
        <f>SUM(G34)</f>
        <v>0</v>
      </c>
      <c r="I34" s="771"/>
      <c r="J34" s="3"/>
      <c r="K34" s="3"/>
      <c r="L34" s="749"/>
      <c r="M34" s="3"/>
      <c r="N34" s="769" t="s">
        <v>1520</v>
      </c>
      <c r="O34" s="3" t="s">
        <v>7354</v>
      </c>
      <c r="P34" s="3"/>
      <c r="Q34" s="774">
        <f>SUM(Q30:Q30)</f>
        <v>0</v>
      </c>
      <c r="R34" s="775"/>
      <c r="S34" s="775"/>
      <c r="T34" s="775">
        <f>SUM(R34)</f>
        <v>0</v>
      </c>
      <c r="U34" s="771"/>
      <c r="V34" s="771"/>
      <c r="W34" s="3"/>
      <c r="X34" s="3"/>
      <c r="Y34" s="3"/>
      <c r="Z34" s="3"/>
      <c r="AA34" s="3"/>
      <c r="AB34" s="3"/>
      <c r="AC34" s="850" t="s">
        <v>379</v>
      </c>
      <c r="AD34" s="879"/>
      <c r="AE34" s="885"/>
      <c r="AF34" s="879">
        <f>AH34+AN34+AO34+AP34</f>
        <v>0</v>
      </c>
      <c r="AG34" s="876"/>
      <c r="AH34" s="879">
        <f t="shared" ref="AH34" si="6">AJ34+AL34</f>
        <v>0</v>
      </c>
      <c r="AI34" s="876">
        <f>'TAB 3 Project Cost'!F22</f>
        <v>1.4999999999999999E-2</v>
      </c>
      <c r="AJ34" s="879">
        <f>'TAB 3 Project Cost'!G22</f>
        <v>0</v>
      </c>
      <c r="AK34" s="876">
        <f>'TAB 3 Project Cost'!F53</f>
        <v>0.01</v>
      </c>
      <c r="AL34" s="879">
        <f>'TAB 3 Project Cost'!G53</f>
        <v>0</v>
      </c>
      <c r="AM34" s="876">
        <f>'TAB 3 Project Cost'!F98</f>
        <v>0.01</v>
      </c>
      <c r="AN34" s="879">
        <f>'TAB 3 Project Cost'!G98</f>
        <v>0</v>
      </c>
      <c r="AO34" s="868"/>
      <c r="AP34" s="851"/>
      <c r="AQ34" s="923">
        <f>'TAB 3 Project Cost'!AC53</f>
        <v>0</v>
      </c>
      <c r="AR34" s="924">
        <f>'TAB 3 Project Cost'!AD53</f>
        <v>0</v>
      </c>
      <c r="AS34" s="925">
        <f>'TAB 3 Project Cost'!AE53</f>
        <v>0</v>
      </c>
      <c r="AT34" s="923">
        <f>'TAB 3 Project Cost'!AA98</f>
        <v>0</v>
      </c>
      <c r="AU34" s="924">
        <f>'TAB 3 Project Cost'!AB98</f>
        <v>0</v>
      </c>
      <c r="AV34" s="924">
        <f>'TAB 3 Project Cost'!AC98</f>
        <v>0</v>
      </c>
      <c r="AW34" s="925">
        <f>'TAB 3 Project Cost'!AD98</f>
        <v>0</v>
      </c>
      <c r="AX34" s="749"/>
      <c r="AY34" s="749"/>
      <c r="AZ34" s="749"/>
      <c r="BA34" s="749"/>
      <c r="BB34" s="749"/>
      <c r="BC34" s="749"/>
      <c r="BD34" s="749"/>
      <c r="BE34" s="749"/>
      <c r="BF34" s="749"/>
      <c r="BG34" s="749"/>
      <c r="BH34" s="749"/>
      <c r="BI34" s="749"/>
      <c r="BJ34" s="749"/>
      <c r="BK34" s="749"/>
      <c r="BL34" s="749"/>
      <c r="BM34" s="749"/>
      <c r="BN34" s="749"/>
      <c r="BO34" s="749"/>
      <c r="BP34" s="749"/>
      <c r="BQ34" s="749"/>
      <c r="BR34" s="749"/>
      <c r="BS34" s="749"/>
      <c r="BT34" s="749"/>
      <c r="BU34" s="749"/>
      <c r="BV34" s="749"/>
      <c r="BW34" s="749"/>
      <c r="BX34" s="749"/>
      <c r="BY34" s="749"/>
      <c r="BZ34" s="749"/>
      <c r="CA34" s="749"/>
      <c r="CB34" s="749"/>
      <c r="CC34" s="749"/>
      <c r="CD34" s="749"/>
      <c r="CE34" s="749"/>
      <c r="CF34" s="749"/>
      <c r="CG34" s="749"/>
      <c r="CH34" s="749"/>
      <c r="CI34" s="749"/>
      <c r="CJ34" s="749"/>
      <c r="CK34" s="749"/>
      <c r="CL34" s="749"/>
      <c r="CM34" s="749"/>
      <c r="CN34" s="749"/>
      <c r="CO34" s="749"/>
      <c r="CP34" s="749"/>
      <c r="CQ34" s="749"/>
      <c r="CR34" s="749"/>
      <c r="CS34" s="749"/>
      <c r="CT34" s="749"/>
      <c r="CU34" s="749"/>
      <c r="CV34" s="749"/>
      <c r="CW34" s="749"/>
      <c r="CX34" s="749"/>
      <c r="CY34" s="749"/>
      <c r="CZ34" s="749"/>
      <c r="DA34" s="749"/>
      <c r="DB34" s="749"/>
      <c r="DC34" s="749"/>
      <c r="DD34" s="749"/>
      <c r="DE34" s="749"/>
      <c r="DF34" s="749"/>
      <c r="DG34" s="749"/>
      <c r="DH34" s="749"/>
      <c r="DI34" s="749"/>
      <c r="DJ34" s="749"/>
      <c r="DK34" s="749"/>
      <c r="DL34" s="749"/>
      <c r="DM34" s="749"/>
      <c r="DN34" s="749"/>
      <c r="DO34" s="749"/>
      <c r="DP34" s="749"/>
      <c r="DQ34" s="749"/>
      <c r="DR34" s="749"/>
      <c r="DS34" s="749"/>
      <c r="DT34" s="749"/>
      <c r="DU34" s="749"/>
      <c r="DV34" s="749"/>
      <c r="DW34" s="749"/>
      <c r="DX34" s="749"/>
      <c r="DY34" s="749"/>
      <c r="DZ34" s="749"/>
      <c r="EA34" s="749"/>
      <c r="EB34" s="749"/>
      <c r="EC34" s="749"/>
      <c r="ED34" s="749"/>
      <c r="EE34" s="749"/>
      <c r="EF34" s="749"/>
      <c r="EG34" s="749"/>
      <c r="EH34" s="749"/>
      <c r="EI34" s="749"/>
      <c r="EJ34" s="749"/>
      <c r="EK34" s="749"/>
      <c r="EL34" s="749"/>
      <c r="EM34" s="749"/>
      <c r="EN34" s="749"/>
      <c r="EO34" s="749"/>
      <c r="EP34" s="749"/>
      <c r="EQ34" s="749"/>
      <c r="ER34" s="749"/>
      <c r="ES34" s="749"/>
      <c r="ET34" s="749"/>
      <c r="EU34" s="749"/>
      <c r="EV34" s="749"/>
      <c r="EW34" s="749"/>
      <c r="EX34" s="749"/>
      <c r="EY34" s="749"/>
      <c r="EZ34" s="749"/>
      <c r="FA34" s="749"/>
      <c r="FB34" s="749"/>
      <c r="FC34" s="749"/>
      <c r="FD34" s="749"/>
      <c r="FE34" s="749"/>
      <c r="FF34" s="749"/>
      <c r="FG34" s="749"/>
      <c r="FH34" s="749"/>
      <c r="FI34" s="749"/>
      <c r="FJ34" s="749"/>
      <c r="FK34" s="749"/>
      <c r="FL34" s="749"/>
      <c r="FM34" s="749"/>
      <c r="FN34" s="749"/>
      <c r="FO34" s="749"/>
      <c r="FP34" s="749"/>
      <c r="FQ34" s="749"/>
      <c r="FR34" s="749"/>
      <c r="FS34" s="749"/>
      <c r="FT34" s="749"/>
      <c r="FU34" s="749"/>
      <c r="FV34" s="749"/>
      <c r="FW34" s="749"/>
      <c r="FX34" s="749"/>
      <c r="FY34" s="749"/>
      <c r="FZ34" s="749"/>
      <c r="GA34" s="749"/>
      <c r="GB34" s="749"/>
      <c r="GC34" s="749"/>
      <c r="GD34" s="749"/>
      <c r="GE34" s="749"/>
      <c r="GF34" s="749"/>
      <c r="GG34" s="749"/>
      <c r="GH34" s="749"/>
      <c r="GI34" s="749"/>
      <c r="GJ34" s="749"/>
      <c r="GK34" s="749"/>
      <c r="GL34" s="749"/>
      <c r="GM34" s="749"/>
      <c r="GN34" s="749"/>
      <c r="GO34" s="749"/>
      <c r="GP34" s="749"/>
      <c r="GQ34" s="749"/>
      <c r="GR34" s="749"/>
      <c r="GS34" s="749"/>
      <c r="GT34" s="749"/>
      <c r="GU34" s="749"/>
      <c r="GV34" s="749"/>
      <c r="GW34" s="749"/>
      <c r="GX34" s="749"/>
      <c r="GY34" s="749"/>
      <c r="GZ34" s="749"/>
      <c r="HA34" s="749"/>
      <c r="HB34" s="749"/>
      <c r="HC34" s="749"/>
      <c r="HD34" s="749"/>
      <c r="HE34" s="749"/>
      <c r="HF34" s="749"/>
      <c r="HG34" s="749"/>
      <c r="HH34" s="749"/>
      <c r="HI34" s="749"/>
      <c r="HJ34" s="749"/>
      <c r="HK34" s="749"/>
      <c r="HL34" s="749"/>
      <c r="HM34" s="749"/>
      <c r="HN34" s="749"/>
      <c r="HO34" s="749"/>
      <c r="HP34" s="749"/>
      <c r="HQ34" s="749"/>
      <c r="HR34" s="749"/>
      <c r="HS34" s="749"/>
      <c r="HT34" s="749"/>
      <c r="HU34" s="749"/>
      <c r="HV34" s="749"/>
      <c r="HW34" s="749"/>
      <c r="HX34" s="749"/>
      <c r="HY34" s="749"/>
      <c r="HZ34" s="749"/>
      <c r="IA34" s="749"/>
      <c r="IB34" s="749"/>
      <c r="IC34" s="749"/>
      <c r="ID34" s="749"/>
      <c r="IE34" s="749"/>
      <c r="IF34" s="749"/>
      <c r="IG34" s="749"/>
      <c r="IH34" s="749"/>
      <c r="II34" s="749"/>
      <c r="IJ34" s="749"/>
      <c r="IK34" s="749"/>
      <c r="IL34" s="749"/>
      <c r="IM34" s="749"/>
      <c r="IN34" s="749"/>
    </row>
    <row r="35" spans="1:248" ht="12.75">
      <c r="A35" s="3"/>
      <c r="B35" s="769"/>
      <c r="C35" s="3"/>
      <c r="D35" s="3"/>
      <c r="E35" s="3"/>
      <c r="F35" s="770"/>
      <c r="G35" s="3"/>
      <c r="H35" s="1"/>
      <c r="I35" s="771"/>
      <c r="J35" s="3"/>
      <c r="K35" s="3"/>
      <c r="L35" s="749"/>
      <c r="M35" s="3"/>
      <c r="N35" s="769"/>
      <c r="O35" s="3"/>
      <c r="P35" s="3"/>
      <c r="Q35" s="770"/>
      <c r="R35" s="3"/>
      <c r="S35" s="3"/>
      <c r="T35" s="1"/>
      <c r="U35" s="1"/>
      <c r="V35" s="771" t="s">
        <v>7408</v>
      </c>
      <c r="W35" s="3"/>
      <c r="X35" s="3"/>
      <c r="Y35" s="3"/>
      <c r="Z35" s="3"/>
      <c r="AA35" s="3"/>
      <c r="AB35" s="3"/>
      <c r="AC35" s="849"/>
      <c r="AD35" s="838"/>
      <c r="AE35" s="836"/>
      <c r="AF35" s="838"/>
      <c r="AG35" s="872"/>
      <c r="AH35" s="838"/>
      <c r="AI35" s="872"/>
      <c r="AJ35" s="838"/>
      <c r="AK35" s="872"/>
      <c r="AL35" s="838"/>
      <c r="AM35" s="872"/>
      <c r="AN35" s="838"/>
      <c r="AO35" s="836"/>
      <c r="AP35" s="844"/>
      <c r="AQ35" s="920"/>
      <c r="AR35" s="921"/>
      <c r="AS35" s="922"/>
      <c r="AT35" s="920"/>
      <c r="AU35" s="921"/>
      <c r="AV35" s="921"/>
      <c r="AW35" s="922"/>
      <c r="AX35" s="749"/>
      <c r="AY35" s="749"/>
      <c r="AZ35" s="749"/>
      <c r="BA35" s="749"/>
      <c r="BB35" s="749"/>
      <c r="BC35" s="749"/>
      <c r="BD35" s="749"/>
      <c r="BE35" s="749"/>
      <c r="BF35" s="749"/>
      <c r="BG35" s="749"/>
      <c r="BH35" s="749"/>
      <c r="BI35" s="749"/>
      <c r="BJ35" s="749"/>
      <c r="BK35" s="749"/>
      <c r="BL35" s="749"/>
      <c r="BM35" s="749"/>
      <c r="BN35" s="749"/>
      <c r="BO35" s="749"/>
      <c r="BP35" s="749"/>
      <c r="BQ35" s="749"/>
      <c r="BR35" s="749"/>
      <c r="BS35" s="749"/>
      <c r="BT35" s="749"/>
      <c r="BU35" s="749"/>
      <c r="BV35" s="749"/>
      <c r="BW35" s="749"/>
      <c r="BX35" s="749"/>
      <c r="BY35" s="749"/>
      <c r="BZ35" s="749"/>
      <c r="CA35" s="749"/>
      <c r="CB35" s="749"/>
      <c r="CC35" s="749"/>
      <c r="CD35" s="749"/>
      <c r="CE35" s="749"/>
      <c r="CF35" s="749"/>
      <c r="CG35" s="749"/>
      <c r="CH35" s="749"/>
      <c r="CI35" s="749"/>
      <c r="CJ35" s="749"/>
      <c r="CK35" s="749"/>
      <c r="CL35" s="749"/>
      <c r="CM35" s="749"/>
      <c r="CN35" s="749"/>
      <c r="CO35" s="749"/>
      <c r="CP35" s="749"/>
      <c r="CQ35" s="749"/>
      <c r="CR35" s="749"/>
      <c r="CS35" s="749"/>
      <c r="CT35" s="749"/>
      <c r="CU35" s="749"/>
      <c r="CV35" s="749"/>
      <c r="CW35" s="749"/>
      <c r="CX35" s="749"/>
      <c r="CY35" s="749"/>
      <c r="CZ35" s="749"/>
      <c r="DA35" s="749"/>
      <c r="DB35" s="749"/>
      <c r="DC35" s="749"/>
      <c r="DD35" s="749"/>
      <c r="DE35" s="749"/>
      <c r="DF35" s="749"/>
      <c r="DG35" s="749"/>
      <c r="DH35" s="749"/>
      <c r="DI35" s="749"/>
      <c r="DJ35" s="749"/>
      <c r="DK35" s="749"/>
      <c r="DL35" s="749"/>
      <c r="DM35" s="749"/>
      <c r="DN35" s="749"/>
      <c r="DO35" s="749"/>
      <c r="DP35" s="749"/>
      <c r="DQ35" s="749"/>
      <c r="DR35" s="749"/>
      <c r="DS35" s="749"/>
      <c r="DT35" s="749"/>
      <c r="DU35" s="749"/>
      <c r="DV35" s="749"/>
      <c r="DW35" s="749"/>
      <c r="DX35" s="749"/>
      <c r="DY35" s="749"/>
      <c r="DZ35" s="749"/>
      <c r="EA35" s="749"/>
      <c r="EB35" s="749"/>
      <c r="EC35" s="749"/>
      <c r="ED35" s="749"/>
      <c r="EE35" s="749"/>
      <c r="EF35" s="749"/>
      <c r="EG35" s="749"/>
      <c r="EH35" s="749"/>
      <c r="EI35" s="749"/>
      <c r="EJ35" s="749"/>
      <c r="EK35" s="749"/>
      <c r="EL35" s="749"/>
      <c r="EM35" s="749"/>
      <c r="EN35" s="749"/>
      <c r="EO35" s="749"/>
      <c r="EP35" s="749"/>
      <c r="EQ35" s="749"/>
      <c r="ER35" s="749"/>
      <c r="ES35" s="749"/>
      <c r="ET35" s="749"/>
      <c r="EU35" s="749"/>
      <c r="EV35" s="749"/>
      <c r="EW35" s="749"/>
      <c r="EX35" s="749"/>
      <c r="EY35" s="749"/>
      <c r="EZ35" s="749"/>
      <c r="FA35" s="749"/>
      <c r="FB35" s="749"/>
      <c r="FC35" s="749"/>
      <c r="FD35" s="749"/>
      <c r="FE35" s="749"/>
      <c r="FF35" s="749"/>
      <c r="FG35" s="749"/>
      <c r="FH35" s="749"/>
      <c r="FI35" s="749"/>
      <c r="FJ35" s="749"/>
      <c r="FK35" s="749"/>
      <c r="FL35" s="749"/>
      <c r="FM35" s="749"/>
      <c r="FN35" s="749"/>
      <c r="FO35" s="749"/>
      <c r="FP35" s="749"/>
      <c r="FQ35" s="749"/>
      <c r="FR35" s="749"/>
      <c r="FS35" s="749"/>
      <c r="FT35" s="749"/>
      <c r="FU35" s="749"/>
      <c r="FV35" s="749"/>
      <c r="FW35" s="749"/>
      <c r="FX35" s="749"/>
      <c r="FY35" s="749"/>
      <c r="FZ35" s="749"/>
      <c r="GA35" s="749"/>
      <c r="GB35" s="749"/>
      <c r="GC35" s="749"/>
      <c r="GD35" s="749"/>
      <c r="GE35" s="749"/>
      <c r="GF35" s="749"/>
      <c r="GG35" s="749"/>
      <c r="GH35" s="749"/>
      <c r="GI35" s="749"/>
      <c r="GJ35" s="749"/>
      <c r="GK35" s="749"/>
      <c r="GL35" s="749"/>
      <c r="GM35" s="749"/>
      <c r="GN35" s="749"/>
      <c r="GO35" s="749"/>
      <c r="GP35" s="749"/>
      <c r="GQ35" s="749"/>
      <c r="GR35" s="749"/>
      <c r="GS35" s="749"/>
      <c r="GT35" s="749"/>
      <c r="GU35" s="749"/>
      <c r="GV35" s="749"/>
      <c r="GW35" s="749"/>
      <c r="GX35" s="749"/>
      <c r="GY35" s="749"/>
      <c r="GZ35" s="749"/>
      <c r="HA35" s="749"/>
      <c r="HB35" s="749"/>
      <c r="HC35" s="749"/>
      <c r="HD35" s="749"/>
      <c r="HE35" s="749"/>
      <c r="HF35" s="749"/>
      <c r="HG35" s="749"/>
      <c r="HH35" s="749"/>
      <c r="HI35" s="749"/>
      <c r="HJ35" s="749"/>
      <c r="HK35" s="749"/>
      <c r="HL35" s="749"/>
      <c r="HM35" s="749"/>
      <c r="HN35" s="749"/>
      <c r="HO35" s="749"/>
      <c r="HP35" s="749"/>
      <c r="HQ35" s="749"/>
      <c r="HR35" s="749"/>
      <c r="HS35" s="749"/>
      <c r="HT35" s="749"/>
      <c r="HU35" s="749"/>
      <c r="HV35" s="749"/>
      <c r="HW35" s="749"/>
      <c r="HX35" s="749"/>
      <c r="HY35" s="749"/>
      <c r="HZ35" s="749"/>
      <c r="IA35" s="749"/>
      <c r="IB35" s="749"/>
      <c r="IC35" s="749"/>
      <c r="ID35" s="749"/>
      <c r="IE35" s="749"/>
      <c r="IF35" s="749"/>
      <c r="IG35" s="749"/>
      <c r="IH35" s="749"/>
      <c r="II35" s="749"/>
      <c r="IJ35" s="749"/>
      <c r="IK35" s="749"/>
      <c r="IL35" s="749"/>
      <c r="IM35" s="749"/>
      <c r="IN35" s="749"/>
    </row>
    <row r="36" spans="1:248" ht="12.75">
      <c r="A36" s="1" t="s">
        <v>7355</v>
      </c>
      <c r="B36" s="776"/>
      <c r="C36" s="3"/>
      <c r="D36" s="3"/>
      <c r="E36" s="3"/>
      <c r="F36" s="770"/>
      <c r="G36" s="3"/>
      <c r="H36" s="3"/>
      <c r="I36" s="771"/>
      <c r="J36" s="3" t="s">
        <v>7404</v>
      </c>
      <c r="K36" s="3"/>
      <c r="L36" s="749"/>
      <c r="M36" s="1" t="s">
        <v>7355</v>
      </c>
      <c r="N36" s="776"/>
      <c r="O36" s="3"/>
      <c r="P36" s="3"/>
      <c r="Q36" s="770"/>
      <c r="R36" s="3"/>
      <c r="S36" s="3"/>
      <c r="T36" s="3"/>
      <c r="U36" s="3"/>
      <c r="V36" s="771"/>
      <c r="AB36" s="3"/>
      <c r="AC36" s="849"/>
      <c r="AD36" s="838"/>
      <c r="AE36" s="836"/>
      <c r="AF36" s="838"/>
      <c r="AG36" s="872"/>
      <c r="AH36" s="838"/>
      <c r="AI36" s="872"/>
      <c r="AJ36" s="838"/>
      <c r="AK36" s="872"/>
      <c r="AL36" s="838"/>
      <c r="AM36" s="872"/>
      <c r="AN36" s="838"/>
      <c r="AO36" s="836"/>
      <c r="AP36" s="844"/>
      <c r="AQ36" s="920"/>
      <c r="AR36" s="921"/>
      <c r="AS36" s="922"/>
      <c r="AT36" s="920"/>
      <c r="AU36" s="921"/>
      <c r="AV36" s="921"/>
      <c r="AW36" s="922"/>
      <c r="AX36" s="749"/>
      <c r="AY36" s="749"/>
      <c r="AZ36" s="749"/>
      <c r="BA36" s="749"/>
      <c r="BB36" s="749"/>
      <c r="BC36" s="749"/>
      <c r="BD36" s="749"/>
      <c r="BE36" s="749"/>
      <c r="BF36" s="749"/>
      <c r="BG36" s="749"/>
      <c r="BH36" s="749"/>
      <c r="BI36" s="749"/>
      <c r="BJ36" s="749"/>
      <c r="BK36" s="749"/>
      <c r="BL36" s="749"/>
      <c r="BM36" s="749"/>
      <c r="BN36" s="749"/>
      <c r="BO36" s="749"/>
      <c r="BP36" s="749"/>
      <c r="BQ36" s="749"/>
      <c r="BR36" s="749"/>
      <c r="BS36" s="749"/>
      <c r="BT36" s="749"/>
      <c r="BU36" s="749"/>
      <c r="BV36" s="749"/>
      <c r="BW36" s="749"/>
      <c r="BX36" s="749"/>
      <c r="BY36" s="749"/>
      <c r="BZ36" s="749"/>
      <c r="CA36" s="749"/>
      <c r="CB36" s="749"/>
      <c r="CC36" s="749"/>
      <c r="CD36" s="749"/>
      <c r="CE36" s="749"/>
      <c r="CF36" s="749"/>
      <c r="CG36" s="749"/>
      <c r="CH36" s="749"/>
      <c r="CI36" s="749"/>
      <c r="CJ36" s="749"/>
      <c r="CK36" s="749"/>
      <c r="CL36" s="749"/>
      <c r="CM36" s="749"/>
      <c r="CN36" s="749"/>
      <c r="CO36" s="749"/>
      <c r="CP36" s="749"/>
      <c r="CQ36" s="749"/>
      <c r="CR36" s="749"/>
      <c r="CS36" s="749"/>
      <c r="CT36" s="749"/>
      <c r="CU36" s="749"/>
      <c r="CV36" s="749"/>
      <c r="CW36" s="749"/>
      <c r="CX36" s="749"/>
      <c r="CY36" s="749"/>
      <c r="CZ36" s="749"/>
      <c r="DA36" s="749"/>
      <c r="DB36" s="749"/>
      <c r="DC36" s="749"/>
      <c r="DD36" s="749"/>
      <c r="DE36" s="749"/>
      <c r="DF36" s="749"/>
      <c r="DG36" s="749"/>
      <c r="DH36" s="749"/>
      <c r="DI36" s="749"/>
      <c r="DJ36" s="749"/>
      <c r="DK36" s="749"/>
      <c r="DL36" s="749"/>
      <c r="DM36" s="749"/>
      <c r="DN36" s="749"/>
      <c r="DO36" s="749"/>
      <c r="DP36" s="749"/>
      <c r="DQ36" s="749"/>
      <c r="DR36" s="749"/>
      <c r="DS36" s="749"/>
      <c r="DT36" s="749"/>
      <c r="DU36" s="749"/>
      <c r="DV36" s="749"/>
      <c r="DW36" s="749"/>
      <c r="DX36" s="749"/>
      <c r="DY36" s="749"/>
      <c r="DZ36" s="749"/>
      <c r="EA36" s="749"/>
      <c r="EB36" s="749"/>
      <c r="EC36" s="749"/>
      <c r="ED36" s="749"/>
      <c r="EE36" s="749"/>
      <c r="EF36" s="749"/>
      <c r="EG36" s="749"/>
      <c r="EH36" s="749"/>
      <c r="EI36" s="749"/>
      <c r="EJ36" s="749"/>
      <c r="EK36" s="749"/>
      <c r="EL36" s="749"/>
      <c r="EM36" s="749"/>
      <c r="EN36" s="749"/>
      <c r="EO36" s="749"/>
      <c r="EP36" s="749"/>
      <c r="EQ36" s="749"/>
      <c r="ER36" s="749"/>
      <c r="ES36" s="749"/>
      <c r="ET36" s="749"/>
      <c r="EU36" s="749"/>
      <c r="EV36" s="749"/>
      <c r="EW36" s="749"/>
      <c r="EX36" s="749"/>
      <c r="EY36" s="749"/>
      <c r="EZ36" s="749"/>
      <c r="FA36" s="749"/>
      <c r="FB36" s="749"/>
      <c r="FC36" s="749"/>
      <c r="FD36" s="749"/>
      <c r="FE36" s="749"/>
      <c r="FF36" s="749"/>
      <c r="FG36" s="749"/>
      <c r="FH36" s="749"/>
      <c r="FI36" s="749"/>
      <c r="FJ36" s="749"/>
      <c r="FK36" s="749"/>
      <c r="FL36" s="749"/>
      <c r="FM36" s="749"/>
      <c r="FN36" s="749"/>
      <c r="FO36" s="749"/>
      <c r="FP36" s="749"/>
      <c r="FQ36" s="749"/>
      <c r="FR36" s="749"/>
      <c r="FS36" s="749"/>
      <c r="FT36" s="749"/>
      <c r="FU36" s="749"/>
      <c r="FV36" s="749"/>
      <c r="FW36" s="749"/>
      <c r="FX36" s="749"/>
      <c r="FY36" s="749"/>
      <c r="FZ36" s="749"/>
      <c r="GA36" s="749"/>
      <c r="GB36" s="749"/>
      <c r="GC36" s="749"/>
      <c r="GD36" s="749"/>
      <c r="GE36" s="749"/>
      <c r="GF36" s="749"/>
      <c r="GG36" s="749"/>
      <c r="GH36" s="749"/>
      <c r="GI36" s="749"/>
      <c r="GJ36" s="749"/>
      <c r="GK36" s="749"/>
      <c r="GL36" s="749"/>
      <c r="GM36" s="749"/>
      <c r="GN36" s="749"/>
      <c r="GO36" s="749"/>
      <c r="GP36" s="749"/>
      <c r="GQ36" s="749"/>
      <c r="GR36" s="749"/>
      <c r="GS36" s="749"/>
      <c r="GT36" s="749"/>
      <c r="GU36" s="749"/>
      <c r="GV36" s="749"/>
      <c r="GW36" s="749"/>
      <c r="GX36" s="749"/>
      <c r="GY36" s="749"/>
      <c r="GZ36" s="749"/>
      <c r="HA36" s="749"/>
      <c r="HB36" s="749"/>
      <c r="HC36" s="749"/>
      <c r="HD36" s="749"/>
      <c r="HE36" s="749"/>
      <c r="HF36" s="749"/>
      <c r="HG36" s="749"/>
      <c r="HH36" s="749"/>
      <c r="HI36" s="749"/>
      <c r="HJ36" s="749"/>
      <c r="HK36" s="749"/>
      <c r="HL36" s="749"/>
      <c r="HM36" s="749"/>
      <c r="HN36" s="749"/>
      <c r="HO36" s="749"/>
      <c r="HP36" s="749"/>
      <c r="HQ36" s="749"/>
      <c r="HR36" s="749"/>
      <c r="HS36" s="749"/>
      <c r="HT36" s="749"/>
      <c r="HU36" s="749"/>
      <c r="HV36" s="749"/>
      <c r="HW36" s="749"/>
      <c r="HX36" s="749"/>
      <c r="HY36" s="749"/>
      <c r="HZ36" s="749"/>
      <c r="IA36" s="749"/>
      <c r="IB36" s="749"/>
      <c r="IC36" s="749"/>
      <c r="ID36" s="749"/>
      <c r="IE36" s="749"/>
      <c r="IF36" s="749"/>
      <c r="IG36" s="749"/>
      <c r="IH36" s="749"/>
      <c r="II36" s="749"/>
      <c r="IJ36" s="749"/>
      <c r="IK36" s="749"/>
      <c r="IL36" s="749"/>
      <c r="IM36" s="749"/>
      <c r="IN36" s="749"/>
    </row>
    <row r="37" spans="1:248" ht="12.75">
      <c r="A37" s="3"/>
      <c r="B37" s="777"/>
      <c r="C37" s="3" t="s">
        <v>7356</v>
      </c>
      <c r="D37" s="3"/>
      <c r="E37" s="3"/>
      <c r="F37" s="770"/>
      <c r="G37" s="3"/>
      <c r="H37" s="3"/>
      <c r="I37" s="771"/>
      <c r="J37" s="778">
        <f>SUM(G39+G41)</f>
        <v>3045000</v>
      </c>
      <c r="K37" s="3"/>
      <c r="L37" s="749"/>
      <c r="M37" s="3"/>
      <c r="N37" s="777"/>
      <c r="O37" s="3" t="s">
        <v>7356</v>
      </c>
      <c r="P37" s="3"/>
      <c r="Q37" s="770"/>
      <c r="R37" s="3"/>
      <c r="S37" s="3"/>
      <c r="T37" s="3"/>
      <c r="U37" s="3"/>
      <c r="V37" s="3" t="s">
        <v>7404</v>
      </c>
      <c r="W37" s="778">
        <f>SUM(R39+R42)</f>
        <v>3045000</v>
      </c>
      <c r="X37" s="778"/>
      <c r="Y37" s="778"/>
      <c r="Z37" s="778"/>
      <c r="AA37" s="778"/>
      <c r="AB37" s="780"/>
      <c r="AC37" s="855"/>
      <c r="AD37" s="838"/>
      <c r="AE37" s="836"/>
      <c r="AF37" s="838"/>
      <c r="AG37" s="872"/>
      <c r="AH37" s="838"/>
      <c r="AI37" s="872"/>
      <c r="AJ37" s="838"/>
      <c r="AK37" s="872"/>
      <c r="AL37" s="838"/>
      <c r="AM37" s="872"/>
      <c r="AN37" s="838"/>
      <c r="AO37" s="836"/>
      <c r="AP37" s="844"/>
      <c r="AQ37" s="920"/>
      <c r="AR37" s="921"/>
      <c r="AS37" s="922"/>
      <c r="AT37" s="920"/>
      <c r="AU37" s="921"/>
      <c r="AV37" s="921"/>
      <c r="AW37" s="922"/>
      <c r="AX37" s="749"/>
      <c r="AY37" s="749"/>
      <c r="AZ37" s="749"/>
      <c r="BA37" s="749"/>
      <c r="BB37" s="749"/>
      <c r="BC37" s="749"/>
      <c r="BD37" s="749"/>
      <c r="BE37" s="749"/>
      <c r="BF37" s="749"/>
      <c r="BG37" s="749"/>
      <c r="BH37" s="749"/>
      <c r="BI37" s="749"/>
      <c r="BJ37" s="749"/>
      <c r="BK37" s="749"/>
      <c r="BL37" s="749"/>
      <c r="BM37" s="749"/>
      <c r="BN37" s="749"/>
      <c r="BO37" s="749"/>
      <c r="BP37" s="749"/>
      <c r="BQ37" s="749"/>
      <c r="BR37" s="749"/>
      <c r="BS37" s="749"/>
      <c r="BT37" s="749"/>
      <c r="BU37" s="749"/>
      <c r="BV37" s="749"/>
      <c r="BW37" s="749"/>
      <c r="BX37" s="749"/>
      <c r="BY37" s="749"/>
      <c r="BZ37" s="749"/>
      <c r="CA37" s="749"/>
      <c r="CB37" s="749"/>
      <c r="CC37" s="749"/>
      <c r="CD37" s="749"/>
      <c r="CE37" s="749"/>
      <c r="CF37" s="749"/>
      <c r="CG37" s="749"/>
      <c r="CH37" s="749"/>
      <c r="CI37" s="749"/>
      <c r="CJ37" s="749"/>
      <c r="CK37" s="749"/>
      <c r="CL37" s="749"/>
      <c r="CM37" s="749"/>
      <c r="CN37" s="749"/>
      <c r="CO37" s="749"/>
      <c r="CP37" s="749"/>
      <c r="CQ37" s="749"/>
      <c r="CR37" s="749"/>
      <c r="CS37" s="749"/>
      <c r="CT37" s="749"/>
      <c r="CU37" s="749"/>
      <c r="CV37" s="749"/>
      <c r="CW37" s="749"/>
      <c r="CX37" s="749"/>
      <c r="CY37" s="749"/>
      <c r="CZ37" s="749"/>
      <c r="DA37" s="749"/>
      <c r="DB37" s="749"/>
      <c r="DC37" s="749"/>
      <c r="DD37" s="749"/>
      <c r="DE37" s="749"/>
      <c r="DF37" s="749"/>
      <c r="DG37" s="749"/>
      <c r="DH37" s="749"/>
      <c r="DI37" s="749"/>
      <c r="DJ37" s="749"/>
      <c r="DK37" s="749"/>
      <c r="DL37" s="749"/>
      <c r="DM37" s="749"/>
      <c r="DN37" s="749"/>
      <c r="DO37" s="749"/>
      <c r="DP37" s="749"/>
      <c r="DQ37" s="749"/>
      <c r="DR37" s="749"/>
      <c r="DS37" s="749"/>
      <c r="DT37" s="749"/>
      <c r="DU37" s="749"/>
      <c r="DV37" s="749"/>
      <c r="DW37" s="749"/>
      <c r="DX37" s="749"/>
      <c r="DY37" s="749"/>
      <c r="DZ37" s="749"/>
      <c r="EA37" s="749"/>
      <c r="EB37" s="749"/>
      <c r="EC37" s="749"/>
      <c r="ED37" s="749"/>
      <c r="EE37" s="749"/>
      <c r="EF37" s="749"/>
      <c r="EG37" s="749"/>
      <c r="EH37" s="749"/>
      <c r="EI37" s="749"/>
      <c r="EJ37" s="749"/>
      <c r="EK37" s="749"/>
      <c r="EL37" s="749"/>
      <c r="EM37" s="749"/>
      <c r="EN37" s="749"/>
      <c r="EO37" s="749"/>
      <c r="EP37" s="749"/>
      <c r="EQ37" s="749"/>
      <c r="ER37" s="749"/>
      <c r="ES37" s="749"/>
      <c r="ET37" s="749"/>
      <c r="EU37" s="749"/>
      <c r="EV37" s="749"/>
      <c r="EW37" s="749"/>
      <c r="EX37" s="749"/>
      <c r="EY37" s="749"/>
      <c r="EZ37" s="749"/>
      <c r="FA37" s="749"/>
      <c r="FB37" s="749"/>
      <c r="FC37" s="749"/>
      <c r="FD37" s="749"/>
      <c r="FE37" s="749"/>
      <c r="FF37" s="749"/>
      <c r="FG37" s="749"/>
      <c r="FH37" s="749"/>
      <c r="FI37" s="749"/>
      <c r="FJ37" s="749"/>
      <c r="FK37" s="749"/>
      <c r="FL37" s="749"/>
      <c r="FM37" s="749"/>
      <c r="FN37" s="749"/>
      <c r="FO37" s="749"/>
      <c r="FP37" s="749"/>
      <c r="FQ37" s="749"/>
      <c r="FR37" s="749"/>
      <c r="FS37" s="749"/>
      <c r="FT37" s="749"/>
      <c r="FU37" s="749"/>
      <c r="FV37" s="749"/>
      <c r="FW37" s="749"/>
      <c r="FX37" s="749"/>
      <c r="FY37" s="749"/>
      <c r="FZ37" s="749"/>
      <c r="GA37" s="749"/>
      <c r="GB37" s="749"/>
      <c r="GC37" s="749"/>
      <c r="GD37" s="749"/>
      <c r="GE37" s="749"/>
      <c r="GF37" s="749"/>
      <c r="GG37" s="749"/>
      <c r="GH37" s="749"/>
      <c r="GI37" s="749"/>
      <c r="GJ37" s="749"/>
      <c r="GK37" s="749"/>
      <c r="GL37" s="749"/>
      <c r="GM37" s="749"/>
      <c r="GN37" s="749"/>
      <c r="GO37" s="749"/>
      <c r="GP37" s="749"/>
      <c r="GQ37" s="749"/>
      <c r="GR37" s="749"/>
      <c r="GS37" s="749"/>
      <c r="GT37" s="749"/>
      <c r="GU37" s="749"/>
      <c r="GV37" s="749"/>
      <c r="GW37" s="749"/>
      <c r="GX37" s="749"/>
      <c r="GY37" s="749"/>
      <c r="GZ37" s="749"/>
      <c r="HA37" s="749"/>
      <c r="HB37" s="749"/>
      <c r="HC37" s="749"/>
      <c r="HD37" s="749"/>
      <c r="HE37" s="749"/>
      <c r="HF37" s="749"/>
      <c r="HG37" s="749"/>
      <c r="HH37" s="749"/>
      <c r="HI37" s="749"/>
      <c r="HJ37" s="749"/>
      <c r="HK37" s="749"/>
      <c r="HL37" s="749"/>
      <c r="HM37" s="749"/>
      <c r="HN37" s="749"/>
      <c r="HO37" s="749"/>
      <c r="HP37" s="749"/>
      <c r="HQ37" s="749"/>
      <c r="HR37" s="749"/>
      <c r="HS37" s="749"/>
      <c r="HT37" s="749"/>
      <c r="HU37" s="749"/>
      <c r="HV37" s="749"/>
      <c r="HW37" s="749"/>
      <c r="HX37" s="749"/>
      <c r="HY37" s="749"/>
      <c r="HZ37" s="749"/>
      <c r="IA37" s="749"/>
      <c r="IB37" s="749"/>
      <c r="IC37" s="749"/>
      <c r="ID37" s="749"/>
      <c r="IE37" s="749"/>
      <c r="IF37" s="749"/>
      <c r="IG37" s="749"/>
      <c r="IH37" s="749"/>
      <c r="II37" s="749"/>
      <c r="IJ37" s="749"/>
      <c r="IK37" s="749"/>
      <c r="IL37" s="749"/>
      <c r="IM37" s="749"/>
      <c r="IN37" s="749"/>
    </row>
    <row r="38" spans="1:248" ht="12.75">
      <c r="A38" s="3"/>
      <c r="B38" s="769" t="s">
        <v>219</v>
      </c>
      <c r="C38" s="3"/>
      <c r="D38" s="3" t="s">
        <v>7357</v>
      </c>
      <c r="E38" s="3"/>
      <c r="F38" s="770">
        <v>4.4999999999999997E-3</v>
      </c>
      <c r="G38" s="771">
        <f>SUM(F38*H27)</f>
        <v>189000</v>
      </c>
      <c r="H38" s="3"/>
      <c r="I38" s="771"/>
      <c r="J38" s="3"/>
      <c r="K38" s="3"/>
      <c r="L38" s="749"/>
      <c r="M38" s="3"/>
      <c r="N38" s="769" t="s">
        <v>219</v>
      </c>
      <c r="O38" s="3"/>
      <c r="P38" s="3" t="s">
        <v>7357</v>
      </c>
      <c r="Q38" s="770">
        <v>4.4999999999999997E-3</v>
      </c>
      <c r="R38" s="771">
        <f>SUM(Q38*T27)</f>
        <v>189000</v>
      </c>
      <c r="S38" s="771"/>
      <c r="T38" s="3"/>
      <c r="U38" s="3"/>
      <c r="V38" s="771">
        <f>AJ38</f>
        <v>0</v>
      </c>
      <c r="X38" s="3"/>
      <c r="Y38" s="3"/>
      <c r="Z38" s="3"/>
      <c r="AA38" s="3"/>
      <c r="AB38" s="3"/>
      <c r="AC38" s="856" t="s">
        <v>6936</v>
      </c>
      <c r="AD38" s="879"/>
      <c r="AE38" s="885"/>
      <c r="AF38" s="879">
        <f>AH38+AN38+AO38+AP38</f>
        <v>0</v>
      </c>
      <c r="AG38" s="876"/>
      <c r="AH38" s="879">
        <f t="shared" ref="AH38:AH39" si="7">AJ38+AL38</f>
        <v>0</v>
      </c>
      <c r="AI38" s="876">
        <f>'TAB 3 Project Cost'!F23</f>
        <v>4.0000000000000001E-3</v>
      </c>
      <c r="AJ38" s="879">
        <f>'TAB 3 Project Cost'!G23</f>
        <v>0</v>
      </c>
      <c r="AK38" s="876">
        <f>'TAB 3 Project Cost'!F54</f>
        <v>4.0000000000000001E-3</v>
      </c>
      <c r="AL38" s="879">
        <f>'TAB 3 Project Cost'!G54</f>
        <v>0</v>
      </c>
      <c r="AM38" s="876"/>
      <c r="AN38" s="879"/>
      <c r="AO38" s="868"/>
      <c r="AP38" s="851"/>
      <c r="AQ38" s="923">
        <f>'TAB 3 Project Cost'!AC54</f>
        <v>0</v>
      </c>
      <c r="AR38" s="924">
        <f>'TAB 3 Project Cost'!AD54</f>
        <v>0</v>
      </c>
      <c r="AS38" s="925">
        <f>'TAB 3 Project Cost'!AE54</f>
        <v>0</v>
      </c>
      <c r="AT38" s="923"/>
      <c r="AU38" s="924"/>
      <c r="AV38" s="924"/>
      <c r="AW38" s="925"/>
      <c r="AX38" s="749"/>
      <c r="AY38" s="749"/>
      <c r="AZ38" s="749"/>
      <c r="BA38" s="749"/>
      <c r="BB38" s="749"/>
      <c r="BC38" s="749"/>
      <c r="BD38" s="749"/>
      <c r="BE38" s="749"/>
      <c r="BF38" s="749"/>
      <c r="BG38" s="749"/>
      <c r="BH38" s="749"/>
      <c r="BI38" s="749"/>
      <c r="BJ38" s="749"/>
      <c r="BK38" s="749"/>
      <c r="BL38" s="749"/>
      <c r="BM38" s="749"/>
      <c r="BN38" s="749"/>
      <c r="BO38" s="749"/>
      <c r="BP38" s="749"/>
      <c r="BQ38" s="749"/>
      <c r="BR38" s="749"/>
      <c r="BS38" s="749"/>
      <c r="BT38" s="749"/>
      <c r="BU38" s="749"/>
      <c r="BV38" s="749"/>
      <c r="BW38" s="749"/>
      <c r="BX38" s="749"/>
      <c r="BY38" s="749"/>
      <c r="BZ38" s="749"/>
      <c r="CA38" s="749"/>
      <c r="CB38" s="749"/>
      <c r="CC38" s="749"/>
      <c r="CD38" s="749"/>
      <c r="CE38" s="749"/>
      <c r="CF38" s="749"/>
      <c r="CG38" s="749"/>
      <c r="CH38" s="749"/>
      <c r="CI38" s="749"/>
      <c r="CJ38" s="749"/>
      <c r="CK38" s="749"/>
      <c r="CL38" s="749"/>
      <c r="CM38" s="749"/>
      <c r="CN38" s="749"/>
      <c r="CO38" s="749"/>
      <c r="CP38" s="749"/>
      <c r="CQ38" s="749"/>
      <c r="CR38" s="749"/>
      <c r="CS38" s="749"/>
      <c r="CT38" s="749"/>
      <c r="CU38" s="749"/>
      <c r="CV38" s="749"/>
      <c r="CW38" s="749"/>
      <c r="CX38" s="749"/>
      <c r="CY38" s="749"/>
      <c r="CZ38" s="749"/>
      <c r="DA38" s="749"/>
      <c r="DB38" s="749"/>
      <c r="DC38" s="749"/>
      <c r="DD38" s="749"/>
      <c r="DE38" s="749"/>
      <c r="DF38" s="749"/>
      <c r="DG38" s="749"/>
      <c r="DH38" s="749"/>
      <c r="DI38" s="749"/>
      <c r="DJ38" s="749"/>
      <c r="DK38" s="749"/>
      <c r="DL38" s="749"/>
      <c r="DM38" s="749"/>
      <c r="DN38" s="749"/>
      <c r="DO38" s="749"/>
      <c r="DP38" s="749"/>
      <c r="DQ38" s="749"/>
      <c r="DR38" s="749"/>
      <c r="DS38" s="749"/>
      <c r="DT38" s="749"/>
      <c r="DU38" s="749"/>
      <c r="DV38" s="749"/>
      <c r="DW38" s="749"/>
      <c r="DX38" s="749"/>
      <c r="DY38" s="749"/>
      <c r="DZ38" s="749"/>
      <c r="EA38" s="749"/>
      <c r="EB38" s="749"/>
      <c r="EC38" s="749"/>
      <c r="ED38" s="749"/>
      <c r="EE38" s="749"/>
      <c r="EF38" s="749"/>
      <c r="EG38" s="749"/>
      <c r="EH38" s="749"/>
      <c r="EI38" s="749"/>
      <c r="EJ38" s="749"/>
      <c r="EK38" s="749"/>
      <c r="EL38" s="749"/>
      <c r="EM38" s="749"/>
      <c r="EN38" s="749"/>
      <c r="EO38" s="749"/>
      <c r="EP38" s="749"/>
      <c r="EQ38" s="749"/>
      <c r="ER38" s="749"/>
      <c r="ES38" s="749"/>
      <c r="ET38" s="749"/>
      <c r="EU38" s="749"/>
      <c r="EV38" s="749"/>
      <c r="EW38" s="749"/>
      <c r="EX38" s="749"/>
      <c r="EY38" s="749"/>
      <c r="EZ38" s="749"/>
      <c r="FA38" s="749"/>
      <c r="FB38" s="749"/>
      <c r="FC38" s="749"/>
      <c r="FD38" s="749"/>
      <c r="FE38" s="749"/>
      <c r="FF38" s="749"/>
      <c r="FG38" s="749"/>
      <c r="FH38" s="749"/>
      <c r="FI38" s="749"/>
      <c r="FJ38" s="749"/>
      <c r="FK38" s="749"/>
      <c r="FL38" s="749"/>
      <c r="FM38" s="749"/>
      <c r="FN38" s="749"/>
      <c r="FO38" s="749"/>
      <c r="FP38" s="749"/>
      <c r="FQ38" s="749"/>
      <c r="FR38" s="749"/>
      <c r="FS38" s="749"/>
      <c r="FT38" s="749"/>
      <c r="FU38" s="749"/>
      <c r="FV38" s="749"/>
      <c r="FW38" s="749"/>
      <c r="FX38" s="749"/>
      <c r="FY38" s="749"/>
      <c r="FZ38" s="749"/>
      <c r="GA38" s="749"/>
      <c r="GB38" s="749"/>
      <c r="GC38" s="749"/>
      <c r="GD38" s="749"/>
      <c r="GE38" s="749"/>
      <c r="GF38" s="749"/>
      <c r="GG38" s="749"/>
      <c r="GH38" s="749"/>
      <c r="GI38" s="749"/>
      <c r="GJ38" s="749"/>
      <c r="GK38" s="749"/>
      <c r="GL38" s="749"/>
      <c r="GM38" s="749"/>
      <c r="GN38" s="749"/>
      <c r="GO38" s="749"/>
      <c r="GP38" s="749"/>
      <c r="GQ38" s="749"/>
      <c r="GR38" s="749"/>
      <c r="GS38" s="749"/>
      <c r="GT38" s="749"/>
      <c r="GU38" s="749"/>
      <c r="GV38" s="749"/>
      <c r="GW38" s="749"/>
      <c r="GX38" s="749"/>
      <c r="GY38" s="749"/>
      <c r="GZ38" s="749"/>
      <c r="HA38" s="749"/>
      <c r="HB38" s="749"/>
      <c r="HC38" s="749"/>
      <c r="HD38" s="749"/>
      <c r="HE38" s="749"/>
      <c r="HF38" s="749"/>
      <c r="HG38" s="749"/>
      <c r="HH38" s="749"/>
      <c r="HI38" s="749"/>
      <c r="HJ38" s="749"/>
      <c r="HK38" s="749"/>
      <c r="HL38" s="749"/>
      <c r="HM38" s="749"/>
      <c r="HN38" s="749"/>
      <c r="HO38" s="749"/>
      <c r="HP38" s="749"/>
      <c r="HQ38" s="749"/>
      <c r="HR38" s="749"/>
      <c r="HS38" s="749"/>
      <c r="HT38" s="749"/>
      <c r="HU38" s="749"/>
      <c r="HV38" s="749"/>
      <c r="HW38" s="749"/>
      <c r="HX38" s="749"/>
      <c r="HY38" s="749"/>
      <c r="HZ38" s="749"/>
      <c r="IA38" s="749"/>
      <c r="IB38" s="749"/>
      <c r="IC38" s="749"/>
      <c r="ID38" s="749"/>
      <c r="IE38" s="749"/>
      <c r="IF38" s="749"/>
      <c r="IG38" s="749"/>
      <c r="IH38" s="749"/>
      <c r="II38" s="749"/>
      <c r="IJ38" s="749"/>
      <c r="IK38" s="749"/>
      <c r="IL38" s="749"/>
      <c r="IM38" s="749"/>
      <c r="IN38" s="749"/>
    </row>
    <row r="39" spans="1:248" ht="12.75">
      <c r="A39" s="3"/>
      <c r="B39" s="769" t="s">
        <v>220</v>
      </c>
      <c r="C39" s="2"/>
      <c r="D39" s="3" t="s">
        <v>7358</v>
      </c>
      <c r="E39" s="770"/>
      <c r="F39" s="770">
        <v>0.05</v>
      </c>
      <c r="G39" s="771">
        <f>SUM(F39*H27)</f>
        <v>2100000</v>
      </c>
      <c r="H39" s="2"/>
      <c r="I39" s="771"/>
      <c r="J39" s="3"/>
      <c r="K39" s="3"/>
      <c r="L39" s="749"/>
      <c r="M39" s="3"/>
      <c r="N39" s="769" t="s">
        <v>220</v>
      </c>
      <c r="O39" s="2"/>
      <c r="P39" s="3" t="s">
        <v>7358</v>
      </c>
      <c r="Q39" s="770">
        <v>0.05</v>
      </c>
      <c r="R39" s="771">
        <f>SUM(Q39*T27)</f>
        <v>2100000</v>
      </c>
      <c r="S39" s="771"/>
      <c r="X39" s="771"/>
      <c r="Y39" s="771"/>
      <c r="Z39" s="771"/>
      <c r="AA39" s="771"/>
      <c r="AB39" s="3"/>
      <c r="AC39" s="856" t="s">
        <v>7529</v>
      </c>
      <c r="AD39" s="879"/>
      <c r="AE39" s="885"/>
      <c r="AF39" s="879">
        <f>AH39+AN39+AO39+AP39</f>
        <v>0</v>
      </c>
      <c r="AG39" s="876"/>
      <c r="AH39" s="879">
        <f t="shared" si="7"/>
        <v>0</v>
      </c>
      <c r="AI39" s="876">
        <f>'TAB 3 Project Cost'!F24</f>
        <v>0.05</v>
      </c>
      <c r="AJ39" s="879">
        <f>'TAB 3 Project Cost'!G24</f>
        <v>0</v>
      </c>
      <c r="AK39" s="876">
        <f>'TAB 3 Project Cost'!F55</f>
        <v>0.06</v>
      </c>
      <c r="AL39" s="879">
        <f>'TAB 3 Project Cost'!G55</f>
        <v>0</v>
      </c>
      <c r="AM39" s="876"/>
      <c r="AN39" s="879"/>
      <c r="AO39" s="868"/>
      <c r="AP39" s="851"/>
      <c r="AQ39" s="923">
        <f>'TAB 3 Project Cost'!AC55</f>
        <v>0</v>
      </c>
      <c r="AR39" s="924">
        <f>'TAB 3 Project Cost'!AD55</f>
        <v>0</v>
      </c>
      <c r="AS39" s="925">
        <f>'TAB 3 Project Cost'!AE55</f>
        <v>0</v>
      </c>
      <c r="AT39" s="923"/>
      <c r="AU39" s="924"/>
      <c r="AV39" s="924"/>
      <c r="AW39" s="925"/>
      <c r="AX39" s="749"/>
      <c r="AY39" s="749"/>
      <c r="AZ39" s="749"/>
      <c r="BA39" s="749"/>
      <c r="BB39" s="749"/>
      <c r="BC39" s="749"/>
      <c r="BD39" s="749"/>
      <c r="BE39" s="749"/>
      <c r="BF39" s="749"/>
      <c r="BG39" s="749"/>
      <c r="BH39" s="749"/>
      <c r="BI39" s="749"/>
      <c r="BJ39" s="749"/>
      <c r="BK39" s="749"/>
      <c r="BL39" s="749"/>
      <c r="BM39" s="749"/>
      <c r="BN39" s="749"/>
      <c r="BO39" s="749"/>
      <c r="BP39" s="749"/>
      <c r="BQ39" s="749"/>
      <c r="BR39" s="749"/>
      <c r="BS39" s="749"/>
      <c r="BT39" s="749"/>
      <c r="BU39" s="749"/>
      <c r="BV39" s="749"/>
      <c r="BW39" s="749"/>
      <c r="BX39" s="749"/>
      <c r="BY39" s="749"/>
      <c r="BZ39" s="749"/>
      <c r="CA39" s="749"/>
      <c r="CB39" s="749"/>
      <c r="CC39" s="749"/>
      <c r="CD39" s="749"/>
      <c r="CE39" s="749"/>
      <c r="CF39" s="749"/>
      <c r="CG39" s="749"/>
      <c r="CH39" s="749"/>
      <c r="CI39" s="749"/>
      <c r="CJ39" s="749"/>
      <c r="CK39" s="749"/>
      <c r="CL39" s="749"/>
      <c r="CM39" s="749"/>
      <c r="CN39" s="749"/>
      <c r="CO39" s="749"/>
      <c r="CP39" s="749"/>
      <c r="CQ39" s="749"/>
      <c r="CR39" s="749"/>
      <c r="CS39" s="749"/>
      <c r="CT39" s="749"/>
      <c r="CU39" s="749"/>
      <c r="CV39" s="749"/>
      <c r="CW39" s="749"/>
      <c r="CX39" s="749"/>
      <c r="CY39" s="749"/>
      <c r="CZ39" s="749"/>
      <c r="DA39" s="749"/>
      <c r="DB39" s="749"/>
      <c r="DC39" s="749"/>
      <c r="DD39" s="749"/>
      <c r="DE39" s="749"/>
      <c r="DF39" s="749"/>
      <c r="DG39" s="749"/>
      <c r="DH39" s="749"/>
      <c r="DI39" s="749"/>
      <c r="DJ39" s="749"/>
      <c r="DK39" s="749"/>
      <c r="DL39" s="749"/>
      <c r="DM39" s="749"/>
      <c r="DN39" s="749"/>
      <c r="DO39" s="749"/>
      <c r="DP39" s="749"/>
      <c r="DQ39" s="749"/>
      <c r="DR39" s="749"/>
      <c r="DS39" s="749"/>
      <c r="DT39" s="749"/>
      <c r="DU39" s="749"/>
      <c r="DV39" s="749"/>
      <c r="DW39" s="749"/>
      <c r="DX39" s="749"/>
      <c r="DY39" s="749"/>
      <c r="DZ39" s="749"/>
      <c r="EA39" s="749"/>
      <c r="EB39" s="749"/>
      <c r="EC39" s="749"/>
      <c r="ED39" s="749"/>
      <c r="EE39" s="749"/>
      <c r="EF39" s="749"/>
      <c r="EG39" s="749"/>
      <c r="EH39" s="749"/>
      <c r="EI39" s="749"/>
      <c r="EJ39" s="749"/>
      <c r="EK39" s="749"/>
      <c r="EL39" s="749"/>
      <c r="EM39" s="749"/>
      <c r="EN39" s="749"/>
      <c r="EO39" s="749"/>
      <c r="EP39" s="749"/>
      <c r="EQ39" s="749"/>
      <c r="ER39" s="749"/>
      <c r="ES39" s="749"/>
      <c r="ET39" s="749"/>
      <c r="EU39" s="749"/>
      <c r="EV39" s="749"/>
      <c r="EW39" s="749"/>
      <c r="EX39" s="749"/>
      <c r="EY39" s="749"/>
      <c r="EZ39" s="749"/>
      <c r="FA39" s="749"/>
      <c r="FB39" s="749"/>
      <c r="FC39" s="749"/>
      <c r="FD39" s="749"/>
      <c r="FE39" s="749"/>
      <c r="FF39" s="749"/>
      <c r="FG39" s="749"/>
      <c r="FH39" s="749"/>
      <c r="FI39" s="749"/>
      <c r="FJ39" s="749"/>
      <c r="FK39" s="749"/>
      <c r="FL39" s="749"/>
      <c r="FM39" s="749"/>
      <c r="FN39" s="749"/>
      <c r="FO39" s="749"/>
      <c r="FP39" s="749"/>
      <c r="FQ39" s="749"/>
      <c r="FR39" s="749"/>
      <c r="FS39" s="749"/>
      <c r="FT39" s="749"/>
      <c r="FU39" s="749"/>
      <c r="FV39" s="749"/>
      <c r="FW39" s="749"/>
      <c r="FX39" s="749"/>
      <c r="FY39" s="749"/>
      <c r="FZ39" s="749"/>
      <c r="GA39" s="749"/>
      <c r="GB39" s="749"/>
      <c r="GC39" s="749"/>
      <c r="GD39" s="749"/>
      <c r="GE39" s="749"/>
      <c r="GF39" s="749"/>
      <c r="GG39" s="749"/>
      <c r="GH39" s="749"/>
      <c r="GI39" s="749"/>
      <c r="GJ39" s="749"/>
      <c r="GK39" s="749"/>
      <c r="GL39" s="749"/>
      <c r="GM39" s="749"/>
      <c r="GN39" s="749"/>
      <c r="GO39" s="749"/>
      <c r="GP39" s="749"/>
      <c r="GQ39" s="749"/>
      <c r="GR39" s="749"/>
      <c r="GS39" s="749"/>
      <c r="GT39" s="749"/>
      <c r="GU39" s="749"/>
      <c r="GV39" s="749"/>
      <c r="GW39" s="749"/>
      <c r="GX39" s="749"/>
      <c r="GY39" s="749"/>
      <c r="GZ39" s="749"/>
      <c r="HA39" s="749"/>
      <c r="HB39" s="749"/>
      <c r="HC39" s="749"/>
      <c r="HD39" s="749"/>
      <c r="HE39" s="749"/>
      <c r="HF39" s="749"/>
      <c r="HG39" s="749"/>
      <c r="HH39" s="749"/>
      <c r="HI39" s="749"/>
      <c r="HJ39" s="749"/>
      <c r="HK39" s="749"/>
      <c r="HL39" s="749"/>
      <c r="HM39" s="749"/>
      <c r="HN39" s="749"/>
      <c r="HO39" s="749"/>
      <c r="HP39" s="749"/>
      <c r="HQ39" s="749"/>
      <c r="HR39" s="749"/>
      <c r="HS39" s="749"/>
      <c r="HT39" s="749"/>
      <c r="HU39" s="749"/>
      <c r="HV39" s="749"/>
      <c r="HW39" s="749"/>
      <c r="HX39" s="749"/>
      <c r="HY39" s="749"/>
      <c r="HZ39" s="749"/>
      <c r="IA39" s="749"/>
      <c r="IB39" s="749"/>
      <c r="IC39" s="749"/>
      <c r="ID39" s="749"/>
      <c r="IE39" s="749"/>
      <c r="IF39" s="749"/>
      <c r="IG39" s="749"/>
      <c r="IH39" s="749"/>
      <c r="II39" s="749"/>
      <c r="IJ39" s="749"/>
      <c r="IK39" s="749"/>
      <c r="IL39" s="749"/>
      <c r="IM39" s="749"/>
      <c r="IN39" s="749"/>
    </row>
    <row r="40" spans="1:248" ht="12.75">
      <c r="A40" s="3"/>
      <c r="B40" s="769"/>
      <c r="C40" s="2"/>
      <c r="D40" s="3" t="s">
        <v>7359</v>
      </c>
      <c r="E40" s="770"/>
      <c r="F40" s="770">
        <v>6.4999999999999997E-4</v>
      </c>
      <c r="G40" s="771">
        <f>SUM(F40*H27)</f>
        <v>27300</v>
      </c>
      <c r="H40" s="2"/>
      <c r="I40" s="771"/>
      <c r="J40" s="779"/>
      <c r="K40" s="3"/>
      <c r="L40" s="749"/>
      <c r="M40" s="3"/>
      <c r="N40" s="769"/>
      <c r="O40" s="2"/>
      <c r="P40" s="3" t="s">
        <v>7359</v>
      </c>
      <c r="Q40" s="770">
        <v>6.4999999999999997E-4</v>
      </c>
      <c r="R40" s="771">
        <f>SUM(Q40*T27)</f>
        <v>27300</v>
      </c>
      <c r="S40" s="771"/>
      <c r="V40" s="771">
        <f>R39+R40</f>
        <v>2127300</v>
      </c>
      <c r="W40" s="779"/>
      <c r="X40" s="779"/>
      <c r="Y40" s="779"/>
      <c r="Z40" s="779"/>
      <c r="AA40" s="779"/>
      <c r="AB40" s="779"/>
      <c r="AC40" s="901"/>
      <c r="AD40" s="877"/>
      <c r="AE40" s="836"/>
      <c r="AF40" s="838"/>
      <c r="AG40" s="872"/>
      <c r="AH40" s="838"/>
      <c r="AI40" s="872"/>
      <c r="AJ40" s="838"/>
      <c r="AK40" s="872"/>
      <c r="AL40" s="838"/>
      <c r="AM40" s="872"/>
      <c r="AN40" s="838"/>
      <c r="AO40" s="836"/>
      <c r="AP40" s="844"/>
      <c r="AQ40" s="920"/>
      <c r="AR40" s="921"/>
      <c r="AS40" s="922"/>
      <c r="AT40" s="920"/>
      <c r="AU40" s="921"/>
      <c r="AV40" s="921"/>
      <c r="AW40" s="922"/>
      <c r="AX40" s="749"/>
      <c r="AY40" s="749"/>
      <c r="AZ40" s="749"/>
      <c r="BA40" s="749"/>
      <c r="BB40" s="749"/>
      <c r="BC40" s="749"/>
      <c r="BD40" s="749"/>
      <c r="BE40" s="749"/>
      <c r="BF40" s="749"/>
      <c r="BG40" s="749"/>
      <c r="BH40" s="749"/>
      <c r="BI40" s="749"/>
      <c r="BJ40" s="749"/>
      <c r="BK40" s="749"/>
      <c r="BL40" s="749"/>
      <c r="BM40" s="749"/>
      <c r="BN40" s="749"/>
      <c r="BO40" s="749"/>
      <c r="BP40" s="749"/>
      <c r="BQ40" s="749"/>
      <c r="BR40" s="749"/>
      <c r="BS40" s="749"/>
      <c r="BT40" s="749"/>
      <c r="BU40" s="749"/>
      <c r="BV40" s="749"/>
      <c r="BW40" s="749"/>
      <c r="BX40" s="749"/>
      <c r="BY40" s="749"/>
      <c r="BZ40" s="749"/>
      <c r="CA40" s="749"/>
      <c r="CB40" s="749"/>
      <c r="CC40" s="749"/>
      <c r="CD40" s="749"/>
      <c r="CE40" s="749"/>
      <c r="CF40" s="749"/>
      <c r="CG40" s="749"/>
      <c r="CH40" s="749"/>
      <c r="CI40" s="749"/>
      <c r="CJ40" s="749"/>
      <c r="CK40" s="749"/>
      <c r="CL40" s="749"/>
      <c r="CM40" s="749"/>
      <c r="CN40" s="749"/>
      <c r="CO40" s="749"/>
      <c r="CP40" s="749"/>
      <c r="CQ40" s="749"/>
      <c r="CR40" s="749"/>
      <c r="CS40" s="749"/>
      <c r="CT40" s="749"/>
      <c r="CU40" s="749"/>
      <c r="CV40" s="749"/>
      <c r="CW40" s="749"/>
      <c r="CX40" s="749"/>
      <c r="CY40" s="749"/>
      <c r="CZ40" s="749"/>
      <c r="DA40" s="749"/>
      <c r="DB40" s="749"/>
      <c r="DC40" s="749"/>
      <c r="DD40" s="749"/>
      <c r="DE40" s="749"/>
      <c r="DF40" s="749"/>
      <c r="DG40" s="749"/>
      <c r="DH40" s="749"/>
      <c r="DI40" s="749"/>
      <c r="DJ40" s="749"/>
      <c r="DK40" s="749"/>
      <c r="DL40" s="749"/>
      <c r="DM40" s="749"/>
      <c r="DN40" s="749"/>
      <c r="DO40" s="749"/>
      <c r="DP40" s="749"/>
      <c r="DQ40" s="749"/>
      <c r="DR40" s="749"/>
      <c r="DS40" s="749"/>
      <c r="DT40" s="749"/>
      <c r="DU40" s="749"/>
      <c r="DV40" s="749"/>
      <c r="DW40" s="749"/>
      <c r="DX40" s="749"/>
      <c r="DY40" s="749"/>
      <c r="DZ40" s="749"/>
      <c r="EA40" s="749"/>
      <c r="EB40" s="749"/>
      <c r="EC40" s="749"/>
      <c r="ED40" s="749"/>
      <c r="EE40" s="749"/>
      <c r="EF40" s="749"/>
      <c r="EG40" s="749"/>
      <c r="EH40" s="749"/>
      <c r="EI40" s="749"/>
      <c r="EJ40" s="749"/>
      <c r="EK40" s="749"/>
      <c r="EL40" s="749"/>
      <c r="EM40" s="749"/>
      <c r="EN40" s="749"/>
      <c r="EO40" s="749"/>
      <c r="EP40" s="749"/>
      <c r="EQ40" s="749"/>
      <c r="ER40" s="749"/>
      <c r="ES40" s="749"/>
      <c r="ET40" s="749"/>
      <c r="EU40" s="749"/>
      <c r="EV40" s="749"/>
      <c r="EW40" s="749"/>
      <c r="EX40" s="749"/>
      <c r="EY40" s="749"/>
      <c r="EZ40" s="749"/>
      <c r="FA40" s="749"/>
      <c r="FB40" s="749"/>
      <c r="FC40" s="749"/>
      <c r="FD40" s="749"/>
      <c r="FE40" s="749"/>
      <c r="FF40" s="749"/>
      <c r="FG40" s="749"/>
      <c r="FH40" s="749"/>
      <c r="FI40" s="749"/>
      <c r="FJ40" s="749"/>
      <c r="FK40" s="749"/>
      <c r="FL40" s="749"/>
      <c r="FM40" s="749"/>
      <c r="FN40" s="749"/>
      <c r="FO40" s="749"/>
      <c r="FP40" s="749"/>
      <c r="FQ40" s="749"/>
      <c r="FR40" s="749"/>
      <c r="FS40" s="749"/>
      <c r="FT40" s="749"/>
      <c r="FU40" s="749"/>
      <c r="FV40" s="749"/>
      <c r="FW40" s="749"/>
      <c r="FX40" s="749"/>
      <c r="FY40" s="749"/>
      <c r="FZ40" s="749"/>
      <c r="GA40" s="749"/>
      <c r="GB40" s="749"/>
      <c r="GC40" s="749"/>
      <c r="GD40" s="749"/>
      <c r="GE40" s="749"/>
      <c r="GF40" s="749"/>
      <c r="GG40" s="749"/>
      <c r="GH40" s="749"/>
      <c r="GI40" s="749"/>
      <c r="GJ40" s="749"/>
      <c r="GK40" s="749"/>
      <c r="GL40" s="749"/>
      <c r="GM40" s="749"/>
      <c r="GN40" s="749"/>
      <c r="GO40" s="749"/>
      <c r="GP40" s="749"/>
      <c r="GQ40" s="749"/>
      <c r="GR40" s="749"/>
      <c r="GS40" s="749"/>
      <c r="GT40" s="749"/>
      <c r="GU40" s="749"/>
      <c r="GV40" s="749"/>
      <c r="GW40" s="749"/>
      <c r="GX40" s="749"/>
      <c r="GY40" s="749"/>
      <c r="GZ40" s="749"/>
      <c r="HA40" s="749"/>
      <c r="HB40" s="749"/>
      <c r="HC40" s="749"/>
      <c r="HD40" s="749"/>
      <c r="HE40" s="749"/>
      <c r="HF40" s="749"/>
      <c r="HG40" s="749"/>
      <c r="HH40" s="749"/>
      <c r="HI40" s="749"/>
      <c r="HJ40" s="749"/>
      <c r="HK40" s="749"/>
      <c r="HL40" s="749"/>
      <c r="HM40" s="749"/>
      <c r="HN40" s="749"/>
      <c r="HO40" s="749"/>
      <c r="HP40" s="749"/>
      <c r="HQ40" s="749"/>
      <c r="HR40" s="749"/>
      <c r="HS40" s="749"/>
      <c r="HT40" s="749"/>
      <c r="HU40" s="749"/>
      <c r="HV40" s="749"/>
      <c r="HW40" s="749"/>
      <c r="HX40" s="749"/>
      <c r="HY40" s="749"/>
      <c r="HZ40" s="749"/>
      <c r="IA40" s="749"/>
      <c r="IB40" s="749"/>
      <c r="IC40" s="749"/>
      <c r="ID40" s="749"/>
      <c r="IE40" s="749"/>
      <c r="IF40" s="749"/>
      <c r="IG40" s="749"/>
      <c r="IH40" s="749"/>
      <c r="II40" s="749"/>
      <c r="IJ40" s="749"/>
      <c r="IK40" s="749"/>
      <c r="IL40" s="749"/>
      <c r="IM40" s="749"/>
      <c r="IN40" s="749"/>
    </row>
    <row r="41" spans="1:248" ht="12.75">
      <c r="A41" s="3"/>
      <c r="B41" s="769" t="s">
        <v>221</v>
      </c>
      <c r="C41" s="3" t="s">
        <v>7360</v>
      </c>
      <c r="D41" s="3"/>
      <c r="E41" s="770"/>
      <c r="F41" s="770">
        <v>2.2499999999999999E-2</v>
      </c>
      <c r="G41" s="771">
        <f>SUM(F41*H27)</f>
        <v>945000</v>
      </c>
      <c r="I41" s="771"/>
      <c r="L41" s="749"/>
      <c r="O41" s="3" t="s">
        <v>7541</v>
      </c>
      <c r="W41" s="771">
        <f>R42+R43</f>
        <v>980700</v>
      </c>
      <c r="X41" s="771"/>
      <c r="Y41" s="771"/>
      <c r="Z41" s="771"/>
      <c r="AA41" s="771"/>
      <c r="AC41" s="856" t="s">
        <v>7547</v>
      </c>
      <c r="AD41" s="879"/>
      <c r="AE41" s="885"/>
      <c r="AF41" s="879">
        <f>AH41+AN41+AO41+AP41</f>
        <v>0</v>
      </c>
      <c r="AG41" s="876"/>
      <c r="AH41" s="879">
        <f t="shared" ref="AH41" si="8">AJ41+AL41</f>
        <v>0</v>
      </c>
      <c r="AI41" s="876">
        <f>'TAB 3 Project Cost'!F25</f>
        <v>0.02</v>
      </c>
      <c r="AJ41" s="879">
        <f>'TAB 3 Project Cost'!G25</f>
        <v>0</v>
      </c>
      <c r="AK41" s="876">
        <f>'TAB 3 Project Cost'!F56</f>
        <v>0.02</v>
      </c>
      <c r="AL41" s="879">
        <f>'TAB 3 Project Cost'!G56</f>
        <v>0</v>
      </c>
      <c r="AM41" s="876"/>
      <c r="AN41" s="879"/>
      <c r="AO41" s="868"/>
      <c r="AP41" s="851"/>
      <c r="AQ41" s="923">
        <f>'TAB 3 Project Cost'!AC56</f>
        <v>0</v>
      </c>
      <c r="AR41" s="924">
        <f>'TAB 3 Project Cost'!AD56</f>
        <v>0</v>
      </c>
      <c r="AS41" s="925">
        <f>'TAB 3 Project Cost'!AE56</f>
        <v>0</v>
      </c>
      <c r="AT41" s="923"/>
      <c r="AU41" s="924"/>
      <c r="AV41" s="924"/>
      <c r="AW41" s="925"/>
      <c r="AX41" s="749"/>
      <c r="AY41" s="749"/>
      <c r="AZ41" s="749"/>
      <c r="BA41" s="749"/>
      <c r="BB41" s="749"/>
      <c r="BC41" s="749"/>
      <c r="BD41" s="749"/>
      <c r="BE41" s="749"/>
      <c r="BF41" s="749"/>
      <c r="BG41" s="749"/>
      <c r="BH41" s="749"/>
      <c r="BI41" s="749"/>
      <c r="BJ41" s="749"/>
      <c r="BK41" s="749"/>
      <c r="BL41" s="749"/>
      <c r="BM41" s="749"/>
      <c r="BN41" s="749"/>
      <c r="BO41" s="749"/>
      <c r="BP41" s="749"/>
      <c r="BQ41" s="749"/>
      <c r="BR41" s="749"/>
      <c r="BS41" s="749"/>
      <c r="BT41" s="749"/>
      <c r="BU41" s="749"/>
      <c r="BV41" s="749"/>
      <c r="BW41" s="749"/>
      <c r="BX41" s="749"/>
      <c r="BY41" s="749"/>
      <c r="BZ41" s="749"/>
      <c r="CA41" s="749"/>
      <c r="CB41" s="749"/>
      <c r="CC41" s="749"/>
      <c r="CD41" s="749"/>
      <c r="CE41" s="749"/>
      <c r="CF41" s="749"/>
      <c r="CG41" s="749"/>
      <c r="CH41" s="749"/>
      <c r="CI41" s="749"/>
      <c r="CJ41" s="749"/>
      <c r="CK41" s="749"/>
      <c r="CL41" s="749"/>
      <c r="CM41" s="749"/>
      <c r="CN41" s="749"/>
      <c r="CO41" s="749"/>
      <c r="CP41" s="749"/>
      <c r="CQ41" s="749"/>
      <c r="CR41" s="749"/>
      <c r="CS41" s="749"/>
      <c r="CT41" s="749"/>
      <c r="CU41" s="749"/>
      <c r="CV41" s="749"/>
      <c r="CW41" s="749"/>
      <c r="CX41" s="749"/>
      <c r="CY41" s="749"/>
      <c r="CZ41" s="749"/>
      <c r="DA41" s="749"/>
      <c r="DB41" s="749"/>
      <c r="DC41" s="749"/>
      <c r="DD41" s="749"/>
      <c r="DE41" s="749"/>
      <c r="DF41" s="749"/>
      <c r="DG41" s="749"/>
      <c r="DH41" s="749"/>
      <c r="DI41" s="749"/>
      <c r="DJ41" s="749"/>
      <c r="DK41" s="749"/>
      <c r="DL41" s="749"/>
      <c r="DM41" s="749"/>
      <c r="DN41" s="749"/>
      <c r="DO41" s="749"/>
      <c r="DP41" s="749"/>
      <c r="DQ41" s="749"/>
      <c r="DR41" s="749"/>
      <c r="DS41" s="749"/>
      <c r="DT41" s="749"/>
      <c r="DU41" s="749"/>
      <c r="DV41" s="749"/>
      <c r="DW41" s="749"/>
      <c r="DX41" s="749"/>
      <c r="DY41" s="749"/>
      <c r="DZ41" s="749"/>
      <c r="EA41" s="749"/>
      <c r="EB41" s="749"/>
      <c r="EC41" s="749"/>
      <c r="ED41" s="749"/>
      <c r="EE41" s="749"/>
      <c r="EF41" s="749"/>
      <c r="EG41" s="749"/>
      <c r="EH41" s="749"/>
      <c r="EI41" s="749"/>
      <c r="EJ41" s="749"/>
      <c r="EK41" s="749"/>
      <c r="EL41" s="749"/>
      <c r="EM41" s="749"/>
      <c r="EN41" s="749"/>
      <c r="EO41" s="749"/>
      <c r="EP41" s="749"/>
      <c r="EQ41" s="749"/>
      <c r="ER41" s="749"/>
      <c r="ES41" s="749"/>
      <c r="ET41" s="749"/>
      <c r="EU41" s="749"/>
      <c r="EV41" s="749"/>
      <c r="EW41" s="749"/>
      <c r="EX41" s="749"/>
      <c r="EY41" s="749"/>
      <c r="EZ41" s="749"/>
      <c r="FA41" s="749"/>
      <c r="FB41" s="749"/>
      <c r="FC41" s="749"/>
      <c r="FD41" s="749"/>
      <c r="FE41" s="749"/>
      <c r="FF41" s="749"/>
      <c r="FG41" s="749"/>
      <c r="FH41" s="749"/>
      <c r="FI41" s="749"/>
      <c r="FJ41" s="749"/>
      <c r="FK41" s="749"/>
      <c r="FL41" s="749"/>
      <c r="FM41" s="749"/>
      <c r="FN41" s="749"/>
      <c r="FO41" s="749"/>
      <c r="FP41" s="749"/>
      <c r="FQ41" s="749"/>
      <c r="FR41" s="749"/>
      <c r="FS41" s="749"/>
      <c r="FT41" s="749"/>
      <c r="FU41" s="749"/>
      <c r="FV41" s="749"/>
      <c r="FW41" s="749"/>
      <c r="FX41" s="749"/>
      <c r="FY41" s="749"/>
      <c r="FZ41" s="749"/>
      <c r="GA41" s="749"/>
      <c r="GB41" s="749"/>
      <c r="GC41" s="749"/>
      <c r="GD41" s="749"/>
      <c r="GE41" s="749"/>
      <c r="GF41" s="749"/>
      <c r="GG41" s="749"/>
      <c r="GH41" s="749"/>
      <c r="GI41" s="749"/>
      <c r="GJ41" s="749"/>
      <c r="GK41" s="749"/>
      <c r="GL41" s="749"/>
      <c r="GM41" s="749"/>
      <c r="GN41" s="749"/>
      <c r="GO41" s="749"/>
      <c r="GP41" s="749"/>
      <c r="GQ41" s="749"/>
      <c r="GR41" s="749"/>
      <c r="GS41" s="749"/>
      <c r="GT41" s="749"/>
      <c r="GU41" s="749"/>
      <c r="GV41" s="749"/>
      <c r="GW41" s="749"/>
      <c r="GX41" s="749"/>
      <c r="GY41" s="749"/>
      <c r="GZ41" s="749"/>
      <c r="HA41" s="749"/>
      <c r="HB41" s="749"/>
      <c r="HC41" s="749"/>
      <c r="HD41" s="749"/>
      <c r="HE41" s="749"/>
      <c r="HF41" s="749"/>
      <c r="HG41" s="749"/>
      <c r="HH41" s="749"/>
      <c r="HI41" s="749"/>
      <c r="HJ41" s="749"/>
      <c r="HK41" s="749"/>
      <c r="HL41" s="749"/>
      <c r="HM41" s="749"/>
      <c r="HN41" s="749"/>
      <c r="HO41" s="749"/>
      <c r="HP41" s="749"/>
      <c r="HQ41" s="749"/>
      <c r="HR41" s="749"/>
      <c r="HS41" s="749"/>
      <c r="HT41" s="749"/>
      <c r="HU41" s="749"/>
      <c r="HV41" s="749"/>
      <c r="HW41" s="749"/>
      <c r="HX41" s="749"/>
      <c r="HY41" s="749"/>
      <c r="HZ41" s="749"/>
      <c r="IA41" s="749"/>
      <c r="IB41" s="749"/>
      <c r="IC41" s="749"/>
      <c r="ID41" s="749"/>
      <c r="IE41" s="749"/>
      <c r="IF41" s="749"/>
      <c r="IG41" s="749"/>
      <c r="IH41" s="749"/>
      <c r="II41" s="749"/>
      <c r="IJ41" s="749"/>
      <c r="IK41" s="749"/>
      <c r="IL41" s="749"/>
      <c r="IM41" s="749"/>
      <c r="IN41" s="749"/>
    </row>
    <row r="42" spans="1:248" ht="12.75">
      <c r="A42" s="3"/>
      <c r="B42" s="769"/>
      <c r="C42" s="3"/>
      <c r="D42" s="3" t="s">
        <v>7361</v>
      </c>
      <c r="E42" s="770"/>
      <c r="F42" s="770">
        <v>8.4999999999999995E-4</v>
      </c>
      <c r="G42" s="771">
        <f>SUM(F42*H27)</f>
        <v>35700</v>
      </c>
      <c r="H42" s="2"/>
      <c r="I42" s="771"/>
      <c r="J42" s="780"/>
      <c r="K42" s="779"/>
      <c r="L42" s="749"/>
      <c r="M42" s="3"/>
      <c r="P42" s="3" t="s">
        <v>7518</v>
      </c>
      <c r="Q42" s="770">
        <v>2.2499999999999999E-2</v>
      </c>
      <c r="R42" s="771">
        <f>SUM(Q42*T27)</f>
        <v>945000</v>
      </c>
      <c r="S42" s="771"/>
      <c r="X42" s="780"/>
      <c r="Y42" s="780"/>
      <c r="Z42" s="780"/>
      <c r="AA42" s="780"/>
      <c r="AB42" s="780"/>
      <c r="AC42" s="855"/>
      <c r="AD42" s="838"/>
      <c r="AE42" s="836"/>
      <c r="AF42" s="838"/>
      <c r="AG42" s="872"/>
      <c r="AH42" s="838"/>
      <c r="AI42" s="872"/>
      <c r="AJ42" s="838"/>
      <c r="AK42" s="872"/>
      <c r="AL42" s="838"/>
      <c r="AM42" s="872"/>
      <c r="AN42" s="838"/>
      <c r="AO42" s="836"/>
      <c r="AP42" s="844"/>
      <c r="AQ42" s="920"/>
      <c r="AR42" s="921"/>
      <c r="AS42" s="922"/>
      <c r="AT42" s="920"/>
      <c r="AU42" s="921"/>
      <c r="AV42" s="921"/>
      <c r="AW42" s="922"/>
      <c r="AX42" s="749"/>
      <c r="AY42" s="749"/>
      <c r="AZ42" s="749"/>
      <c r="BA42" s="749"/>
      <c r="BB42" s="749"/>
      <c r="BC42" s="749"/>
      <c r="BD42" s="749"/>
      <c r="BE42" s="749"/>
      <c r="BF42" s="749"/>
      <c r="BG42" s="749"/>
      <c r="BH42" s="749"/>
      <c r="BI42" s="749"/>
      <c r="BJ42" s="749"/>
      <c r="BK42" s="749"/>
      <c r="BL42" s="749"/>
      <c r="BM42" s="749"/>
      <c r="BN42" s="749"/>
      <c r="BO42" s="749"/>
      <c r="BP42" s="749"/>
      <c r="BQ42" s="749"/>
      <c r="BR42" s="749"/>
      <c r="BS42" s="749"/>
      <c r="BT42" s="749"/>
      <c r="BU42" s="749"/>
      <c r="BV42" s="749"/>
      <c r="BW42" s="749"/>
      <c r="BX42" s="749"/>
      <c r="BY42" s="749"/>
      <c r="BZ42" s="749"/>
      <c r="CA42" s="749"/>
      <c r="CB42" s="749"/>
      <c r="CC42" s="749"/>
      <c r="CD42" s="749"/>
      <c r="CE42" s="749"/>
      <c r="CF42" s="749"/>
      <c r="CG42" s="749"/>
      <c r="CH42" s="749"/>
      <c r="CI42" s="749"/>
      <c r="CJ42" s="749"/>
      <c r="CK42" s="749"/>
      <c r="CL42" s="749"/>
      <c r="CM42" s="749"/>
      <c r="CN42" s="749"/>
      <c r="CO42" s="749"/>
      <c r="CP42" s="749"/>
      <c r="CQ42" s="749"/>
      <c r="CR42" s="749"/>
      <c r="CS42" s="749"/>
      <c r="CT42" s="749"/>
      <c r="CU42" s="749"/>
      <c r="CV42" s="749"/>
      <c r="CW42" s="749"/>
      <c r="CX42" s="749"/>
      <c r="CY42" s="749"/>
      <c r="CZ42" s="749"/>
      <c r="DA42" s="749"/>
      <c r="DB42" s="749"/>
      <c r="DC42" s="749"/>
      <c r="DD42" s="749"/>
      <c r="DE42" s="749"/>
      <c r="DF42" s="749"/>
      <c r="DG42" s="749"/>
      <c r="DH42" s="749"/>
      <c r="DI42" s="749"/>
      <c r="DJ42" s="749"/>
      <c r="DK42" s="749"/>
      <c r="DL42" s="749"/>
      <c r="DM42" s="749"/>
      <c r="DN42" s="749"/>
      <c r="DO42" s="749"/>
      <c r="DP42" s="749"/>
      <c r="DQ42" s="749"/>
      <c r="DR42" s="749"/>
      <c r="DS42" s="749"/>
      <c r="DT42" s="749"/>
      <c r="DU42" s="749"/>
      <c r="DV42" s="749"/>
      <c r="DW42" s="749"/>
      <c r="DX42" s="749"/>
      <c r="DY42" s="749"/>
      <c r="DZ42" s="749"/>
      <c r="EA42" s="749"/>
      <c r="EB42" s="749"/>
      <c r="EC42" s="749"/>
      <c r="ED42" s="749"/>
      <c r="EE42" s="749"/>
      <c r="EF42" s="749"/>
      <c r="EG42" s="749"/>
      <c r="EH42" s="749"/>
      <c r="EI42" s="749"/>
      <c r="EJ42" s="749"/>
      <c r="EK42" s="749"/>
      <c r="EL42" s="749"/>
      <c r="EM42" s="749"/>
      <c r="EN42" s="749"/>
      <c r="EO42" s="749"/>
      <c r="EP42" s="749"/>
      <c r="EQ42" s="749"/>
      <c r="ER42" s="749"/>
      <c r="ES42" s="749"/>
      <c r="ET42" s="749"/>
      <c r="EU42" s="749"/>
      <c r="EV42" s="749"/>
      <c r="EW42" s="749"/>
      <c r="EX42" s="749"/>
      <c r="EY42" s="749"/>
      <c r="EZ42" s="749"/>
      <c r="FA42" s="749"/>
      <c r="FB42" s="749"/>
      <c r="FC42" s="749"/>
      <c r="FD42" s="749"/>
      <c r="FE42" s="749"/>
      <c r="FF42" s="749"/>
      <c r="FG42" s="749"/>
      <c r="FH42" s="749"/>
      <c r="FI42" s="749"/>
      <c r="FJ42" s="749"/>
      <c r="FK42" s="749"/>
      <c r="FL42" s="749"/>
      <c r="FM42" s="749"/>
      <c r="FN42" s="749"/>
      <c r="FO42" s="749"/>
      <c r="FP42" s="749"/>
      <c r="FQ42" s="749"/>
      <c r="FR42" s="749"/>
      <c r="FS42" s="749"/>
      <c r="FT42" s="749"/>
      <c r="FU42" s="749"/>
      <c r="FV42" s="749"/>
      <c r="FW42" s="749"/>
      <c r="FX42" s="749"/>
      <c r="FY42" s="749"/>
      <c r="FZ42" s="749"/>
      <c r="GA42" s="749"/>
      <c r="GB42" s="749"/>
      <c r="GC42" s="749"/>
      <c r="GD42" s="749"/>
      <c r="GE42" s="749"/>
      <c r="GF42" s="749"/>
      <c r="GG42" s="749"/>
      <c r="GH42" s="749"/>
      <c r="GI42" s="749"/>
      <c r="GJ42" s="749"/>
      <c r="GK42" s="749"/>
      <c r="GL42" s="749"/>
      <c r="GM42" s="749"/>
      <c r="GN42" s="749"/>
      <c r="GO42" s="749"/>
      <c r="GP42" s="749"/>
      <c r="GQ42" s="749"/>
      <c r="GR42" s="749"/>
      <c r="GS42" s="749"/>
      <c r="GT42" s="749"/>
      <c r="GU42" s="749"/>
      <c r="GV42" s="749"/>
      <c r="GW42" s="749"/>
      <c r="GX42" s="749"/>
      <c r="GY42" s="749"/>
      <c r="GZ42" s="749"/>
      <c r="HA42" s="749"/>
      <c r="HB42" s="749"/>
      <c r="HC42" s="749"/>
      <c r="HD42" s="749"/>
      <c r="HE42" s="749"/>
      <c r="HF42" s="749"/>
      <c r="HG42" s="749"/>
      <c r="HH42" s="749"/>
      <c r="HI42" s="749"/>
      <c r="HJ42" s="749"/>
      <c r="HK42" s="749"/>
      <c r="HL42" s="749"/>
      <c r="HM42" s="749"/>
      <c r="HN42" s="749"/>
      <c r="HO42" s="749"/>
      <c r="HP42" s="749"/>
      <c r="HQ42" s="749"/>
      <c r="HR42" s="749"/>
      <c r="HS42" s="749"/>
      <c r="HT42" s="749"/>
      <c r="HU42" s="749"/>
      <c r="HV42" s="749"/>
      <c r="HW42" s="749"/>
      <c r="HX42" s="749"/>
      <c r="HY42" s="749"/>
      <c r="HZ42" s="749"/>
      <c r="IA42" s="749"/>
      <c r="IB42" s="749"/>
      <c r="IC42" s="749"/>
      <c r="ID42" s="749"/>
      <c r="IE42" s="749"/>
      <c r="IF42" s="749"/>
      <c r="IG42" s="749"/>
      <c r="IH42" s="749"/>
      <c r="II42" s="749"/>
      <c r="IJ42" s="749"/>
      <c r="IK42" s="749"/>
      <c r="IL42" s="749"/>
      <c r="IM42" s="749"/>
      <c r="IN42" s="749"/>
    </row>
    <row r="43" spans="1:248" ht="12.75">
      <c r="A43" s="3"/>
      <c r="B43" s="769" t="s">
        <v>222</v>
      </c>
      <c r="C43" s="3" t="s">
        <v>7362</v>
      </c>
      <c r="D43" s="3"/>
      <c r="E43" s="3"/>
      <c r="F43" s="770"/>
      <c r="G43" s="771"/>
      <c r="H43" s="3"/>
      <c r="I43" s="771"/>
      <c r="J43" s="3"/>
      <c r="K43" s="3"/>
      <c r="L43" s="749"/>
      <c r="M43" s="3"/>
      <c r="N43" s="769" t="s">
        <v>221</v>
      </c>
      <c r="O43" s="3"/>
      <c r="P43" s="3" t="s">
        <v>7361</v>
      </c>
      <c r="Q43" s="770">
        <v>8.4999999999999995E-4</v>
      </c>
      <c r="R43" s="771">
        <f>SUM(Q43*T27)</f>
        <v>35700</v>
      </c>
      <c r="S43" s="771"/>
      <c r="V43" s="771"/>
      <c r="W43" s="780"/>
      <c r="X43" s="771"/>
      <c r="Y43" s="771"/>
      <c r="Z43" s="771"/>
      <c r="AA43" s="771"/>
      <c r="AB43" s="3"/>
      <c r="AC43" s="856" t="s">
        <v>417</v>
      </c>
      <c r="AD43" s="879"/>
      <c r="AE43" s="885"/>
      <c r="AF43" s="879">
        <f>AH43+AN43+AO43+AP43</f>
        <v>372000</v>
      </c>
      <c r="AG43" s="876"/>
      <c r="AH43" s="879">
        <v>372000</v>
      </c>
      <c r="AI43" s="876">
        <f>'TAB 3 Project Cost'!F26</f>
        <v>1.4999999999999999E-2</v>
      </c>
      <c r="AJ43" s="879">
        <f>'TAB 3 Project Cost'!G26</f>
        <v>0</v>
      </c>
      <c r="AK43" s="876">
        <f>'TAB 3 Project Cost'!F57</f>
        <v>0.01</v>
      </c>
      <c r="AL43" s="879">
        <f>'TAB 3 Project Cost'!G57</f>
        <v>0</v>
      </c>
      <c r="AM43" s="876"/>
      <c r="AN43" s="879"/>
      <c r="AO43" s="868"/>
      <c r="AP43" s="851"/>
      <c r="AQ43" s="923">
        <f>'TAB 3 Project Cost'!AC57</f>
        <v>0</v>
      </c>
      <c r="AR43" s="924">
        <f>'TAB 3 Project Cost'!AD57</f>
        <v>0</v>
      </c>
      <c r="AS43" s="925">
        <f>'TAB 3 Project Cost'!AE57</f>
        <v>0</v>
      </c>
      <c r="AT43" s="923"/>
      <c r="AU43" s="924"/>
      <c r="AV43" s="924"/>
      <c r="AW43" s="925"/>
      <c r="AX43" s="749"/>
      <c r="AY43" s="749"/>
      <c r="AZ43" s="749"/>
      <c r="BA43" s="749"/>
      <c r="BB43" s="749"/>
      <c r="BC43" s="749"/>
      <c r="BD43" s="749"/>
      <c r="BE43" s="749"/>
      <c r="BF43" s="749"/>
      <c r="BG43" s="749"/>
      <c r="BH43" s="749"/>
      <c r="BI43" s="749"/>
      <c r="BJ43" s="749"/>
      <c r="BK43" s="749"/>
      <c r="BL43" s="749"/>
      <c r="BM43" s="749"/>
      <c r="BN43" s="749"/>
      <c r="BO43" s="749"/>
      <c r="BP43" s="749"/>
      <c r="BQ43" s="749"/>
      <c r="BR43" s="749"/>
      <c r="BS43" s="749"/>
      <c r="BT43" s="749"/>
      <c r="BU43" s="749"/>
      <c r="BV43" s="749"/>
      <c r="BW43" s="749"/>
      <c r="BX43" s="749"/>
      <c r="BY43" s="749"/>
      <c r="BZ43" s="749"/>
      <c r="CA43" s="749"/>
      <c r="CB43" s="749"/>
      <c r="CC43" s="749"/>
      <c r="CD43" s="749"/>
      <c r="CE43" s="749"/>
      <c r="CF43" s="749"/>
      <c r="CG43" s="749"/>
      <c r="CH43" s="749"/>
      <c r="CI43" s="749"/>
      <c r="CJ43" s="749"/>
      <c r="CK43" s="749"/>
      <c r="CL43" s="749"/>
      <c r="CM43" s="749"/>
      <c r="CN43" s="749"/>
      <c r="CO43" s="749"/>
      <c r="CP43" s="749"/>
      <c r="CQ43" s="749"/>
      <c r="CR43" s="749"/>
      <c r="CS43" s="749"/>
      <c r="CT43" s="749"/>
      <c r="CU43" s="749"/>
      <c r="CV43" s="749"/>
      <c r="CW43" s="749"/>
      <c r="CX43" s="749"/>
      <c r="CY43" s="749"/>
      <c r="CZ43" s="749"/>
      <c r="DA43" s="749"/>
      <c r="DB43" s="749"/>
      <c r="DC43" s="749"/>
      <c r="DD43" s="749"/>
      <c r="DE43" s="749"/>
      <c r="DF43" s="749"/>
      <c r="DG43" s="749"/>
      <c r="DH43" s="749"/>
      <c r="DI43" s="749"/>
      <c r="DJ43" s="749"/>
      <c r="DK43" s="749"/>
      <c r="DL43" s="749"/>
      <c r="DM43" s="749"/>
      <c r="DN43" s="749"/>
      <c r="DO43" s="749"/>
      <c r="DP43" s="749"/>
      <c r="DQ43" s="749"/>
      <c r="DR43" s="749"/>
      <c r="DS43" s="749"/>
      <c r="DT43" s="749"/>
      <c r="DU43" s="749"/>
      <c r="DV43" s="749"/>
      <c r="DW43" s="749"/>
      <c r="DX43" s="749"/>
      <c r="DY43" s="749"/>
      <c r="DZ43" s="749"/>
      <c r="EA43" s="749"/>
      <c r="EB43" s="749"/>
      <c r="EC43" s="749"/>
      <c r="ED43" s="749"/>
      <c r="EE43" s="749"/>
      <c r="EF43" s="749"/>
      <c r="EG43" s="749"/>
      <c r="EH43" s="749"/>
      <c r="EI43" s="749"/>
      <c r="EJ43" s="749"/>
      <c r="EK43" s="749"/>
      <c r="EL43" s="749"/>
      <c r="EM43" s="749"/>
      <c r="EN43" s="749"/>
      <c r="EO43" s="749"/>
      <c r="EP43" s="749"/>
      <c r="EQ43" s="749"/>
      <c r="ER43" s="749"/>
      <c r="ES43" s="749"/>
      <c r="ET43" s="749"/>
      <c r="EU43" s="749"/>
      <c r="EV43" s="749"/>
      <c r="EW43" s="749"/>
      <c r="EX43" s="749"/>
      <c r="EY43" s="749"/>
      <c r="EZ43" s="749"/>
      <c r="FA43" s="749"/>
      <c r="FB43" s="749"/>
      <c r="FC43" s="749"/>
      <c r="FD43" s="749"/>
      <c r="FE43" s="749"/>
      <c r="FF43" s="749"/>
      <c r="FG43" s="749"/>
      <c r="FH43" s="749"/>
      <c r="FI43" s="749"/>
      <c r="FJ43" s="749"/>
      <c r="FK43" s="749"/>
      <c r="FL43" s="749"/>
      <c r="FM43" s="749"/>
      <c r="FN43" s="749"/>
      <c r="FO43" s="749"/>
      <c r="FP43" s="749"/>
      <c r="FQ43" s="749"/>
      <c r="FR43" s="749"/>
      <c r="FS43" s="749"/>
      <c r="FT43" s="749"/>
      <c r="FU43" s="749"/>
      <c r="FV43" s="749"/>
      <c r="FW43" s="749"/>
      <c r="FX43" s="749"/>
      <c r="FY43" s="749"/>
      <c r="FZ43" s="749"/>
      <c r="GA43" s="749"/>
      <c r="GB43" s="749"/>
      <c r="GC43" s="749"/>
      <c r="GD43" s="749"/>
      <c r="GE43" s="749"/>
      <c r="GF43" s="749"/>
      <c r="GG43" s="749"/>
      <c r="GH43" s="749"/>
      <c r="GI43" s="749"/>
      <c r="GJ43" s="749"/>
      <c r="GK43" s="749"/>
      <c r="GL43" s="749"/>
      <c r="GM43" s="749"/>
      <c r="GN43" s="749"/>
      <c r="GO43" s="749"/>
      <c r="GP43" s="749"/>
      <c r="GQ43" s="749"/>
      <c r="GR43" s="749"/>
      <c r="GS43" s="749"/>
      <c r="GT43" s="749"/>
      <c r="GU43" s="749"/>
      <c r="GV43" s="749"/>
      <c r="GW43" s="749"/>
      <c r="GX43" s="749"/>
      <c r="GY43" s="749"/>
      <c r="GZ43" s="749"/>
      <c r="HA43" s="749"/>
      <c r="HB43" s="749"/>
      <c r="HC43" s="749"/>
      <c r="HD43" s="749"/>
      <c r="HE43" s="749"/>
      <c r="HF43" s="749"/>
      <c r="HG43" s="749"/>
      <c r="HH43" s="749"/>
      <c r="HI43" s="749"/>
      <c r="HJ43" s="749"/>
      <c r="HK43" s="749"/>
      <c r="HL43" s="749"/>
      <c r="HM43" s="749"/>
      <c r="HN43" s="749"/>
      <c r="HO43" s="749"/>
      <c r="HP43" s="749"/>
      <c r="HQ43" s="749"/>
      <c r="HR43" s="749"/>
      <c r="HS43" s="749"/>
      <c r="HT43" s="749"/>
      <c r="HU43" s="749"/>
      <c r="HV43" s="749"/>
      <c r="HW43" s="749"/>
      <c r="HX43" s="749"/>
      <c r="HY43" s="749"/>
      <c r="HZ43" s="749"/>
      <c r="IA43" s="749"/>
      <c r="IB43" s="749"/>
      <c r="IC43" s="749"/>
      <c r="ID43" s="749"/>
      <c r="IE43" s="749"/>
      <c r="IF43" s="749"/>
      <c r="IG43" s="749"/>
      <c r="IH43" s="749"/>
      <c r="II43" s="749"/>
      <c r="IJ43" s="749"/>
      <c r="IK43" s="749"/>
      <c r="IL43" s="749"/>
      <c r="IM43" s="749"/>
      <c r="IN43" s="749"/>
    </row>
    <row r="44" spans="1:248" ht="12.75">
      <c r="A44" s="3"/>
      <c r="B44" s="769"/>
      <c r="C44" s="3"/>
      <c r="D44" s="773" t="s">
        <v>7363</v>
      </c>
      <c r="E44" s="3"/>
      <c r="F44" s="770">
        <v>4.4999999999999997E-3</v>
      </c>
      <c r="G44" s="771">
        <f>SUM(H27*F44)</f>
        <v>189000</v>
      </c>
      <c r="H44" s="3"/>
      <c r="I44" s="771"/>
      <c r="J44" s="3"/>
      <c r="K44" s="3"/>
      <c r="L44" s="749"/>
      <c r="M44" s="3"/>
      <c r="N44" s="769" t="s">
        <v>222</v>
      </c>
      <c r="O44" s="3" t="s">
        <v>7362</v>
      </c>
      <c r="P44" s="3"/>
      <c r="Q44" s="770">
        <f>SUM(Q45:Q51)</f>
        <v>1.4500000000000002E-2</v>
      </c>
      <c r="R44" s="771"/>
      <c r="S44" s="771"/>
      <c r="V44" s="748" t="s">
        <v>7407</v>
      </c>
      <c r="W44" s="771">
        <f>SUM(R45:R51)</f>
        <v>609000</v>
      </c>
      <c r="X44" s="3"/>
      <c r="Y44" s="3"/>
      <c r="Z44" s="3"/>
      <c r="AA44" s="3"/>
      <c r="AB44" s="3"/>
      <c r="AC44" s="849"/>
      <c r="AD44" s="838"/>
      <c r="AE44" s="836"/>
      <c r="AF44" s="838"/>
      <c r="AG44" s="872"/>
      <c r="AH44" s="838"/>
      <c r="AI44" s="872"/>
      <c r="AJ44" s="838"/>
      <c r="AK44" s="872"/>
      <c r="AL44" s="838"/>
      <c r="AM44" s="872"/>
      <c r="AN44" s="838"/>
      <c r="AO44" s="836"/>
      <c r="AP44" s="844"/>
      <c r="AQ44" s="920"/>
      <c r="AR44" s="921"/>
      <c r="AS44" s="922"/>
      <c r="AT44" s="920"/>
      <c r="AU44" s="921"/>
      <c r="AV44" s="921"/>
      <c r="AW44" s="922"/>
      <c r="AX44" s="749"/>
      <c r="AY44" s="749"/>
      <c r="AZ44" s="749"/>
      <c r="BA44" s="749"/>
      <c r="BB44" s="749"/>
      <c r="BC44" s="749"/>
      <c r="BD44" s="749"/>
      <c r="BE44" s="749"/>
      <c r="BF44" s="749"/>
      <c r="BG44" s="749"/>
      <c r="BH44" s="749"/>
      <c r="BI44" s="749"/>
      <c r="BJ44" s="749"/>
      <c r="BK44" s="749"/>
      <c r="BL44" s="749"/>
      <c r="BM44" s="749"/>
      <c r="BN44" s="749"/>
      <c r="BO44" s="749"/>
      <c r="BP44" s="749"/>
      <c r="BQ44" s="749"/>
      <c r="BR44" s="749"/>
      <c r="BS44" s="749"/>
      <c r="BT44" s="749"/>
      <c r="BU44" s="749"/>
      <c r="BV44" s="749"/>
      <c r="BW44" s="749"/>
      <c r="BX44" s="749"/>
      <c r="BY44" s="749"/>
      <c r="BZ44" s="749"/>
      <c r="CA44" s="749"/>
      <c r="CB44" s="749"/>
      <c r="CC44" s="749"/>
      <c r="CD44" s="749"/>
      <c r="CE44" s="749"/>
      <c r="CF44" s="749"/>
      <c r="CG44" s="749"/>
      <c r="CH44" s="749"/>
      <c r="CI44" s="749"/>
      <c r="CJ44" s="749"/>
      <c r="CK44" s="749"/>
      <c r="CL44" s="749"/>
      <c r="CM44" s="749"/>
      <c r="CN44" s="749"/>
      <c r="CO44" s="749"/>
      <c r="CP44" s="749"/>
      <c r="CQ44" s="749"/>
      <c r="CR44" s="749"/>
      <c r="CS44" s="749"/>
      <c r="CT44" s="749"/>
      <c r="CU44" s="749"/>
      <c r="CV44" s="749"/>
      <c r="CW44" s="749"/>
      <c r="CX44" s="749"/>
      <c r="CY44" s="749"/>
      <c r="CZ44" s="749"/>
      <c r="DA44" s="749"/>
      <c r="DB44" s="749"/>
      <c r="DC44" s="749"/>
      <c r="DD44" s="749"/>
      <c r="DE44" s="749"/>
      <c r="DF44" s="749"/>
      <c r="DG44" s="749"/>
      <c r="DH44" s="749"/>
      <c r="DI44" s="749"/>
      <c r="DJ44" s="749"/>
      <c r="DK44" s="749"/>
      <c r="DL44" s="749"/>
      <c r="DM44" s="749"/>
      <c r="DN44" s="749"/>
      <c r="DO44" s="749"/>
      <c r="DP44" s="749"/>
      <c r="DQ44" s="749"/>
      <c r="DR44" s="749"/>
      <c r="DS44" s="749"/>
      <c r="DT44" s="749"/>
      <c r="DU44" s="749"/>
      <c r="DV44" s="749"/>
      <c r="DW44" s="749"/>
      <c r="DX44" s="749"/>
      <c r="DY44" s="749"/>
      <c r="DZ44" s="749"/>
      <c r="EA44" s="749"/>
      <c r="EB44" s="749"/>
      <c r="EC44" s="749"/>
      <c r="ED44" s="749"/>
      <c r="EE44" s="749"/>
      <c r="EF44" s="749"/>
      <c r="EG44" s="749"/>
      <c r="EH44" s="749"/>
      <c r="EI44" s="749"/>
      <c r="EJ44" s="749"/>
      <c r="EK44" s="749"/>
      <c r="EL44" s="749"/>
      <c r="EM44" s="749"/>
      <c r="EN44" s="749"/>
      <c r="EO44" s="749"/>
      <c r="EP44" s="749"/>
      <c r="EQ44" s="749"/>
      <c r="ER44" s="749"/>
      <c r="ES44" s="749"/>
      <c r="ET44" s="749"/>
      <c r="EU44" s="749"/>
      <c r="EV44" s="749"/>
      <c r="EW44" s="749"/>
      <c r="EX44" s="749"/>
      <c r="EY44" s="749"/>
      <c r="EZ44" s="749"/>
      <c r="FA44" s="749"/>
      <c r="FB44" s="749"/>
      <c r="FC44" s="749"/>
      <c r="FD44" s="749"/>
      <c r="FE44" s="749"/>
      <c r="FF44" s="749"/>
      <c r="FG44" s="749"/>
      <c r="FH44" s="749"/>
      <c r="FI44" s="749"/>
      <c r="FJ44" s="749"/>
      <c r="FK44" s="749"/>
      <c r="FL44" s="749"/>
      <c r="FM44" s="749"/>
      <c r="FN44" s="749"/>
      <c r="FO44" s="749"/>
      <c r="FP44" s="749"/>
      <c r="FQ44" s="749"/>
      <c r="FR44" s="749"/>
      <c r="FS44" s="749"/>
      <c r="FT44" s="749"/>
      <c r="FU44" s="749"/>
      <c r="FV44" s="749"/>
      <c r="FW44" s="749"/>
      <c r="FX44" s="749"/>
      <c r="FY44" s="749"/>
      <c r="FZ44" s="749"/>
      <c r="GA44" s="749"/>
      <c r="GB44" s="749"/>
      <c r="GC44" s="749"/>
      <c r="GD44" s="749"/>
      <c r="GE44" s="749"/>
      <c r="GF44" s="749"/>
      <c r="GG44" s="749"/>
      <c r="GH44" s="749"/>
      <c r="GI44" s="749"/>
      <c r="GJ44" s="749"/>
      <c r="GK44" s="749"/>
      <c r="GL44" s="749"/>
      <c r="GM44" s="749"/>
      <c r="GN44" s="749"/>
      <c r="GO44" s="749"/>
      <c r="GP44" s="749"/>
      <c r="GQ44" s="749"/>
      <c r="GR44" s="749"/>
      <c r="GS44" s="749"/>
      <c r="GT44" s="749"/>
      <c r="GU44" s="749"/>
      <c r="GV44" s="749"/>
      <c r="GW44" s="749"/>
      <c r="GX44" s="749"/>
      <c r="GY44" s="749"/>
      <c r="GZ44" s="749"/>
      <c r="HA44" s="749"/>
      <c r="HB44" s="749"/>
      <c r="HC44" s="749"/>
      <c r="HD44" s="749"/>
      <c r="HE44" s="749"/>
      <c r="HF44" s="749"/>
      <c r="HG44" s="749"/>
      <c r="HH44" s="749"/>
      <c r="HI44" s="749"/>
      <c r="HJ44" s="749"/>
      <c r="HK44" s="749"/>
      <c r="HL44" s="749"/>
      <c r="HM44" s="749"/>
      <c r="HN44" s="749"/>
      <c r="HO44" s="749"/>
      <c r="HP44" s="749"/>
      <c r="HQ44" s="749"/>
      <c r="HR44" s="749"/>
      <c r="HS44" s="749"/>
      <c r="HT44" s="749"/>
      <c r="HU44" s="749"/>
      <c r="HV44" s="749"/>
      <c r="HW44" s="749"/>
      <c r="HX44" s="749"/>
      <c r="HY44" s="749"/>
      <c r="HZ44" s="749"/>
      <c r="IA44" s="749"/>
      <c r="IB44" s="749"/>
      <c r="IC44" s="749"/>
      <c r="ID44" s="749"/>
      <c r="IE44" s="749"/>
      <c r="IF44" s="749"/>
      <c r="IG44" s="749"/>
      <c r="IH44" s="749"/>
      <c r="II44" s="749"/>
      <c r="IJ44" s="749"/>
      <c r="IK44" s="749"/>
      <c r="IL44" s="749"/>
      <c r="IM44" s="749"/>
      <c r="IN44" s="749"/>
    </row>
    <row r="45" spans="1:248" ht="12.75">
      <c r="A45" s="3"/>
      <c r="B45" s="777"/>
      <c r="C45" s="3"/>
      <c r="D45" s="773" t="s">
        <v>7364</v>
      </c>
      <c r="E45" s="3"/>
      <c r="F45" s="770">
        <v>4.4999999999999997E-3</v>
      </c>
      <c r="G45" s="771">
        <f>SUM(H27*F45)</f>
        <v>189000</v>
      </c>
      <c r="H45" s="3"/>
      <c r="I45" s="771"/>
      <c r="J45" s="3"/>
      <c r="K45" s="3"/>
      <c r="L45" s="749"/>
      <c r="M45" s="3"/>
      <c r="N45" s="769"/>
      <c r="O45" s="3"/>
      <c r="P45" s="773" t="s">
        <v>7363</v>
      </c>
      <c r="Q45" s="770">
        <v>4.4999999999999997E-3</v>
      </c>
      <c r="R45" s="771">
        <f>SUM(T27*Q45)</f>
        <v>189000</v>
      </c>
      <c r="S45" s="771"/>
      <c r="T45" s="3"/>
      <c r="U45" s="3"/>
      <c r="V45" s="771"/>
      <c r="W45" s="3"/>
      <c r="X45" s="3"/>
      <c r="Y45" s="3"/>
      <c r="Z45" s="3"/>
      <c r="AA45" s="3"/>
      <c r="AB45" s="3"/>
      <c r="AC45" s="849"/>
      <c r="AD45" s="838"/>
      <c r="AE45" s="836"/>
      <c r="AF45" s="838"/>
      <c r="AG45" s="872"/>
      <c r="AH45" s="838"/>
      <c r="AI45" s="872"/>
      <c r="AJ45" s="838"/>
      <c r="AK45" s="872"/>
      <c r="AL45" s="838"/>
      <c r="AM45" s="872"/>
      <c r="AN45" s="838"/>
      <c r="AO45" s="836"/>
      <c r="AP45" s="844"/>
      <c r="AQ45" s="920"/>
      <c r="AR45" s="921"/>
      <c r="AS45" s="922"/>
      <c r="AT45" s="920"/>
      <c r="AU45" s="921"/>
      <c r="AV45" s="921"/>
      <c r="AW45" s="922"/>
      <c r="AX45" s="749"/>
      <c r="AY45" s="749"/>
      <c r="AZ45" s="749"/>
      <c r="BA45" s="749"/>
      <c r="BB45" s="749"/>
      <c r="BC45" s="749"/>
      <c r="BD45" s="749"/>
      <c r="BE45" s="749"/>
      <c r="BF45" s="749"/>
      <c r="BG45" s="749"/>
      <c r="BH45" s="749"/>
      <c r="BI45" s="749"/>
      <c r="BJ45" s="749"/>
      <c r="BK45" s="749"/>
      <c r="BL45" s="749"/>
      <c r="BM45" s="749"/>
      <c r="BN45" s="749"/>
      <c r="BO45" s="749"/>
      <c r="BP45" s="749"/>
      <c r="BQ45" s="749"/>
      <c r="BR45" s="749"/>
      <c r="BS45" s="749"/>
      <c r="BT45" s="749"/>
      <c r="BU45" s="749"/>
      <c r="BV45" s="749"/>
      <c r="BW45" s="749"/>
      <c r="BX45" s="749"/>
      <c r="BY45" s="749"/>
      <c r="BZ45" s="749"/>
      <c r="CA45" s="749"/>
      <c r="CB45" s="749"/>
      <c r="CC45" s="749"/>
      <c r="CD45" s="749"/>
      <c r="CE45" s="749"/>
      <c r="CF45" s="749"/>
      <c r="CG45" s="749"/>
      <c r="CH45" s="749"/>
      <c r="CI45" s="749"/>
      <c r="CJ45" s="749"/>
      <c r="CK45" s="749"/>
      <c r="CL45" s="749"/>
      <c r="CM45" s="749"/>
      <c r="CN45" s="749"/>
      <c r="CO45" s="749"/>
      <c r="CP45" s="749"/>
      <c r="CQ45" s="749"/>
      <c r="CR45" s="749"/>
      <c r="CS45" s="749"/>
      <c r="CT45" s="749"/>
      <c r="CU45" s="749"/>
      <c r="CV45" s="749"/>
      <c r="CW45" s="749"/>
      <c r="CX45" s="749"/>
      <c r="CY45" s="749"/>
      <c r="CZ45" s="749"/>
      <c r="DA45" s="749"/>
      <c r="DB45" s="749"/>
      <c r="DC45" s="749"/>
      <c r="DD45" s="749"/>
      <c r="DE45" s="749"/>
      <c r="DF45" s="749"/>
      <c r="DG45" s="749"/>
      <c r="DH45" s="749"/>
      <c r="DI45" s="749"/>
      <c r="DJ45" s="749"/>
      <c r="DK45" s="749"/>
      <c r="DL45" s="749"/>
      <c r="DM45" s="749"/>
      <c r="DN45" s="749"/>
      <c r="DO45" s="749"/>
      <c r="DP45" s="749"/>
      <c r="DQ45" s="749"/>
      <c r="DR45" s="749"/>
      <c r="DS45" s="749"/>
      <c r="DT45" s="749"/>
      <c r="DU45" s="749"/>
      <c r="DV45" s="749"/>
      <c r="DW45" s="749"/>
      <c r="DX45" s="749"/>
      <c r="DY45" s="749"/>
      <c r="DZ45" s="749"/>
      <c r="EA45" s="749"/>
      <c r="EB45" s="749"/>
      <c r="EC45" s="749"/>
      <c r="ED45" s="749"/>
      <c r="EE45" s="749"/>
      <c r="EF45" s="749"/>
      <c r="EG45" s="749"/>
      <c r="EH45" s="749"/>
      <c r="EI45" s="749"/>
      <c r="EJ45" s="749"/>
      <c r="EK45" s="749"/>
      <c r="EL45" s="749"/>
      <c r="EM45" s="749"/>
      <c r="EN45" s="749"/>
      <c r="EO45" s="749"/>
      <c r="EP45" s="749"/>
      <c r="EQ45" s="749"/>
      <c r="ER45" s="749"/>
      <c r="ES45" s="749"/>
      <c r="ET45" s="749"/>
      <c r="EU45" s="749"/>
      <c r="EV45" s="749"/>
      <c r="EW45" s="749"/>
      <c r="EX45" s="749"/>
      <c r="EY45" s="749"/>
      <c r="EZ45" s="749"/>
      <c r="FA45" s="749"/>
      <c r="FB45" s="749"/>
      <c r="FC45" s="749"/>
      <c r="FD45" s="749"/>
      <c r="FE45" s="749"/>
      <c r="FF45" s="749"/>
      <c r="FG45" s="749"/>
      <c r="FH45" s="749"/>
      <c r="FI45" s="749"/>
      <c r="FJ45" s="749"/>
      <c r="FK45" s="749"/>
      <c r="FL45" s="749"/>
      <c r="FM45" s="749"/>
      <c r="FN45" s="749"/>
      <c r="FO45" s="749"/>
      <c r="FP45" s="749"/>
      <c r="FQ45" s="749"/>
      <c r="FR45" s="749"/>
      <c r="FS45" s="749"/>
      <c r="FT45" s="749"/>
      <c r="FU45" s="749"/>
      <c r="FV45" s="749"/>
      <c r="FW45" s="749"/>
      <c r="FX45" s="749"/>
      <c r="FY45" s="749"/>
      <c r="FZ45" s="749"/>
      <c r="GA45" s="749"/>
      <c r="GB45" s="749"/>
      <c r="GC45" s="749"/>
      <c r="GD45" s="749"/>
      <c r="GE45" s="749"/>
      <c r="GF45" s="749"/>
      <c r="GG45" s="749"/>
      <c r="GH45" s="749"/>
      <c r="GI45" s="749"/>
      <c r="GJ45" s="749"/>
      <c r="GK45" s="749"/>
      <c r="GL45" s="749"/>
      <c r="GM45" s="749"/>
      <c r="GN45" s="749"/>
      <c r="GO45" s="749"/>
      <c r="GP45" s="749"/>
      <c r="GQ45" s="749"/>
      <c r="GR45" s="749"/>
      <c r="GS45" s="749"/>
      <c r="GT45" s="749"/>
      <c r="GU45" s="749"/>
      <c r="GV45" s="749"/>
      <c r="GW45" s="749"/>
      <c r="GX45" s="749"/>
      <c r="GY45" s="749"/>
      <c r="GZ45" s="749"/>
      <c r="HA45" s="749"/>
      <c r="HB45" s="749"/>
      <c r="HC45" s="749"/>
      <c r="HD45" s="749"/>
      <c r="HE45" s="749"/>
      <c r="HF45" s="749"/>
      <c r="HG45" s="749"/>
      <c r="HH45" s="749"/>
      <c r="HI45" s="749"/>
      <c r="HJ45" s="749"/>
      <c r="HK45" s="749"/>
      <c r="HL45" s="749"/>
      <c r="HM45" s="749"/>
      <c r="HN45" s="749"/>
      <c r="HO45" s="749"/>
      <c r="HP45" s="749"/>
      <c r="HQ45" s="749"/>
      <c r="HR45" s="749"/>
      <c r="HS45" s="749"/>
      <c r="HT45" s="749"/>
      <c r="HU45" s="749"/>
      <c r="HV45" s="749"/>
      <c r="HW45" s="749"/>
      <c r="HX45" s="749"/>
      <c r="HY45" s="749"/>
      <c r="HZ45" s="749"/>
      <c r="IA45" s="749"/>
      <c r="IB45" s="749"/>
      <c r="IC45" s="749"/>
      <c r="ID45" s="749"/>
      <c r="IE45" s="749"/>
      <c r="IF45" s="749"/>
      <c r="IG45" s="749"/>
      <c r="IH45" s="749"/>
      <c r="II45" s="749"/>
      <c r="IJ45" s="749"/>
      <c r="IK45" s="749"/>
      <c r="IL45" s="749"/>
      <c r="IM45" s="749"/>
      <c r="IN45" s="749"/>
    </row>
    <row r="46" spans="1:248" ht="12.75" customHeight="1">
      <c r="A46" s="3"/>
      <c r="B46" s="777"/>
      <c r="C46" s="3"/>
      <c r="D46" s="773" t="s">
        <v>7365</v>
      </c>
      <c r="E46" s="3"/>
      <c r="F46" s="770">
        <v>2E-3</v>
      </c>
      <c r="G46" s="771">
        <f>SUM(H27*F46)</f>
        <v>84000</v>
      </c>
      <c r="H46" s="3"/>
      <c r="I46" s="771"/>
      <c r="J46" s="3"/>
      <c r="K46" s="3"/>
      <c r="L46" s="749"/>
      <c r="M46" s="3"/>
      <c r="N46" s="777"/>
      <c r="O46" s="3"/>
      <c r="P46" s="773" t="s">
        <v>7364</v>
      </c>
      <c r="Q46" s="770">
        <v>4.4999999999999997E-3</v>
      </c>
      <c r="R46" s="771">
        <f>SUM(T27*Q46)</f>
        <v>189000</v>
      </c>
      <c r="S46" s="771"/>
      <c r="T46" s="3"/>
      <c r="U46" s="3"/>
      <c r="V46" s="771"/>
      <c r="W46" s="3"/>
      <c r="X46" s="3"/>
      <c r="Y46" s="3"/>
      <c r="Z46" s="3"/>
      <c r="AA46" s="3"/>
      <c r="AB46" s="3"/>
      <c r="AC46" s="849"/>
      <c r="AD46" s="838"/>
      <c r="AE46" s="836"/>
      <c r="AF46" s="838"/>
      <c r="AG46" s="872"/>
      <c r="AH46" s="838"/>
      <c r="AI46" s="872"/>
      <c r="AJ46" s="838"/>
      <c r="AK46" s="872"/>
      <c r="AL46" s="838"/>
      <c r="AM46" s="872"/>
      <c r="AN46" s="838"/>
      <c r="AO46" s="836"/>
      <c r="AP46" s="844"/>
      <c r="AQ46" s="920"/>
      <c r="AR46" s="921"/>
      <c r="AS46" s="922"/>
      <c r="AT46" s="920"/>
      <c r="AU46" s="921"/>
      <c r="AV46" s="921"/>
      <c r="AW46" s="922"/>
      <c r="AX46" s="749"/>
      <c r="AY46" s="749"/>
      <c r="AZ46" s="749"/>
      <c r="BA46" s="749"/>
      <c r="BB46" s="749"/>
      <c r="BC46" s="749"/>
      <c r="BD46" s="749"/>
      <c r="BE46" s="749"/>
      <c r="BF46" s="749"/>
      <c r="BG46" s="749"/>
      <c r="BH46" s="749"/>
      <c r="BI46" s="749"/>
      <c r="BJ46" s="749"/>
      <c r="BK46" s="749"/>
      <c r="BL46" s="749"/>
      <c r="BM46" s="749"/>
      <c r="BN46" s="749"/>
      <c r="BO46" s="749"/>
      <c r="BP46" s="749"/>
      <c r="BQ46" s="749"/>
      <c r="BR46" s="749"/>
      <c r="BS46" s="749"/>
      <c r="BT46" s="749"/>
      <c r="BU46" s="749"/>
      <c r="BV46" s="749"/>
      <c r="BW46" s="749"/>
      <c r="BX46" s="749"/>
      <c r="BY46" s="749"/>
      <c r="BZ46" s="749"/>
      <c r="CA46" s="749"/>
      <c r="CB46" s="749"/>
      <c r="CC46" s="749"/>
      <c r="CD46" s="749"/>
      <c r="CE46" s="749"/>
      <c r="CF46" s="749"/>
      <c r="CG46" s="749"/>
      <c r="CH46" s="749"/>
      <c r="CI46" s="749"/>
      <c r="CJ46" s="749"/>
      <c r="CK46" s="749"/>
      <c r="CL46" s="749"/>
      <c r="CM46" s="749"/>
      <c r="CN46" s="749"/>
      <c r="CO46" s="749"/>
      <c r="CP46" s="749"/>
      <c r="CQ46" s="749"/>
      <c r="CR46" s="749"/>
      <c r="CS46" s="749"/>
      <c r="CT46" s="749"/>
      <c r="CU46" s="749"/>
      <c r="CV46" s="749"/>
      <c r="CW46" s="749"/>
      <c r="CX46" s="749"/>
      <c r="CY46" s="749"/>
      <c r="CZ46" s="749"/>
      <c r="DA46" s="749"/>
      <c r="DB46" s="749"/>
      <c r="DC46" s="749"/>
      <c r="DD46" s="749"/>
      <c r="DE46" s="749"/>
      <c r="DF46" s="749"/>
      <c r="DG46" s="749"/>
      <c r="DH46" s="749"/>
      <c r="DI46" s="749"/>
      <c r="DJ46" s="749"/>
      <c r="DK46" s="749"/>
      <c r="DL46" s="749"/>
      <c r="DM46" s="749"/>
      <c r="DN46" s="749"/>
      <c r="DO46" s="749"/>
      <c r="DP46" s="749"/>
      <c r="DQ46" s="749"/>
      <c r="DR46" s="749"/>
      <c r="DS46" s="749"/>
      <c r="DT46" s="749"/>
      <c r="DU46" s="749"/>
      <c r="DV46" s="749"/>
      <c r="DW46" s="749"/>
      <c r="DX46" s="749"/>
      <c r="DY46" s="749"/>
      <c r="DZ46" s="749"/>
      <c r="EA46" s="749"/>
      <c r="EB46" s="749"/>
      <c r="EC46" s="749"/>
      <c r="ED46" s="749"/>
      <c r="EE46" s="749"/>
      <c r="EF46" s="749"/>
      <c r="EG46" s="749"/>
      <c r="EH46" s="749"/>
      <c r="EI46" s="749"/>
      <c r="EJ46" s="749"/>
      <c r="EK46" s="749"/>
      <c r="EL46" s="749"/>
      <c r="EM46" s="749"/>
      <c r="EN46" s="749"/>
      <c r="EO46" s="749"/>
      <c r="EP46" s="749"/>
      <c r="EQ46" s="749"/>
      <c r="ER46" s="749"/>
      <c r="ES46" s="749"/>
      <c r="ET46" s="749"/>
      <c r="EU46" s="749"/>
      <c r="EV46" s="749"/>
      <c r="EW46" s="749"/>
      <c r="EX46" s="749"/>
      <c r="EY46" s="749"/>
      <c r="EZ46" s="749"/>
      <c r="FA46" s="749"/>
      <c r="FB46" s="749"/>
      <c r="FC46" s="749"/>
      <c r="FD46" s="749"/>
      <c r="FE46" s="749"/>
      <c r="FF46" s="749"/>
      <c r="FG46" s="749"/>
      <c r="FH46" s="749"/>
      <c r="FI46" s="749"/>
      <c r="FJ46" s="749"/>
      <c r="FK46" s="749"/>
      <c r="FL46" s="749"/>
      <c r="FM46" s="749"/>
      <c r="FN46" s="749"/>
      <c r="FO46" s="749"/>
      <c r="FP46" s="749"/>
      <c r="FQ46" s="749"/>
      <c r="FR46" s="749"/>
      <c r="FS46" s="749"/>
      <c r="FT46" s="749"/>
      <c r="FU46" s="749"/>
      <c r="FV46" s="749"/>
      <c r="FW46" s="749"/>
      <c r="FX46" s="749"/>
      <c r="FY46" s="749"/>
      <c r="FZ46" s="749"/>
      <c r="GA46" s="749"/>
      <c r="GB46" s="749"/>
      <c r="GC46" s="749"/>
      <c r="GD46" s="749"/>
      <c r="GE46" s="749"/>
      <c r="GF46" s="749"/>
      <c r="GG46" s="749"/>
      <c r="GH46" s="749"/>
      <c r="GI46" s="749"/>
      <c r="GJ46" s="749"/>
      <c r="GK46" s="749"/>
      <c r="GL46" s="749"/>
      <c r="GM46" s="749"/>
      <c r="GN46" s="749"/>
      <c r="GO46" s="749"/>
      <c r="GP46" s="749"/>
      <c r="GQ46" s="749"/>
      <c r="GR46" s="749"/>
      <c r="GS46" s="749"/>
      <c r="GT46" s="749"/>
      <c r="GU46" s="749"/>
      <c r="GV46" s="749"/>
      <c r="GW46" s="749"/>
      <c r="GX46" s="749"/>
      <c r="GY46" s="749"/>
      <c r="GZ46" s="749"/>
      <c r="HA46" s="749"/>
      <c r="HB46" s="749"/>
      <c r="HC46" s="749"/>
      <c r="HD46" s="749"/>
      <c r="HE46" s="749"/>
      <c r="HF46" s="749"/>
      <c r="HG46" s="749"/>
      <c r="HH46" s="749"/>
      <c r="HI46" s="749"/>
      <c r="HJ46" s="749"/>
      <c r="HK46" s="749"/>
      <c r="HL46" s="749"/>
      <c r="HM46" s="749"/>
      <c r="HN46" s="749"/>
      <c r="HO46" s="749"/>
      <c r="HP46" s="749"/>
      <c r="HQ46" s="749"/>
      <c r="HR46" s="749"/>
      <c r="HS46" s="749"/>
      <c r="HT46" s="749"/>
      <c r="HU46" s="749"/>
      <c r="HV46" s="749"/>
      <c r="HW46" s="749"/>
      <c r="HX46" s="749"/>
      <c r="HY46" s="749"/>
      <c r="HZ46" s="749"/>
      <c r="IA46" s="749"/>
      <c r="IB46" s="749"/>
      <c r="IC46" s="749"/>
      <c r="ID46" s="749"/>
      <c r="IE46" s="749"/>
      <c r="IF46" s="749"/>
      <c r="IG46" s="749"/>
      <c r="IH46" s="749"/>
      <c r="II46" s="749"/>
      <c r="IJ46" s="749"/>
      <c r="IK46" s="749"/>
      <c r="IL46" s="749"/>
      <c r="IM46" s="749"/>
      <c r="IN46" s="749"/>
    </row>
    <row r="47" spans="1:248" ht="12.75" customHeight="1">
      <c r="A47" s="3"/>
      <c r="B47" s="777"/>
      <c r="C47" s="3"/>
      <c r="D47" s="773" t="s">
        <v>7366</v>
      </c>
      <c r="E47" s="3"/>
      <c r="F47" s="770">
        <v>1E-3</v>
      </c>
      <c r="G47" s="771">
        <f>SUM(F47*H27)</f>
        <v>42000</v>
      </c>
      <c r="H47" s="3"/>
      <c r="I47" s="771"/>
      <c r="J47" s="3"/>
      <c r="K47" s="3"/>
      <c r="L47" s="749"/>
      <c r="M47" s="3"/>
      <c r="N47" s="777"/>
      <c r="O47" s="3"/>
      <c r="P47" s="773" t="s">
        <v>7365</v>
      </c>
      <c r="Q47" s="770">
        <v>2E-3</v>
      </c>
      <c r="R47" s="771">
        <f>SUM(T27*Q47)</f>
        <v>84000</v>
      </c>
      <c r="S47" s="771"/>
      <c r="T47" s="3"/>
      <c r="U47" s="3"/>
      <c r="V47" s="771"/>
      <c r="W47" s="3"/>
      <c r="X47" s="3"/>
      <c r="Y47" s="3"/>
      <c r="Z47" s="3"/>
      <c r="AA47" s="3"/>
      <c r="AB47" s="3"/>
      <c r="AC47" s="849"/>
      <c r="AD47" s="838"/>
      <c r="AE47" s="836"/>
      <c r="AF47" s="838"/>
      <c r="AG47" s="872"/>
      <c r="AH47" s="838"/>
      <c r="AI47" s="872"/>
      <c r="AJ47" s="838"/>
      <c r="AK47" s="872"/>
      <c r="AL47" s="838"/>
      <c r="AM47" s="872"/>
      <c r="AN47" s="838"/>
      <c r="AO47" s="836"/>
      <c r="AP47" s="844"/>
      <c r="AQ47" s="920"/>
      <c r="AR47" s="921"/>
      <c r="AS47" s="922"/>
      <c r="AT47" s="920"/>
      <c r="AU47" s="921"/>
      <c r="AV47" s="921"/>
      <c r="AW47" s="922"/>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C47" s="749"/>
      <c r="CD47" s="749"/>
      <c r="CE47" s="749"/>
      <c r="CF47" s="749"/>
      <c r="CG47" s="749"/>
      <c r="CH47" s="749"/>
      <c r="CI47" s="749"/>
      <c r="CJ47" s="749"/>
      <c r="CK47" s="749"/>
      <c r="CL47" s="749"/>
      <c r="CM47" s="749"/>
      <c r="CN47" s="749"/>
      <c r="CO47" s="749"/>
      <c r="CP47" s="749"/>
      <c r="CQ47" s="749"/>
      <c r="CR47" s="749"/>
      <c r="CS47" s="749"/>
      <c r="CT47" s="749"/>
      <c r="CU47" s="749"/>
      <c r="CV47" s="749"/>
      <c r="CW47" s="749"/>
      <c r="CX47" s="749"/>
      <c r="CY47" s="749"/>
      <c r="CZ47" s="749"/>
      <c r="DA47" s="749"/>
      <c r="DB47" s="749"/>
      <c r="DC47" s="749"/>
      <c r="DD47" s="749"/>
      <c r="DE47" s="749"/>
      <c r="DF47" s="749"/>
      <c r="DG47" s="749"/>
      <c r="DH47" s="749"/>
      <c r="DI47" s="749"/>
      <c r="DJ47" s="749"/>
      <c r="DK47" s="749"/>
      <c r="DL47" s="749"/>
      <c r="DM47" s="749"/>
      <c r="DN47" s="749"/>
      <c r="DO47" s="749"/>
      <c r="DP47" s="749"/>
      <c r="DQ47" s="749"/>
      <c r="DR47" s="749"/>
      <c r="DS47" s="749"/>
      <c r="DT47" s="749"/>
      <c r="DU47" s="749"/>
      <c r="DV47" s="749"/>
      <c r="DW47" s="749"/>
      <c r="DX47" s="749"/>
      <c r="DY47" s="749"/>
      <c r="DZ47" s="749"/>
      <c r="EA47" s="749"/>
      <c r="EB47" s="749"/>
      <c r="EC47" s="749"/>
      <c r="ED47" s="749"/>
      <c r="EE47" s="749"/>
      <c r="EF47" s="749"/>
      <c r="EG47" s="749"/>
      <c r="EH47" s="749"/>
      <c r="EI47" s="749"/>
      <c r="EJ47" s="749"/>
      <c r="EK47" s="749"/>
      <c r="EL47" s="749"/>
      <c r="EM47" s="749"/>
      <c r="EN47" s="749"/>
      <c r="EO47" s="749"/>
      <c r="EP47" s="749"/>
      <c r="EQ47" s="749"/>
      <c r="ER47" s="749"/>
      <c r="ES47" s="749"/>
      <c r="ET47" s="749"/>
      <c r="EU47" s="749"/>
      <c r="EV47" s="749"/>
      <c r="EW47" s="749"/>
      <c r="EX47" s="749"/>
      <c r="EY47" s="749"/>
      <c r="EZ47" s="749"/>
      <c r="FA47" s="749"/>
      <c r="FB47" s="749"/>
      <c r="FC47" s="749"/>
      <c r="FD47" s="749"/>
      <c r="FE47" s="749"/>
      <c r="FF47" s="749"/>
      <c r="FG47" s="749"/>
      <c r="FH47" s="749"/>
      <c r="FI47" s="749"/>
      <c r="FJ47" s="749"/>
      <c r="FK47" s="749"/>
      <c r="FL47" s="749"/>
      <c r="FM47" s="749"/>
      <c r="FN47" s="749"/>
      <c r="FO47" s="749"/>
      <c r="FP47" s="749"/>
      <c r="FQ47" s="749"/>
      <c r="FR47" s="749"/>
      <c r="FS47" s="749"/>
      <c r="FT47" s="749"/>
      <c r="FU47" s="749"/>
      <c r="FV47" s="749"/>
      <c r="FW47" s="749"/>
      <c r="FX47" s="749"/>
      <c r="FY47" s="749"/>
      <c r="FZ47" s="749"/>
      <c r="GA47" s="749"/>
      <c r="GB47" s="749"/>
      <c r="GC47" s="749"/>
      <c r="GD47" s="749"/>
      <c r="GE47" s="749"/>
      <c r="GF47" s="749"/>
      <c r="GG47" s="749"/>
      <c r="GH47" s="749"/>
      <c r="GI47" s="749"/>
      <c r="GJ47" s="749"/>
      <c r="GK47" s="749"/>
      <c r="GL47" s="749"/>
      <c r="GM47" s="749"/>
      <c r="GN47" s="749"/>
      <c r="GO47" s="749"/>
      <c r="GP47" s="749"/>
      <c r="GQ47" s="749"/>
      <c r="GR47" s="749"/>
      <c r="GS47" s="749"/>
      <c r="GT47" s="749"/>
      <c r="GU47" s="749"/>
      <c r="GV47" s="749"/>
      <c r="GW47" s="749"/>
      <c r="GX47" s="749"/>
      <c r="GY47" s="749"/>
      <c r="GZ47" s="749"/>
      <c r="HA47" s="749"/>
      <c r="HB47" s="749"/>
      <c r="HC47" s="749"/>
      <c r="HD47" s="749"/>
      <c r="HE47" s="749"/>
      <c r="HF47" s="749"/>
      <c r="HG47" s="749"/>
      <c r="HH47" s="749"/>
      <c r="HI47" s="749"/>
      <c r="HJ47" s="749"/>
      <c r="HK47" s="749"/>
      <c r="HL47" s="749"/>
      <c r="HM47" s="749"/>
      <c r="HN47" s="749"/>
      <c r="HO47" s="749"/>
      <c r="HP47" s="749"/>
      <c r="HQ47" s="749"/>
      <c r="HR47" s="749"/>
      <c r="HS47" s="749"/>
      <c r="HT47" s="749"/>
      <c r="HU47" s="749"/>
      <c r="HV47" s="749"/>
      <c r="HW47" s="749"/>
      <c r="HX47" s="749"/>
      <c r="HY47" s="749"/>
      <c r="HZ47" s="749"/>
      <c r="IA47" s="749"/>
      <c r="IB47" s="749"/>
      <c r="IC47" s="749"/>
      <c r="ID47" s="749"/>
      <c r="IE47" s="749"/>
      <c r="IF47" s="749"/>
      <c r="IG47" s="749"/>
      <c r="IH47" s="749"/>
      <c r="II47" s="749"/>
      <c r="IJ47" s="749"/>
      <c r="IK47" s="749"/>
      <c r="IL47" s="749"/>
      <c r="IM47" s="749"/>
      <c r="IN47" s="749"/>
    </row>
    <row r="48" spans="1:248" ht="12.75">
      <c r="A48" s="3"/>
      <c r="B48" s="777"/>
      <c r="C48" s="3"/>
      <c r="D48" s="773" t="s">
        <v>7367</v>
      </c>
      <c r="E48" s="3"/>
      <c r="F48" s="770">
        <v>1E-3</v>
      </c>
      <c r="G48" s="771">
        <f>SUM(F48*H27)</f>
        <v>42000</v>
      </c>
      <c r="H48" s="3"/>
      <c r="I48" s="771"/>
      <c r="J48" s="3"/>
      <c r="K48" s="3"/>
      <c r="L48" s="749"/>
      <c r="M48" s="3"/>
      <c r="N48" s="777"/>
      <c r="O48" s="3"/>
      <c r="P48" s="773" t="s">
        <v>7366</v>
      </c>
      <c r="Q48" s="770">
        <v>1E-3</v>
      </c>
      <c r="R48" s="771">
        <f>SUM(Q48*T27)</f>
        <v>42000</v>
      </c>
      <c r="S48" s="771"/>
      <c r="T48" s="3"/>
      <c r="U48" s="3"/>
      <c r="V48" s="771"/>
      <c r="W48" s="3"/>
      <c r="X48" s="3"/>
      <c r="Y48" s="3"/>
      <c r="Z48" s="3"/>
      <c r="AA48" s="3"/>
      <c r="AB48" s="3"/>
      <c r="AC48" s="849"/>
      <c r="AD48" s="838"/>
      <c r="AE48" s="836"/>
      <c r="AF48" s="838"/>
      <c r="AG48" s="872"/>
      <c r="AH48" s="838"/>
      <c r="AI48" s="872"/>
      <c r="AJ48" s="838"/>
      <c r="AK48" s="872"/>
      <c r="AL48" s="838"/>
      <c r="AM48" s="872"/>
      <c r="AN48" s="838"/>
      <c r="AO48" s="836"/>
      <c r="AP48" s="844"/>
      <c r="AQ48" s="920"/>
      <c r="AR48" s="921"/>
      <c r="AS48" s="922"/>
      <c r="AT48" s="920"/>
      <c r="AU48" s="921"/>
      <c r="AV48" s="921"/>
      <c r="AW48" s="922"/>
      <c r="AX48" s="749"/>
      <c r="AY48" s="749"/>
      <c r="AZ48" s="749"/>
      <c r="BA48" s="749"/>
      <c r="BB48" s="749"/>
      <c r="BC48" s="749"/>
      <c r="BD48" s="749"/>
      <c r="BE48" s="749"/>
      <c r="BF48" s="749"/>
      <c r="BG48" s="749"/>
      <c r="BH48" s="749"/>
      <c r="BI48" s="749"/>
      <c r="BJ48" s="749"/>
      <c r="BK48" s="749"/>
      <c r="BL48" s="749"/>
      <c r="BM48" s="749"/>
      <c r="BN48" s="749"/>
      <c r="BO48" s="749"/>
      <c r="BP48" s="749"/>
      <c r="BQ48" s="749"/>
      <c r="BR48" s="749"/>
      <c r="BS48" s="749"/>
      <c r="BT48" s="749"/>
      <c r="BU48" s="749"/>
      <c r="BV48" s="749"/>
      <c r="BW48" s="749"/>
      <c r="BX48" s="749"/>
      <c r="BY48" s="749"/>
      <c r="BZ48" s="749"/>
      <c r="CA48" s="749"/>
      <c r="CB48" s="749"/>
      <c r="CC48" s="749"/>
      <c r="CD48" s="749"/>
      <c r="CE48" s="749"/>
      <c r="CF48" s="749"/>
      <c r="CG48" s="749"/>
      <c r="CH48" s="749"/>
      <c r="CI48" s="749"/>
      <c r="CJ48" s="749"/>
      <c r="CK48" s="749"/>
      <c r="CL48" s="749"/>
      <c r="CM48" s="749"/>
      <c r="CN48" s="749"/>
      <c r="CO48" s="749"/>
      <c r="CP48" s="749"/>
      <c r="CQ48" s="749"/>
      <c r="CR48" s="749"/>
      <c r="CS48" s="749"/>
      <c r="CT48" s="749"/>
      <c r="CU48" s="749"/>
      <c r="CV48" s="749"/>
      <c r="CW48" s="749"/>
      <c r="CX48" s="749"/>
      <c r="CY48" s="749"/>
      <c r="CZ48" s="749"/>
      <c r="DA48" s="749"/>
      <c r="DB48" s="749"/>
      <c r="DC48" s="749"/>
      <c r="DD48" s="749"/>
      <c r="DE48" s="749"/>
      <c r="DF48" s="749"/>
      <c r="DG48" s="749"/>
      <c r="DH48" s="749"/>
      <c r="DI48" s="749"/>
      <c r="DJ48" s="749"/>
      <c r="DK48" s="749"/>
      <c r="DL48" s="749"/>
      <c r="DM48" s="749"/>
      <c r="DN48" s="749"/>
      <c r="DO48" s="749"/>
      <c r="DP48" s="749"/>
      <c r="DQ48" s="749"/>
      <c r="DR48" s="749"/>
      <c r="DS48" s="749"/>
      <c r="DT48" s="749"/>
      <c r="DU48" s="749"/>
      <c r="DV48" s="749"/>
      <c r="DW48" s="749"/>
      <c r="DX48" s="749"/>
      <c r="DY48" s="749"/>
      <c r="DZ48" s="749"/>
      <c r="EA48" s="749"/>
      <c r="EB48" s="749"/>
      <c r="EC48" s="749"/>
      <c r="ED48" s="749"/>
      <c r="EE48" s="749"/>
      <c r="EF48" s="749"/>
      <c r="EG48" s="749"/>
      <c r="EH48" s="749"/>
      <c r="EI48" s="749"/>
      <c r="EJ48" s="749"/>
      <c r="EK48" s="749"/>
      <c r="EL48" s="749"/>
      <c r="EM48" s="749"/>
      <c r="EN48" s="749"/>
      <c r="EO48" s="749"/>
      <c r="EP48" s="749"/>
      <c r="EQ48" s="749"/>
      <c r="ER48" s="749"/>
      <c r="ES48" s="749"/>
      <c r="ET48" s="749"/>
      <c r="EU48" s="749"/>
      <c r="EV48" s="749"/>
      <c r="EW48" s="749"/>
      <c r="EX48" s="749"/>
      <c r="EY48" s="749"/>
      <c r="EZ48" s="749"/>
      <c r="FA48" s="749"/>
      <c r="FB48" s="749"/>
      <c r="FC48" s="749"/>
      <c r="FD48" s="749"/>
      <c r="FE48" s="749"/>
      <c r="FF48" s="749"/>
      <c r="FG48" s="749"/>
      <c r="FH48" s="749"/>
      <c r="FI48" s="749"/>
      <c r="FJ48" s="749"/>
      <c r="FK48" s="749"/>
      <c r="FL48" s="749"/>
      <c r="FM48" s="749"/>
      <c r="FN48" s="749"/>
      <c r="FO48" s="749"/>
      <c r="FP48" s="749"/>
      <c r="FQ48" s="749"/>
      <c r="FR48" s="749"/>
      <c r="FS48" s="749"/>
      <c r="FT48" s="749"/>
      <c r="FU48" s="749"/>
      <c r="FV48" s="749"/>
      <c r="FW48" s="749"/>
      <c r="FX48" s="749"/>
      <c r="FY48" s="749"/>
      <c r="FZ48" s="749"/>
      <c r="GA48" s="749"/>
      <c r="GB48" s="749"/>
      <c r="GC48" s="749"/>
      <c r="GD48" s="749"/>
      <c r="GE48" s="749"/>
      <c r="GF48" s="749"/>
      <c r="GG48" s="749"/>
      <c r="GH48" s="749"/>
      <c r="GI48" s="749"/>
      <c r="GJ48" s="749"/>
      <c r="GK48" s="749"/>
      <c r="GL48" s="749"/>
      <c r="GM48" s="749"/>
      <c r="GN48" s="749"/>
      <c r="GO48" s="749"/>
      <c r="GP48" s="749"/>
      <c r="GQ48" s="749"/>
      <c r="GR48" s="749"/>
      <c r="GS48" s="749"/>
      <c r="GT48" s="749"/>
      <c r="GU48" s="749"/>
      <c r="GV48" s="749"/>
      <c r="GW48" s="749"/>
      <c r="GX48" s="749"/>
      <c r="GY48" s="749"/>
      <c r="GZ48" s="749"/>
      <c r="HA48" s="749"/>
      <c r="HB48" s="749"/>
      <c r="HC48" s="749"/>
      <c r="HD48" s="749"/>
      <c r="HE48" s="749"/>
      <c r="HF48" s="749"/>
      <c r="HG48" s="749"/>
      <c r="HH48" s="749"/>
      <c r="HI48" s="749"/>
      <c r="HJ48" s="749"/>
      <c r="HK48" s="749"/>
      <c r="HL48" s="749"/>
      <c r="HM48" s="749"/>
      <c r="HN48" s="749"/>
      <c r="HO48" s="749"/>
      <c r="HP48" s="749"/>
      <c r="HQ48" s="749"/>
      <c r="HR48" s="749"/>
      <c r="HS48" s="749"/>
      <c r="HT48" s="749"/>
      <c r="HU48" s="749"/>
      <c r="HV48" s="749"/>
      <c r="HW48" s="749"/>
      <c r="HX48" s="749"/>
      <c r="HY48" s="749"/>
      <c r="HZ48" s="749"/>
      <c r="IA48" s="749"/>
      <c r="IB48" s="749"/>
      <c r="IC48" s="749"/>
      <c r="ID48" s="749"/>
      <c r="IE48" s="749"/>
      <c r="IF48" s="749"/>
      <c r="IG48" s="749"/>
      <c r="IH48" s="749"/>
      <c r="II48" s="749"/>
      <c r="IJ48" s="749"/>
      <c r="IK48" s="749"/>
      <c r="IL48" s="749"/>
      <c r="IM48" s="749"/>
      <c r="IN48" s="749"/>
    </row>
    <row r="49" spans="1:248" ht="12.75">
      <c r="A49" s="3"/>
      <c r="B49" s="777"/>
      <c r="C49" s="3"/>
      <c r="D49" s="773" t="s">
        <v>7368</v>
      </c>
      <c r="E49" s="3"/>
      <c r="F49" s="770">
        <v>1E-3</v>
      </c>
      <c r="G49" s="771">
        <f>SUM(F49*H27)</f>
        <v>42000</v>
      </c>
      <c r="H49" s="3"/>
      <c r="I49" s="771"/>
      <c r="J49" s="3"/>
      <c r="K49" s="3"/>
      <c r="L49" s="749"/>
      <c r="M49" s="3"/>
      <c r="N49" s="777"/>
      <c r="O49" s="3"/>
      <c r="P49" s="773" t="s">
        <v>7367</v>
      </c>
      <c r="Q49" s="770">
        <v>1E-3</v>
      </c>
      <c r="R49" s="771">
        <f>SUM(Q49*T27)</f>
        <v>42000</v>
      </c>
      <c r="S49" s="771"/>
      <c r="T49" s="3"/>
      <c r="U49" s="3"/>
      <c r="V49" s="771"/>
      <c r="W49" s="3"/>
      <c r="X49" s="3"/>
      <c r="Y49" s="3"/>
      <c r="Z49" s="3"/>
      <c r="AA49" s="3"/>
      <c r="AB49" s="3"/>
      <c r="AC49" s="849"/>
      <c r="AD49" s="838"/>
      <c r="AE49" s="836"/>
      <c r="AF49" s="838"/>
      <c r="AG49" s="872"/>
      <c r="AH49" s="838"/>
      <c r="AI49" s="872"/>
      <c r="AJ49" s="838"/>
      <c r="AK49" s="872"/>
      <c r="AL49" s="838"/>
      <c r="AM49" s="872"/>
      <c r="AN49" s="838"/>
      <c r="AO49" s="836"/>
      <c r="AP49" s="844"/>
      <c r="AQ49" s="920"/>
      <c r="AR49" s="921"/>
      <c r="AS49" s="922"/>
      <c r="AT49" s="920"/>
      <c r="AU49" s="921"/>
      <c r="AV49" s="921"/>
      <c r="AW49" s="922"/>
      <c r="AX49" s="749"/>
      <c r="AY49" s="749"/>
      <c r="AZ49" s="749"/>
      <c r="BA49" s="749"/>
      <c r="BB49" s="749"/>
      <c r="BC49" s="749"/>
      <c r="BD49" s="749"/>
      <c r="BE49" s="749"/>
      <c r="BF49" s="749"/>
      <c r="BG49" s="749"/>
      <c r="BH49" s="749"/>
      <c r="BI49" s="749"/>
      <c r="BJ49" s="749"/>
      <c r="BK49" s="749"/>
      <c r="BL49" s="749"/>
      <c r="BM49" s="749"/>
      <c r="BN49" s="749"/>
      <c r="BO49" s="749"/>
      <c r="BP49" s="749"/>
      <c r="BQ49" s="749"/>
      <c r="BR49" s="749"/>
      <c r="BS49" s="749"/>
      <c r="BT49" s="749"/>
      <c r="BU49" s="749"/>
      <c r="BV49" s="749"/>
      <c r="BW49" s="749"/>
      <c r="BX49" s="749"/>
      <c r="BY49" s="749"/>
      <c r="BZ49" s="749"/>
      <c r="CA49" s="749"/>
      <c r="CB49" s="749"/>
      <c r="CC49" s="749"/>
      <c r="CD49" s="749"/>
      <c r="CE49" s="749"/>
      <c r="CF49" s="749"/>
      <c r="CG49" s="749"/>
      <c r="CH49" s="749"/>
      <c r="CI49" s="749"/>
      <c r="CJ49" s="749"/>
      <c r="CK49" s="749"/>
      <c r="CL49" s="749"/>
      <c r="CM49" s="749"/>
      <c r="CN49" s="749"/>
      <c r="CO49" s="749"/>
      <c r="CP49" s="749"/>
      <c r="CQ49" s="749"/>
      <c r="CR49" s="749"/>
      <c r="CS49" s="749"/>
      <c r="CT49" s="749"/>
      <c r="CU49" s="749"/>
      <c r="CV49" s="749"/>
      <c r="CW49" s="749"/>
      <c r="CX49" s="749"/>
      <c r="CY49" s="749"/>
      <c r="CZ49" s="749"/>
      <c r="DA49" s="749"/>
      <c r="DB49" s="749"/>
      <c r="DC49" s="749"/>
      <c r="DD49" s="749"/>
      <c r="DE49" s="749"/>
      <c r="DF49" s="749"/>
      <c r="DG49" s="749"/>
      <c r="DH49" s="749"/>
      <c r="DI49" s="749"/>
      <c r="DJ49" s="749"/>
      <c r="DK49" s="749"/>
      <c r="DL49" s="749"/>
      <c r="DM49" s="749"/>
      <c r="DN49" s="749"/>
      <c r="DO49" s="749"/>
      <c r="DP49" s="749"/>
      <c r="DQ49" s="749"/>
      <c r="DR49" s="749"/>
      <c r="DS49" s="749"/>
      <c r="DT49" s="749"/>
      <c r="DU49" s="749"/>
      <c r="DV49" s="749"/>
      <c r="DW49" s="749"/>
      <c r="DX49" s="749"/>
      <c r="DY49" s="749"/>
      <c r="DZ49" s="749"/>
      <c r="EA49" s="749"/>
      <c r="EB49" s="749"/>
      <c r="EC49" s="749"/>
      <c r="ED49" s="749"/>
      <c r="EE49" s="749"/>
      <c r="EF49" s="749"/>
      <c r="EG49" s="749"/>
      <c r="EH49" s="749"/>
      <c r="EI49" s="749"/>
      <c r="EJ49" s="749"/>
      <c r="EK49" s="749"/>
      <c r="EL49" s="749"/>
      <c r="EM49" s="749"/>
      <c r="EN49" s="749"/>
      <c r="EO49" s="749"/>
      <c r="EP49" s="749"/>
      <c r="EQ49" s="749"/>
      <c r="ER49" s="749"/>
      <c r="ES49" s="749"/>
      <c r="ET49" s="749"/>
      <c r="EU49" s="749"/>
      <c r="EV49" s="749"/>
      <c r="EW49" s="749"/>
      <c r="EX49" s="749"/>
      <c r="EY49" s="749"/>
      <c r="EZ49" s="749"/>
      <c r="FA49" s="749"/>
      <c r="FB49" s="749"/>
      <c r="FC49" s="749"/>
      <c r="FD49" s="749"/>
      <c r="FE49" s="749"/>
      <c r="FF49" s="749"/>
      <c r="FG49" s="749"/>
      <c r="FH49" s="749"/>
      <c r="FI49" s="749"/>
      <c r="FJ49" s="749"/>
      <c r="FK49" s="749"/>
      <c r="FL49" s="749"/>
      <c r="FM49" s="749"/>
      <c r="FN49" s="749"/>
      <c r="FO49" s="749"/>
      <c r="FP49" s="749"/>
      <c r="FQ49" s="749"/>
      <c r="FR49" s="749"/>
      <c r="FS49" s="749"/>
      <c r="FT49" s="749"/>
      <c r="FU49" s="749"/>
      <c r="FV49" s="749"/>
      <c r="FW49" s="749"/>
      <c r="FX49" s="749"/>
      <c r="FY49" s="749"/>
      <c r="FZ49" s="749"/>
      <c r="GA49" s="749"/>
      <c r="GB49" s="749"/>
      <c r="GC49" s="749"/>
      <c r="GD49" s="749"/>
      <c r="GE49" s="749"/>
      <c r="GF49" s="749"/>
      <c r="GG49" s="749"/>
      <c r="GH49" s="749"/>
      <c r="GI49" s="749"/>
      <c r="GJ49" s="749"/>
      <c r="GK49" s="749"/>
      <c r="GL49" s="749"/>
      <c r="GM49" s="749"/>
      <c r="GN49" s="749"/>
      <c r="GO49" s="749"/>
      <c r="GP49" s="749"/>
      <c r="GQ49" s="749"/>
      <c r="GR49" s="749"/>
      <c r="GS49" s="749"/>
      <c r="GT49" s="749"/>
      <c r="GU49" s="749"/>
      <c r="GV49" s="749"/>
      <c r="GW49" s="749"/>
      <c r="GX49" s="749"/>
      <c r="GY49" s="749"/>
      <c r="GZ49" s="749"/>
      <c r="HA49" s="749"/>
      <c r="HB49" s="749"/>
      <c r="HC49" s="749"/>
      <c r="HD49" s="749"/>
      <c r="HE49" s="749"/>
      <c r="HF49" s="749"/>
      <c r="HG49" s="749"/>
      <c r="HH49" s="749"/>
      <c r="HI49" s="749"/>
      <c r="HJ49" s="749"/>
      <c r="HK49" s="749"/>
      <c r="HL49" s="749"/>
      <c r="HM49" s="749"/>
      <c r="HN49" s="749"/>
      <c r="HO49" s="749"/>
      <c r="HP49" s="749"/>
      <c r="HQ49" s="749"/>
      <c r="HR49" s="749"/>
      <c r="HS49" s="749"/>
      <c r="HT49" s="749"/>
      <c r="HU49" s="749"/>
      <c r="HV49" s="749"/>
      <c r="HW49" s="749"/>
      <c r="HX49" s="749"/>
      <c r="HY49" s="749"/>
      <c r="HZ49" s="749"/>
      <c r="IA49" s="749"/>
      <c r="IB49" s="749"/>
      <c r="IC49" s="749"/>
      <c r="ID49" s="749"/>
      <c r="IE49" s="749"/>
      <c r="IF49" s="749"/>
      <c r="IG49" s="749"/>
      <c r="IH49" s="749"/>
      <c r="II49" s="749"/>
      <c r="IJ49" s="749"/>
      <c r="IK49" s="749"/>
      <c r="IL49" s="749"/>
      <c r="IM49" s="749"/>
      <c r="IN49" s="749"/>
    </row>
    <row r="50" spans="1:248" ht="12.75" customHeight="1">
      <c r="A50" s="3"/>
      <c r="B50" s="777"/>
      <c r="C50" s="3"/>
      <c r="D50" s="773" t="s">
        <v>7369</v>
      </c>
      <c r="E50" s="3"/>
      <c r="F50" s="770">
        <v>5.0000000000000001E-4</v>
      </c>
      <c r="G50" s="771">
        <f>SUM(F50*H27)</f>
        <v>21000</v>
      </c>
      <c r="H50" s="3"/>
      <c r="I50" s="771"/>
      <c r="J50" s="3"/>
      <c r="K50" s="3"/>
      <c r="L50" s="749"/>
      <c r="M50" s="3"/>
      <c r="N50" s="777"/>
      <c r="O50" s="3"/>
      <c r="P50" s="773" t="s">
        <v>7368</v>
      </c>
      <c r="Q50" s="770">
        <v>1E-3</v>
      </c>
      <c r="R50" s="771">
        <f>SUM(Q50*T27)</f>
        <v>42000</v>
      </c>
      <c r="S50" s="771"/>
      <c r="T50" s="3"/>
      <c r="U50" s="3"/>
      <c r="V50" s="771"/>
      <c r="W50" s="3"/>
      <c r="X50" s="3"/>
      <c r="Y50" s="3"/>
      <c r="Z50" s="3"/>
      <c r="AA50" s="3"/>
      <c r="AB50" s="3"/>
      <c r="AC50" s="849"/>
      <c r="AD50" s="838"/>
      <c r="AE50" s="836"/>
      <c r="AF50" s="838"/>
      <c r="AG50" s="872"/>
      <c r="AH50" s="838"/>
      <c r="AI50" s="872"/>
      <c r="AJ50" s="838"/>
      <c r="AK50" s="872"/>
      <c r="AL50" s="838"/>
      <c r="AM50" s="872"/>
      <c r="AN50" s="838"/>
      <c r="AO50" s="836"/>
      <c r="AP50" s="844"/>
      <c r="AQ50" s="920"/>
      <c r="AR50" s="921"/>
      <c r="AS50" s="922"/>
      <c r="AT50" s="920"/>
      <c r="AU50" s="921"/>
      <c r="AV50" s="921"/>
      <c r="AW50" s="922"/>
      <c r="AX50" s="749"/>
      <c r="AY50" s="749"/>
      <c r="AZ50" s="749"/>
      <c r="BA50" s="749"/>
      <c r="BB50" s="749"/>
      <c r="BC50" s="749"/>
      <c r="BD50" s="749"/>
      <c r="BE50" s="749"/>
      <c r="BF50" s="749"/>
      <c r="BG50" s="749"/>
      <c r="BH50" s="749"/>
      <c r="BI50" s="749"/>
      <c r="BJ50" s="749"/>
      <c r="BK50" s="749"/>
      <c r="BL50" s="749"/>
      <c r="BM50" s="749"/>
      <c r="BN50" s="749"/>
      <c r="BO50" s="749"/>
      <c r="BP50" s="749"/>
      <c r="BQ50" s="749"/>
      <c r="BR50" s="749"/>
      <c r="BS50" s="749"/>
      <c r="BT50" s="749"/>
      <c r="BU50" s="749"/>
      <c r="BV50" s="749"/>
      <c r="BW50" s="749"/>
      <c r="BX50" s="749"/>
      <c r="BY50" s="749"/>
      <c r="BZ50" s="749"/>
      <c r="CA50" s="749"/>
      <c r="CB50" s="749"/>
      <c r="CC50" s="749"/>
      <c r="CD50" s="749"/>
      <c r="CE50" s="749"/>
      <c r="CF50" s="749"/>
      <c r="CG50" s="749"/>
      <c r="CH50" s="749"/>
      <c r="CI50" s="749"/>
      <c r="CJ50" s="749"/>
      <c r="CK50" s="749"/>
      <c r="CL50" s="749"/>
      <c r="CM50" s="749"/>
      <c r="CN50" s="749"/>
      <c r="CO50" s="749"/>
      <c r="CP50" s="749"/>
      <c r="CQ50" s="749"/>
      <c r="CR50" s="749"/>
      <c r="CS50" s="749"/>
      <c r="CT50" s="749"/>
      <c r="CU50" s="749"/>
      <c r="CV50" s="749"/>
      <c r="CW50" s="749"/>
      <c r="CX50" s="749"/>
      <c r="CY50" s="749"/>
      <c r="CZ50" s="749"/>
      <c r="DA50" s="749"/>
      <c r="DB50" s="749"/>
      <c r="DC50" s="749"/>
      <c r="DD50" s="749"/>
      <c r="DE50" s="749"/>
      <c r="DF50" s="749"/>
      <c r="DG50" s="749"/>
      <c r="DH50" s="749"/>
      <c r="DI50" s="749"/>
      <c r="DJ50" s="749"/>
      <c r="DK50" s="749"/>
      <c r="DL50" s="749"/>
      <c r="DM50" s="749"/>
      <c r="DN50" s="749"/>
      <c r="DO50" s="749"/>
      <c r="DP50" s="749"/>
      <c r="DQ50" s="749"/>
      <c r="DR50" s="749"/>
      <c r="DS50" s="749"/>
      <c r="DT50" s="749"/>
      <c r="DU50" s="749"/>
      <c r="DV50" s="749"/>
      <c r="DW50" s="749"/>
      <c r="DX50" s="749"/>
      <c r="DY50" s="749"/>
      <c r="DZ50" s="749"/>
      <c r="EA50" s="749"/>
      <c r="EB50" s="749"/>
      <c r="EC50" s="749"/>
      <c r="ED50" s="749"/>
      <c r="EE50" s="749"/>
      <c r="EF50" s="749"/>
      <c r="EG50" s="749"/>
      <c r="EH50" s="749"/>
      <c r="EI50" s="749"/>
      <c r="EJ50" s="749"/>
      <c r="EK50" s="749"/>
      <c r="EL50" s="749"/>
      <c r="EM50" s="749"/>
      <c r="EN50" s="749"/>
      <c r="EO50" s="749"/>
      <c r="EP50" s="749"/>
      <c r="EQ50" s="749"/>
      <c r="ER50" s="749"/>
      <c r="ES50" s="749"/>
      <c r="ET50" s="749"/>
      <c r="EU50" s="749"/>
      <c r="EV50" s="749"/>
      <c r="EW50" s="749"/>
      <c r="EX50" s="749"/>
      <c r="EY50" s="749"/>
      <c r="EZ50" s="749"/>
      <c r="FA50" s="749"/>
      <c r="FB50" s="749"/>
      <c r="FC50" s="749"/>
      <c r="FD50" s="749"/>
      <c r="FE50" s="749"/>
      <c r="FF50" s="749"/>
      <c r="FG50" s="749"/>
      <c r="FH50" s="749"/>
      <c r="FI50" s="749"/>
      <c r="FJ50" s="749"/>
      <c r="FK50" s="749"/>
      <c r="FL50" s="749"/>
      <c r="FM50" s="749"/>
      <c r="FN50" s="749"/>
      <c r="FO50" s="749"/>
      <c r="FP50" s="749"/>
      <c r="FQ50" s="749"/>
      <c r="FR50" s="749"/>
      <c r="FS50" s="749"/>
      <c r="FT50" s="749"/>
      <c r="FU50" s="749"/>
      <c r="FV50" s="749"/>
      <c r="FW50" s="749"/>
      <c r="FX50" s="749"/>
      <c r="FY50" s="749"/>
      <c r="FZ50" s="749"/>
      <c r="GA50" s="749"/>
      <c r="GB50" s="749"/>
      <c r="GC50" s="749"/>
      <c r="GD50" s="749"/>
      <c r="GE50" s="749"/>
      <c r="GF50" s="749"/>
      <c r="GG50" s="749"/>
      <c r="GH50" s="749"/>
      <c r="GI50" s="749"/>
      <c r="GJ50" s="749"/>
      <c r="GK50" s="749"/>
      <c r="GL50" s="749"/>
      <c r="GM50" s="749"/>
      <c r="GN50" s="749"/>
      <c r="GO50" s="749"/>
      <c r="GP50" s="749"/>
      <c r="GQ50" s="749"/>
      <c r="GR50" s="749"/>
      <c r="GS50" s="749"/>
      <c r="GT50" s="749"/>
      <c r="GU50" s="749"/>
      <c r="GV50" s="749"/>
      <c r="GW50" s="749"/>
      <c r="GX50" s="749"/>
      <c r="GY50" s="749"/>
      <c r="GZ50" s="749"/>
      <c r="HA50" s="749"/>
      <c r="HB50" s="749"/>
      <c r="HC50" s="749"/>
      <c r="HD50" s="749"/>
      <c r="HE50" s="749"/>
      <c r="HF50" s="749"/>
      <c r="HG50" s="749"/>
      <c r="HH50" s="749"/>
      <c r="HI50" s="749"/>
      <c r="HJ50" s="749"/>
      <c r="HK50" s="749"/>
      <c r="HL50" s="749"/>
      <c r="HM50" s="749"/>
      <c r="HN50" s="749"/>
      <c r="HO50" s="749"/>
      <c r="HP50" s="749"/>
      <c r="HQ50" s="749"/>
      <c r="HR50" s="749"/>
      <c r="HS50" s="749"/>
      <c r="HT50" s="749"/>
      <c r="HU50" s="749"/>
      <c r="HV50" s="749"/>
      <c r="HW50" s="749"/>
      <c r="HX50" s="749"/>
      <c r="HY50" s="749"/>
      <c r="HZ50" s="749"/>
      <c r="IA50" s="749"/>
      <c r="IB50" s="749"/>
      <c r="IC50" s="749"/>
      <c r="ID50" s="749"/>
      <c r="IE50" s="749"/>
      <c r="IF50" s="749"/>
      <c r="IG50" s="749"/>
      <c r="IH50" s="749"/>
      <c r="II50" s="749"/>
      <c r="IJ50" s="749"/>
      <c r="IK50" s="749"/>
      <c r="IL50" s="749"/>
      <c r="IM50" s="749"/>
      <c r="IN50" s="749"/>
    </row>
    <row r="51" spans="1:248" ht="12.75" customHeight="1">
      <c r="A51" s="3"/>
      <c r="B51" s="769" t="s">
        <v>223</v>
      </c>
      <c r="C51" s="3" t="s">
        <v>7370</v>
      </c>
      <c r="D51" s="3"/>
      <c r="E51" s="3"/>
      <c r="F51" s="774">
        <f>SUM(F38:F50)</f>
        <v>9.3000000000000013E-2</v>
      </c>
      <c r="G51" s="775"/>
      <c r="H51" s="775">
        <f>SUM(G38:G50)</f>
        <v>3906000</v>
      </c>
      <c r="I51" s="771"/>
      <c r="J51" s="3"/>
      <c r="K51" s="3"/>
      <c r="L51" s="749"/>
      <c r="M51" s="3"/>
      <c r="N51" s="777"/>
      <c r="O51" s="3"/>
      <c r="P51" s="773" t="s">
        <v>7369</v>
      </c>
      <c r="Q51" s="770">
        <v>5.0000000000000001E-4</v>
      </c>
      <c r="R51" s="771">
        <f>SUM(Q51*T27)</f>
        <v>21000</v>
      </c>
      <c r="S51" s="771"/>
      <c r="T51" s="3"/>
      <c r="U51" s="3"/>
      <c r="V51" s="771"/>
      <c r="W51" s="3"/>
      <c r="X51" s="3"/>
      <c r="Y51" s="3"/>
      <c r="Z51" s="3"/>
      <c r="AA51" s="3"/>
      <c r="AB51" s="3"/>
      <c r="AC51" s="850" t="s">
        <v>7551</v>
      </c>
      <c r="AD51" s="877"/>
      <c r="AE51" s="868"/>
      <c r="AF51" s="877"/>
      <c r="AG51" s="878"/>
      <c r="AH51" s="877"/>
      <c r="AI51" s="878"/>
      <c r="AJ51" s="877"/>
      <c r="AK51" s="878"/>
      <c r="AL51" s="877"/>
      <c r="AM51" s="878">
        <f>'TAB 3 Project Cost'!F99</f>
        <v>0.09</v>
      </c>
      <c r="AN51" s="879">
        <f>'TAB 3 Project Cost'!G99</f>
        <v>0</v>
      </c>
      <c r="AO51" s="868"/>
      <c r="AP51" s="851"/>
      <c r="AQ51" s="923"/>
      <c r="AR51" s="924"/>
      <c r="AS51" s="925"/>
      <c r="AT51" s="923">
        <f>'TAB 3 Project Cost'!AA99</f>
        <v>0</v>
      </c>
      <c r="AU51" s="924">
        <f>'TAB 3 Project Cost'!AB99</f>
        <v>0</v>
      </c>
      <c r="AV51" s="924">
        <f>'TAB 3 Project Cost'!AC99</f>
        <v>0</v>
      </c>
      <c r="AW51" s="925">
        <f>'TAB 3 Project Cost'!AD99</f>
        <v>0</v>
      </c>
      <c r="AX51" s="749"/>
      <c r="AY51" s="749"/>
      <c r="AZ51" s="749"/>
      <c r="BA51" s="749"/>
      <c r="BB51" s="749"/>
      <c r="BC51" s="749"/>
      <c r="BD51" s="749"/>
      <c r="BE51" s="749"/>
      <c r="BF51" s="749"/>
      <c r="BG51" s="749"/>
      <c r="BH51" s="749"/>
      <c r="BI51" s="749"/>
      <c r="BJ51" s="749"/>
      <c r="BK51" s="749"/>
      <c r="BL51" s="749"/>
      <c r="BM51" s="749"/>
      <c r="BN51" s="749"/>
      <c r="BO51" s="749"/>
      <c r="BP51" s="749"/>
      <c r="BQ51" s="749"/>
      <c r="BR51" s="749"/>
      <c r="BS51" s="749"/>
      <c r="BT51" s="749"/>
      <c r="BU51" s="749"/>
      <c r="BV51" s="749"/>
      <c r="BW51" s="749"/>
      <c r="BX51" s="749"/>
      <c r="BY51" s="749"/>
      <c r="BZ51" s="749"/>
      <c r="CA51" s="749"/>
      <c r="CB51" s="749"/>
      <c r="CC51" s="749"/>
      <c r="CD51" s="749"/>
      <c r="CE51" s="749"/>
      <c r="CF51" s="749"/>
      <c r="CG51" s="749"/>
      <c r="CH51" s="749"/>
      <c r="CI51" s="749"/>
      <c r="CJ51" s="749"/>
      <c r="CK51" s="749"/>
      <c r="CL51" s="749"/>
      <c r="CM51" s="749"/>
      <c r="CN51" s="749"/>
      <c r="CO51" s="749"/>
      <c r="CP51" s="749"/>
      <c r="CQ51" s="749"/>
      <c r="CR51" s="749"/>
      <c r="CS51" s="749"/>
      <c r="CT51" s="749"/>
      <c r="CU51" s="749"/>
      <c r="CV51" s="749"/>
      <c r="CW51" s="749"/>
      <c r="CX51" s="749"/>
      <c r="CY51" s="749"/>
      <c r="CZ51" s="749"/>
      <c r="DA51" s="749"/>
      <c r="DB51" s="749"/>
      <c r="DC51" s="749"/>
      <c r="DD51" s="749"/>
      <c r="DE51" s="749"/>
      <c r="DF51" s="749"/>
      <c r="DG51" s="749"/>
      <c r="DH51" s="749"/>
      <c r="DI51" s="749"/>
      <c r="DJ51" s="749"/>
      <c r="DK51" s="749"/>
      <c r="DL51" s="749"/>
      <c r="DM51" s="749"/>
      <c r="DN51" s="749"/>
      <c r="DO51" s="749"/>
      <c r="DP51" s="749"/>
      <c r="DQ51" s="749"/>
      <c r="DR51" s="749"/>
      <c r="DS51" s="749"/>
      <c r="DT51" s="749"/>
      <c r="DU51" s="749"/>
      <c r="DV51" s="749"/>
      <c r="DW51" s="749"/>
      <c r="DX51" s="749"/>
      <c r="DY51" s="749"/>
      <c r="DZ51" s="749"/>
      <c r="EA51" s="749"/>
      <c r="EB51" s="749"/>
      <c r="EC51" s="749"/>
      <c r="ED51" s="749"/>
      <c r="EE51" s="749"/>
      <c r="EF51" s="749"/>
      <c r="EG51" s="749"/>
      <c r="EH51" s="749"/>
      <c r="EI51" s="749"/>
      <c r="EJ51" s="749"/>
      <c r="EK51" s="749"/>
      <c r="EL51" s="749"/>
      <c r="EM51" s="749"/>
      <c r="EN51" s="749"/>
      <c r="EO51" s="749"/>
      <c r="EP51" s="749"/>
      <c r="EQ51" s="749"/>
      <c r="ER51" s="749"/>
      <c r="ES51" s="749"/>
      <c r="ET51" s="749"/>
      <c r="EU51" s="749"/>
      <c r="EV51" s="749"/>
      <c r="EW51" s="749"/>
      <c r="EX51" s="749"/>
      <c r="EY51" s="749"/>
      <c r="EZ51" s="749"/>
      <c r="FA51" s="749"/>
      <c r="FB51" s="749"/>
      <c r="FC51" s="749"/>
      <c r="FD51" s="749"/>
      <c r="FE51" s="749"/>
      <c r="FF51" s="749"/>
      <c r="FG51" s="749"/>
      <c r="FH51" s="749"/>
      <c r="FI51" s="749"/>
      <c r="FJ51" s="749"/>
      <c r="FK51" s="749"/>
      <c r="FL51" s="749"/>
      <c r="FM51" s="749"/>
      <c r="FN51" s="749"/>
      <c r="FO51" s="749"/>
      <c r="FP51" s="749"/>
      <c r="FQ51" s="749"/>
      <c r="FR51" s="749"/>
      <c r="FS51" s="749"/>
      <c r="FT51" s="749"/>
      <c r="FU51" s="749"/>
      <c r="FV51" s="749"/>
      <c r="FW51" s="749"/>
      <c r="FX51" s="749"/>
      <c r="FY51" s="749"/>
      <c r="FZ51" s="749"/>
      <c r="GA51" s="749"/>
      <c r="GB51" s="749"/>
      <c r="GC51" s="749"/>
      <c r="GD51" s="749"/>
      <c r="GE51" s="749"/>
      <c r="GF51" s="749"/>
      <c r="GG51" s="749"/>
      <c r="GH51" s="749"/>
      <c r="GI51" s="749"/>
      <c r="GJ51" s="749"/>
      <c r="GK51" s="749"/>
      <c r="GL51" s="749"/>
      <c r="GM51" s="749"/>
      <c r="GN51" s="749"/>
      <c r="GO51" s="749"/>
      <c r="GP51" s="749"/>
      <c r="GQ51" s="749"/>
      <c r="GR51" s="749"/>
      <c r="GS51" s="749"/>
      <c r="GT51" s="749"/>
      <c r="GU51" s="749"/>
      <c r="GV51" s="749"/>
      <c r="GW51" s="749"/>
      <c r="GX51" s="749"/>
      <c r="GY51" s="749"/>
      <c r="GZ51" s="749"/>
      <c r="HA51" s="749"/>
      <c r="HB51" s="749"/>
      <c r="HC51" s="749"/>
      <c r="HD51" s="749"/>
      <c r="HE51" s="749"/>
      <c r="HF51" s="749"/>
      <c r="HG51" s="749"/>
      <c r="HH51" s="749"/>
      <c r="HI51" s="749"/>
      <c r="HJ51" s="749"/>
      <c r="HK51" s="749"/>
      <c r="HL51" s="749"/>
      <c r="HM51" s="749"/>
      <c r="HN51" s="749"/>
      <c r="HO51" s="749"/>
      <c r="HP51" s="749"/>
      <c r="HQ51" s="749"/>
      <c r="HR51" s="749"/>
      <c r="HS51" s="749"/>
      <c r="HT51" s="749"/>
      <c r="HU51" s="749"/>
      <c r="HV51" s="749"/>
      <c r="HW51" s="749"/>
      <c r="HX51" s="749"/>
      <c r="HY51" s="749"/>
      <c r="HZ51" s="749"/>
      <c r="IA51" s="749"/>
      <c r="IB51" s="749"/>
      <c r="IC51" s="749"/>
      <c r="ID51" s="749"/>
      <c r="IE51" s="749"/>
      <c r="IF51" s="749"/>
      <c r="IG51" s="749"/>
      <c r="IH51" s="749"/>
      <c r="II51" s="749"/>
      <c r="IJ51" s="749"/>
      <c r="IK51" s="749"/>
      <c r="IL51" s="749"/>
      <c r="IM51" s="749"/>
      <c r="IN51" s="749"/>
    </row>
    <row r="52" spans="1:248" ht="12.75" customHeight="1">
      <c r="A52" s="3"/>
      <c r="B52" s="777"/>
      <c r="C52" s="3"/>
      <c r="D52" s="3"/>
      <c r="E52" s="3"/>
      <c r="F52" s="770"/>
      <c r="G52" s="3"/>
      <c r="H52" s="3"/>
      <c r="I52" s="3"/>
      <c r="J52" s="3"/>
      <c r="K52" s="3"/>
      <c r="L52" s="749"/>
      <c r="M52" s="3"/>
      <c r="N52" s="769" t="s">
        <v>223</v>
      </c>
      <c r="O52" s="3" t="s">
        <v>7370</v>
      </c>
      <c r="P52" s="3"/>
      <c r="Q52" s="774">
        <f>SUM(Q38:Q51)</f>
        <v>0.10750000000000001</v>
      </c>
      <c r="R52" s="775"/>
      <c r="S52" s="775"/>
      <c r="T52" s="775">
        <f>SUM(R38:R51)</f>
        <v>3906000</v>
      </c>
      <c r="U52" s="771"/>
      <c r="V52" s="771"/>
      <c r="W52" s="3"/>
      <c r="X52" s="3"/>
      <c r="Y52" s="3"/>
      <c r="Z52" s="3"/>
      <c r="AA52" s="3"/>
      <c r="AB52" s="3"/>
      <c r="AC52" s="849"/>
      <c r="AD52" s="838"/>
      <c r="AE52" s="836"/>
      <c r="AF52" s="838"/>
      <c r="AG52" s="872"/>
      <c r="AH52" s="838"/>
      <c r="AI52" s="872"/>
      <c r="AJ52" s="838"/>
      <c r="AK52" s="872"/>
      <c r="AL52" s="838"/>
      <c r="AM52" s="872"/>
      <c r="AN52" s="838"/>
      <c r="AO52" s="836"/>
      <c r="AP52" s="844"/>
      <c r="AQ52" s="920"/>
      <c r="AR52" s="921"/>
      <c r="AS52" s="922"/>
      <c r="AT52" s="920"/>
      <c r="AU52" s="921"/>
      <c r="AV52" s="921"/>
      <c r="AW52" s="922"/>
      <c r="AX52" s="749"/>
    </row>
    <row r="53" spans="1:248" ht="12.75">
      <c r="A53" s="1" t="s">
        <v>7371</v>
      </c>
      <c r="B53" s="3"/>
      <c r="C53" s="3"/>
      <c r="D53" s="3"/>
      <c r="E53" s="3"/>
      <c r="F53" s="770"/>
      <c r="G53" s="3"/>
      <c r="H53" s="3" t="s">
        <v>7332</v>
      </c>
      <c r="I53" s="3"/>
      <c r="J53" s="3"/>
      <c r="K53" s="3"/>
      <c r="L53" s="749"/>
      <c r="M53" s="3"/>
      <c r="N53" s="777"/>
      <c r="O53" s="3"/>
      <c r="P53" s="3"/>
      <c r="Q53" s="770"/>
      <c r="R53" s="3"/>
      <c r="S53" s="3"/>
      <c r="T53" s="3"/>
      <c r="U53" s="3"/>
      <c r="V53" s="3"/>
      <c r="W53" s="3"/>
      <c r="X53" s="3"/>
      <c r="Y53" s="3"/>
      <c r="Z53" s="3"/>
      <c r="AA53" s="3"/>
      <c r="AB53" s="3"/>
      <c r="AC53" s="849"/>
      <c r="AD53" s="838"/>
      <c r="AE53" s="836"/>
      <c r="AF53" s="838"/>
      <c r="AG53" s="872"/>
      <c r="AH53" s="838"/>
      <c r="AI53" s="872"/>
      <c r="AJ53" s="838"/>
      <c r="AK53" s="872"/>
      <c r="AL53" s="838"/>
      <c r="AM53" s="872"/>
      <c r="AN53" s="838"/>
      <c r="AO53" s="836"/>
      <c r="AP53" s="844"/>
      <c r="AQ53" s="920"/>
      <c r="AR53" s="921"/>
      <c r="AS53" s="922"/>
      <c r="AT53" s="920"/>
      <c r="AU53" s="921"/>
      <c r="AV53" s="921"/>
      <c r="AW53" s="922"/>
      <c r="AX53" s="749"/>
      <c r="AY53" s="749"/>
      <c r="AZ53" s="749"/>
      <c r="BA53" s="749"/>
      <c r="BB53" s="749"/>
      <c r="BC53" s="749"/>
      <c r="BD53" s="749"/>
      <c r="BE53" s="749"/>
      <c r="BF53" s="749"/>
      <c r="BG53" s="749"/>
      <c r="BH53" s="749"/>
      <c r="BI53" s="749"/>
      <c r="BJ53" s="749"/>
      <c r="BK53" s="749"/>
      <c r="BL53" s="749"/>
      <c r="BM53" s="749"/>
      <c r="BN53" s="749"/>
      <c r="BO53" s="749"/>
      <c r="BP53" s="749"/>
      <c r="BQ53" s="749"/>
      <c r="BR53" s="749"/>
      <c r="BS53" s="749"/>
      <c r="BT53" s="749"/>
      <c r="BU53" s="749"/>
      <c r="BV53" s="749"/>
      <c r="BW53" s="749"/>
      <c r="BX53" s="749"/>
      <c r="BY53" s="749"/>
      <c r="BZ53" s="749"/>
      <c r="CA53" s="749"/>
      <c r="CB53" s="749"/>
      <c r="CC53" s="749"/>
      <c r="CD53" s="749"/>
      <c r="CE53" s="749"/>
      <c r="CF53" s="749"/>
      <c r="CG53" s="749"/>
      <c r="CH53" s="749"/>
      <c r="CI53" s="749"/>
      <c r="CJ53" s="749"/>
      <c r="CK53" s="749"/>
      <c r="CL53" s="749"/>
      <c r="CM53" s="749"/>
      <c r="CN53" s="749"/>
      <c r="CO53" s="749"/>
      <c r="CP53" s="749"/>
      <c r="CQ53" s="749"/>
      <c r="CR53" s="749"/>
      <c r="CS53" s="749"/>
      <c r="CT53" s="749"/>
      <c r="CU53" s="749"/>
      <c r="CV53" s="749"/>
      <c r="CW53" s="749"/>
      <c r="CX53" s="749"/>
      <c r="CY53" s="749"/>
      <c r="CZ53" s="749"/>
      <c r="DA53" s="749"/>
      <c r="DB53" s="749"/>
      <c r="DC53" s="749"/>
      <c r="DD53" s="749"/>
      <c r="DE53" s="749"/>
      <c r="DF53" s="749"/>
      <c r="DG53" s="749"/>
      <c r="DH53" s="749"/>
      <c r="DI53" s="749"/>
      <c r="DJ53" s="749"/>
      <c r="DK53" s="749"/>
      <c r="DL53" s="749"/>
      <c r="DM53" s="749"/>
      <c r="DN53" s="749"/>
      <c r="DO53" s="749"/>
      <c r="DP53" s="749"/>
      <c r="DQ53" s="749"/>
      <c r="DR53" s="749"/>
      <c r="DS53" s="749"/>
      <c r="DT53" s="749"/>
      <c r="DU53" s="749"/>
      <c r="DV53" s="749"/>
      <c r="DW53" s="749"/>
      <c r="DX53" s="749"/>
      <c r="DY53" s="749"/>
      <c r="DZ53" s="749"/>
      <c r="EA53" s="749"/>
      <c r="EB53" s="749"/>
      <c r="EC53" s="749"/>
      <c r="ED53" s="749"/>
      <c r="EE53" s="749"/>
      <c r="EF53" s="749"/>
      <c r="EG53" s="749"/>
      <c r="EH53" s="749"/>
      <c r="EI53" s="749"/>
      <c r="EJ53" s="749"/>
      <c r="EK53" s="749"/>
      <c r="EL53" s="749"/>
      <c r="EM53" s="749"/>
      <c r="EN53" s="749"/>
      <c r="EO53" s="749"/>
      <c r="EP53" s="749"/>
      <c r="EQ53" s="749"/>
      <c r="ER53" s="749"/>
      <c r="ES53" s="749"/>
      <c r="ET53" s="749"/>
      <c r="EU53" s="749"/>
      <c r="EV53" s="749"/>
      <c r="EW53" s="749"/>
      <c r="EX53" s="749"/>
      <c r="EY53" s="749"/>
      <c r="EZ53" s="749"/>
      <c r="FA53" s="749"/>
      <c r="FB53" s="749"/>
      <c r="FC53" s="749"/>
      <c r="FD53" s="749"/>
      <c r="FE53" s="749"/>
      <c r="FF53" s="749"/>
      <c r="FG53" s="749"/>
      <c r="FH53" s="749"/>
      <c r="FI53" s="749"/>
      <c r="FJ53" s="749"/>
      <c r="FK53" s="749"/>
      <c r="FL53" s="749"/>
      <c r="FM53" s="749"/>
      <c r="FN53" s="749"/>
      <c r="FO53" s="749"/>
      <c r="FP53" s="749"/>
      <c r="FQ53" s="749"/>
      <c r="FR53" s="749"/>
      <c r="FS53" s="749"/>
      <c r="FT53" s="749"/>
      <c r="FU53" s="749"/>
      <c r="FV53" s="749"/>
      <c r="FW53" s="749"/>
      <c r="FX53" s="749"/>
      <c r="FY53" s="749"/>
      <c r="FZ53" s="749"/>
      <c r="GA53" s="749"/>
      <c r="GB53" s="749"/>
      <c r="GC53" s="749"/>
      <c r="GD53" s="749"/>
      <c r="GE53" s="749"/>
      <c r="GF53" s="749"/>
      <c r="GG53" s="749"/>
      <c r="GH53" s="749"/>
      <c r="GI53" s="749"/>
      <c r="GJ53" s="749"/>
      <c r="GK53" s="749"/>
      <c r="GL53" s="749"/>
      <c r="GM53" s="749"/>
      <c r="GN53" s="749"/>
      <c r="GO53" s="749"/>
      <c r="GP53" s="749"/>
      <c r="GQ53" s="749"/>
      <c r="GR53" s="749"/>
      <c r="GS53" s="749"/>
      <c r="GT53" s="749"/>
      <c r="GU53" s="749"/>
      <c r="GV53" s="749"/>
      <c r="GW53" s="749"/>
      <c r="GX53" s="749"/>
      <c r="GY53" s="749"/>
      <c r="GZ53" s="749"/>
      <c r="HA53" s="749"/>
      <c r="HB53" s="749"/>
      <c r="HC53" s="749"/>
      <c r="HD53" s="749"/>
      <c r="HE53" s="749"/>
      <c r="HF53" s="749"/>
      <c r="HG53" s="749"/>
      <c r="HH53" s="749"/>
      <c r="HI53" s="749"/>
      <c r="HJ53" s="749"/>
      <c r="HK53" s="749"/>
      <c r="HL53" s="749"/>
      <c r="HM53" s="749"/>
      <c r="HN53" s="749"/>
      <c r="HO53" s="749"/>
      <c r="HP53" s="749"/>
      <c r="HQ53" s="749"/>
      <c r="HR53" s="749"/>
      <c r="HS53" s="749"/>
      <c r="HT53" s="749"/>
      <c r="HU53" s="749"/>
      <c r="HV53" s="749"/>
      <c r="HW53" s="749"/>
      <c r="HX53" s="749"/>
      <c r="HY53" s="749"/>
      <c r="HZ53" s="749"/>
      <c r="IA53" s="749"/>
      <c r="IB53" s="749"/>
      <c r="IC53" s="749"/>
      <c r="ID53" s="749"/>
      <c r="IE53" s="749"/>
      <c r="IF53" s="749"/>
      <c r="IG53" s="749"/>
      <c r="IH53" s="749"/>
      <c r="II53" s="749"/>
      <c r="IJ53" s="749"/>
      <c r="IK53" s="749"/>
      <c r="IL53" s="749"/>
      <c r="IM53" s="749"/>
      <c r="IN53" s="749"/>
    </row>
    <row r="54" spans="1:248" ht="12.75">
      <c r="A54" s="3"/>
      <c r="B54" s="769" t="s">
        <v>219</v>
      </c>
      <c r="C54" s="3" t="s">
        <v>7372</v>
      </c>
      <c r="D54" s="3"/>
      <c r="E54" s="767"/>
      <c r="F54" s="781">
        <v>8.7249999999999994E-2</v>
      </c>
      <c r="G54" s="771">
        <f>SUM(H27*F54)</f>
        <v>3664499.9999999995</v>
      </c>
      <c r="H54" s="767"/>
      <c r="I54" s="3"/>
      <c r="J54" s="3"/>
      <c r="K54" s="3"/>
      <c r="L54" s="749"/>
      <c r="M54" s="1" t="s">
        <v>7371</v>
      </c>
      <c r="N54" s="3"/>
      <c r="O54" s="3"/>
      <c r="P54" s="3"/>
      <c r="Q54" s="770"/>
      <c r="R54" s="3"/>
      <c r="S54" s="3"/>
      <c r="T54" s="3" t="s">
        <v>7332</v>
      </c>
      <c r="U54" s="3"/>
      <c r="V54" s="3"/>
      <c r="W54" s="3"/>
      <c r="X54" s="3"/>
      <c r="Y54" s="3"/>
      <c r="Z54" s="3"/>
      <c r="AA54" s="3"/>
      <c r="AB54" s="3"/>
      <c r="AC54" s="850" t="s">
        <v>377</v>
      </c>
      <c r="AD54" s="889"/>
      <c r="AE54" s="895"/>
      <c r="AF54" s="879">
        <f>AH54+AN54+AO54+AP54</f>
        <v>0</v>
      </c>
      <c r="AG54" s="878"/>
      <c r="AH54" s="889">
        <f t="shared" ref="AH54:AH55" si="9">AJ54+AL54</f>
        <v>0</v>
      </c>
      <c r="AI54" s="878">
        <f>'TAB 3 Project Cost'!F27</f>
        <v>0.1</v>
      </c>
      <c r="AJ54" s="889">
        <f>'TAB 3 Project Cost'!G27</f>
        <v>0</v>
      </c>
      <c r="AK54" s="878">
        <f>'TAB 3 Project Cost'!F58</f>
        <v>0.1</v>
      </c>
      <c r="AL54" s="889">
        <f>'TAB 3 Project Cost'!G58</f>
        <v>0</v>
      </c>
      <c r="AM54" s="878"/>
      <c r="AN54" s="877"/>
      <c r="AO54" s="868"/>
      <c r="AP54" s="851"/>
      <c r="AQ54" s="923">
        <f>'TAB 3 Project Cost'!AC58</f>
        <v>0</v>
      </c>
      <c r="AR54" s="924">
        <f>'TAB 3 Project Cost'!AD58</f>
        <v>0</v>
      </c>
      <c r="AS54" s="925">
        <f>'TAB 3 Project Cost'!AE58</f>
        <v>0</v>
      </c>
      <c r="AT54" s="923"/>
      <c r="AU54" s="924"/>
      <c r="AV54" s="924"/>
      <c r="AW54" s="925"/>
      <c r="AX54" s="749"/>
      <c r="AY54" s="749"/>
      <c r="AZ54" s="749"/>
      <c r="BA54" s="749"/>
      <c r="BB54" s="749"/>
      <c r="BC54" s="749"/>
      <c r="BD54" s="749"/>
      <c r="BE54" s="749"/>
      <c r="BF54" s="749"/>
      <c r="BG54" s="749"/>
      <c r="BH54" s="749"/>
      <c r="BI54" s="749"/>
      <c r="BJ54" s="749"/>
      <c r="BK54" s="749"/>
      <c r="BL54" s="749"/>
      <c r="BM54" s="749"/>
      <c r="BN54" s="749"/>
      <c r="BO54" s="749"/>
      <c r="BP54" s="749"/>
      <c r="BQ54" s="749"/>
      <c r="BR54" s="749"/>
      <c r="BS54" s="749"/>
      <c r="BT54" s="749"/>
      <c r="BU54" s="749"/>
      <c r="BV54" s="749"/>
      <c r="BW54" s="749"/>
      <c r="BX54" s="749"/>
      <c r="BY54" s="749"/>
      <c r="BZ54" s="749"/>
      <c r="CA54" s="749"/>
      <c r="CB54" s="749"/>
      <c r="CC54" s="749"/>
      <c r="CD54" s="749"/>
      <c r="CE54" s="749"/>
      <c r="CF54" s="749"/>
      <c r="CG54" s="749"/>
      <c r="CH54" s="749"/>
      <c r="CI54" s="749"/>
      <c r="CJ54" s="749"/>
      <c r="CK54" s="749"/>
      <c r="CL54" s="749"/>
      <c r="CM54" s="749"/>
      <c r="CN54" s="749"/>
      <c r="CO54" s="749"/>
      <c r="CP54" s="749"/>
      <c r="CQ54" s="749"/>
      <c r="CR54" s="749"/>
      <c r="CS54" s="749"/>
      <c r="CT54" s="749"/>
      <c r="CU54" s="749"/>
      <c r="CV54" s="749"/>
      <c r="CW54" s="749"/>
      <c r="CX54" s="749"/>
      <c r="CY54" s="749"/>
      <c r="CZ54" s="749"/>
      <c r="DA54" s="749"/>
      <c r="DB54" s="749"/>
      <c r="DC54" s="749"/>
      <c r="DD54" s="749"/>
      <c r="DE54" s="749"/>
      <c r="DF54" s="749"/>
      <c r="DG54" s="749"/>
      <c r="DH54" s="749"/>
      <c r="DI54" s="749"/>
      <c r="DJ54" s="749"/>
      <c r="DK54" s="749"/>
      <c r="DL54" s="749"/>
      <c r="DM54" s="749"/>
      <c r="DN54" s="749"/>
      <c r="DO54" s="749"/>
      <c r="DP54" s="749"/>
      <c r="DQ54" s="749"/>
      <c r="DR54" s="749"/>
      <c r="DS54" s="749"/>
      <c r="DT54" s="749"/>
      <c r="DU54" s="749"/>
      <c r="DV54" s="749"/>
      <c r="DW54" s="749"/>
      <c r="DX54" s="749"/>
      <c r="DY54" s="749"/>
      <c r="DZ54" s="749"/>
      <c r="EA54" s="749"/>
      <c r="EB54" s="749"/>
      <c r="EC54" s="749"/>
      <c r="ED54" s="749"/>
      <c r="EE54" s="749"/>
      <c r="EF54" s="749"/>
      <c r="EG54" s="749"/>
      <c r="EH54" s="749"/>
      <c r="EI54" s="749"/>
      <c r="EJ54" s="749"/>
      <c r="EK54" s="749"/>
      <c r="EL54" s="749"/>
      <c r="EM54" s="749"/>
      <c r="EN54" s="749"/>
      <c r="EO54" s="749"/>
      <c r="EP54" s="749"/>
      <c r="EQ54" s="749"/>
      <c r="ER54" s="749"/>
      <c r="ES54" s="749"/>
      <c r="ET54" s="749"/>
      <c r="EU54" s="749"/>
      <c r="EV54" s="749"/>
      <c r="EW54" s="749"/>
      <c r="EX54" s="749"/>
      <c r="EY54" s="749"/>
      <c r="EZ54" s="749"/>
      <c r="FA54" s="749"/>
      <c r="FB54" s="749"/>
      <c r="FC54" s="749"/>
      <c r="FD54" s="749"/>
      <c r="FE54" s="749"/>
      <c r="FF54" s="749"/>
      <c r="FG54" s="749"/>
      <c r="FH54" s="749"/>
      <c r="FI54" s="749"/>
      <c r="FJ54" s="749"/>
      <c r="FK54" s="749"/>
      <c r="FL54" s="749"/>
      <c r="FM54" s="749"/>
      <c r="FN54" s="749"/>
      <c r="FO54" s="749"/>
      <c r="FP54" s="749"/>
      <c r="FQ54" s="749"/>
      <c r="FR54" s="749"/>
      <c r="FS54" s="749"/>
      <c r="FT54" s="749"/>
      <c r="FU54" s="749"/>
      <c r="FV54" s="749"/>
      <c r="FW54" s="749"/>
      <c r="FX54" s="749"/>
      <c r="FY54" s="749"/>
      <c r="FZ54" s="749"/>
      <c r="GA54" s="749"/>
      <c r="GB54" s="749"/>
      <c r="GC54" s="749"/>
      <c r="GD54" s="749"/>
      <c r="GE54" s="749"/>
      <c r="GF54" s="749"/>
      <c r="GG54" s="749"/>
      <c r="GH54" s="749"/>
      <c r="GI54" s="749"/>
      <c r="GJ54" s="749"/>
      <c r="GK54" s="749"/>
      <c r="GL54" s="749"/>
      <c r="GM54" s="749"/>
      <c r="GN54" s="749"/>
      <c r="GO54" s="749"/>
      <c r="GP54" s="749"/>
      <c r="GQ54" s="749"/>
      <c r="GR54" s="749"/>
      <c r="GS54" s="749"/>
      <c r="GT54" s="749"/>
      <c r="GU54" s="749"/>
      <c r="GV54" s="749"/>
      <c r="GW54" s="749"/>
      <c r="GX54" s="749"/>
      <c r="GY54" s="749"/>
      <c r="GZ54" s="749"/>
      <c r="HA54" s="749"/>
      <c r="HB54" s="749"/>
      <c r="HC54" s="749"/>
      <c r="HD54" s="749"/>
      <c r="HE54" s="749"/>
      <c r="HF54" s="749"/>
      <c r="HG54" s="749"/>
      <c r="HH54" s="749"/>
      <c r="HI54" s="749"/>
      <c r="HJ54" s="749"/>
      <c r="HK54" s="749"/>
      <c r="HL54" s="749"/>
      <c r="HM54" s="749"/>
      <c r="HN54" s="749"/>
      <c r="HO54" s="749"/>
      <c r="HP54" s="749"/>
      <c r="HQ54" s="749"/>
      <c r="HR54" s="749"/>
      <c r="HS54" s="749"/>
      <c r="HT54" s="749"/>
      <c r="HU54" s="749"/>
      <c r="HV54" s="749"/>
      <c r="HW54" s="749"/>
      <c r="HX54" s="749"/>
      <c r="HY54" s="749"/>
      <c r="HZ54" s="749"/>
      <c r="IA54" s="749"/>
      <c r="IB54" s="749"/>
      <c r="IC54" s="749"/>
      <c r="ID54" s="749"/>
      <c r="IE54" s="749"/>
      <c r="IF54" s="749"/>
      <c r="IG54" s="749"/>
      <c r="IH54" s="749"/>
      <c r="II54" s="749"/>
      <c r="IJ54" s="749"/>
      <c r="IK54" s="749"/>
      <c r="IL54" s="749"/>
      <c r="IM54" s="749"/>
      <c r="IN54" s="749"/>
    </row>
    <row r="55" spans="1:248" ht="12.75" customHeight="1">
      <c r="A55" s="3"/>
      <c r="B55" s="769" t="s">
        <v>220</v>
      </c>
      <c r="C55" s="3" t="s">
        <v>7373</v>
      </c>
      <c r="D55" s="3"/>
      <c r="E55" s="767"/>
      <c r="F55" s="782">
        <v>2.5000000000000001E-2</v>
      </c>
      <c r="G55" s="771">
        <f>SUM(H27*F55)</f>
        <v>1050000</v>
      </c>
      <c r="H55" s="767"/>
      <c r="I55" s="3"/>
      <c r="J55" s="3"/>
      <c r="K55" s="3"/>
      <c r="L55" s="749"/>
      <c r="M55" s="3"/>
      <c r="N55" s="769" t="s">
        <v>219</v>
      </c>
      <c r="O55" s="3" t="s">
        <v>7372</v>
      </c>
      <c r="P55" s="3"/>
      <c r="Q55" s="781">
        <v>8.7249999999999994E-2</v>
      </c>
      <c r="R55" s="771">
        <f>SUM(T27*Q55)</f>
        <v>3664499.9999999995</v>
      </c>
      <c r="S55" s="771"/>
      <c r="T55" s="767"/>
      <c r="U55" s="767"/>
      <c r="V55" s="3"/>
      <c r="W55" s="3"/>
      <c r="X55" s="3"/>
      <c r="Y55" s="3"/>
      <c r="Z55" s="3"/>
      <c r="AA55" s="3"/>
      <c r="AB55" s="3"/>
      <c r="AC55" s="850" t="s">
        <v>378</v>
      </c>
      <c r="AD55" s="889"/>
      <c r="AE55" s="895"/>
      <c r="AF55" s="879">
        <f>AH55+AN55+AO55+AP55</f>
        <v>0</v>
      </c>
      <c r="AG55" s="878"/>
      <c r="AH55" s="889">
        <f t="shared" si="9"/>
        <v>0</v>
      </c>
      <c r="AI55" s="878">
        <f>'TAB 3 Project Cost'!F28</f>
        <v>2.5000000000000001E-2</v>
      </c>
      <c r="AJ55" s="889">
        <f>'TAB 3 Project Cost'!G28</f>
        <v>0</v>
      </c>
      <c r="AK55" s="878">
        <f>'TAB 3 Project Cost'!F59</f>
        <v>0.03</v>
      </c>
      <c r="AL55" s="889">
        <f>'TAB 3 Project Cost'!G59</f>
        <v>0</v>
      </c>
      <c r="AM55" s="878"/>
      <c r="AN55" s="877"/>
      <c r="AO55" s="868"/>
      <c r="AP55" s="851"/>
      <c r="AQ55" s="923">
        <f>'TAB 3 Project Cost'!AC59</f>
        <v>0</v>
      </c>
      <c r="AR55" s="924">
        <f>'TAB 3 Project Cost'!AD59</f>
        <v>0</v>
      </c>
      <c r="AS55" s="925">
        <f>'TAB 3 Project Cost'!AE59</f>
        <v>0</v>
      </c>
      <c r="AT55" s="923"/>
      <c r="AU55" s="924"/>
      <c r="AV55" s="924"/>
      <c r="AW55" s="925"/>
      <c r="AX55" s="749"/>
      <c r="AY55" s="749"/>
      <c r="AZ55" s="749"/>
      <c r="BA55" s="749"/>
      <c r="BB55" s="749"/>
      <c r="BC55" s="749"/>
      <c r="BD55" s="749"/>
      <c r="BE55" s="749"/>
      <c r="BF55" s="749"/>
      <c r="BG55" s="749"/>
      <c r="BH55" s="749"/>
      <c r="BI55" s="749"/>
      <c r="BJ55" s="749"/>
      <c r="BK55" s="749"/>
      <c r="BL55" s="749"/>
      <c r="BM55" s="749"/>
      <c r="BN55" s="749"/>
      <c r="BO55" s="749"/>
      <c r="BP55" s="749"/>
      <c r="BQ55" s="749"/>
      <c r="BR55" s="749"/>
      <c r="BS55" s="749"/>
      <c r="BT55" s="749"/>
      <c r="BU55" s="749"/>
      <c r="BV55" s="749"/>
      <c r="BW55" s="749"/>
      <c r="BX55" s="749"/>
      <c r="BY55" s="749"/>
      <c r="BZ55" s="749"/>
      <c r="CA55" s="749"/>
      <c r="CB55" s="749"/>
      <c r="CC55" s="749"/>
      <c r="CD55" s="749"/>
      <c r="CE55" s="749"/>
      <c r="CF55" s="749"/>
      <c r="CG55" s="749"/>
      <c r="CH55" s="749"/>
      <c r="CI55" s="749"/>
      <c r="CJ55" s="749"/>
      <c r="CK55" s="749"/>
      <c r="CL55" s="749"/>
      <c r="CM55" s="749"/>
      <c r="CN55" s="749"/>
      <c r="CO55" s="749"/>
      <c r="CP55" s="749"/>
      <c r="CQ55" s="749"/>
      <c r="CR55" s="749"/>
      <c r="CS55" s="749"/>
      <c r="CT55" s="749"/>
      <c r="CU55" s="749"/>
      <c r="CV55" s="749"/>
      <c r="CW55" s="749"/>
      <c r="CX55" s="749"/>
      <c r="CY55" s="749"/>
      <c r="CZ55" s="749"/>
      <c r="DA55" s="749"/>
      <c r="DB55" s="749"/>
      <c r="DC55" s="749"/>
      <c r="DD55" s="749"/>
      <c r="DE55" s="749"/>
      <c r="DF55" s="749"/>
      <c r="DG55" s="749"/>
      <c r="DH55" s="749"/>
      <c r="DI55" s="749"/>
      <c r="DJ55" s="749"/>
      <c r="DK55" s="749"/>
      <c r="DL55" s="749"/>
      <c r="DM55" s="749"/>
      <c r="DN55" s="749"/>
      <c r="DO55" s="749"/>
      <c r="DP55" s="749"/>
      <c r="DQ55" s="749"/>
      <c r="DR55" s="749"/>
      <c r="DS55" s="749"/>
      <c r="DT55" s="749"/>
      <c r="DU55" s="749"/>
      <c r="DV55" s="749"/>
      <c r="DW55" s="749"/>
      <c r="DX55" s="749"/>
      <c r="DY55" s="749"/>
      <c r="DZ55" s="749"/>
      <c r="EA55" s="749"/>
      <c r="EB55" s="749"/>
      <c r="EC55" s="749"/>
      <c r="ED55" s="749"/>
      <c r="EE55" s="749"/>
      <c r="EF55" s="749"/>
      <c r="EG55" s="749"/>
      <c r="EH55" s="749"/>
      <c r="EI55" s="749"/>
      <c r="EJ55" s="749"/>
      <c r="EK55" s="749"/>
      <c r="EL55" s="749"/>
      <c r="EM55" s="749"/>
      <c r="EN55" s="749"/>
      <c r="EO55" s="749"/>
      <c r="EP55" s="749"/>
      <c r="EQ55" s="749"/>
      <c r="ER55" s="749"/>
      <c r="ES55" s="749"/>
      <c r="ET55" s="749"/>
      <c r="EU55" s="749"/>
      <c r="EV55" s="749"/>
      <c r="EW55" s="749"/>
      <c r="EX55" s="749"/>
      <c r="EY55" s="749"/>
      <c r="EZ55" s="749"/>
      <c r="FA55" s="749"/>
      <c r="FB55" s="749"/>
      <c r="FC55" s="749"/>
      <c r="FD55" s="749"/>
      <c r="FE55" s="749"/>
      <c r="FF55" s="749"/>
      <c r="FG55" s="749"/>
      <c r="FH55" s="749"/>
      <c r="FI55" s="749"/>
      <c r="FJ55" s="749"/>
      <c r="FK55" s="749"/>
      <c r="FL55" s="749"/>
      <c r="FM55" s="749"/>
      <c r="FN55" s="749"/>
      <c r="FO55" s="749"/>
      <c r="FP55" s="749"/>
      <c r="FQ55" s="749"/>
      <c r="FR55" s="749"/>
      <c r="FS55" s="749"/>
      <c r="FT55" s="749"/>
      <c r="FU55" s="749"/>
      <c r="FV55" s="749"/>
      <c r="FW55" s="749"/>
      <c r="FX55" s="749"/>
      <c r="FY55" s="749"/>
      <c r="FZ55" s="749"/>
      <c r="GA55" s="749"/>
      <c r="GB55" s="749"/>
      <c r="GC55" s="749"/>
      <c r="GD55" s="749"/>
      <c r="GE55" s="749"/>
      <c r="GF55" s="749"/>
      <c r="GG55" s="749"/>
      <c r="GH55" s="749"/>
      <c r="GI55" s="749"/>
      <c r="GJ55" s="749"/>
      <c r="GK55" s="749"/>
      <c r="GL55" s="749"/>
      <c r="GM55" s="749"/>
      <c r="GN55" s="749"/>
      <c r="GO55" s="749"/>
      <c r="GP55" s="749"/>
      <c r="GQ55" s="749"/>
      <c r="GR55" s="749"/>
      <c r="GS55" s="749"/>
      <c r="GT55" s="749"/>
      <c r="GU55" s="749"/>
      <c r="GV55" s="749"/>
      <c r="GW55" s="749"/>
      <c r="GX55" s="749"/>
      <c r="GY55" s="749"/>
      <c r="GZ55" s="749"/>
      <c r="HA55" s="749"/>
      <c r="HB55" s="749"/>
      <c r="HC55" s="749"/>
      <c r="HD55" s="749"/>
      <c r="HE55" s="749"/>
      <c r="HF55" s="749"/>
      <c r="HG55" s="749"/>
      <c r="HH55" s="749"/>
      <c r="HI55" s="749"/>
      <c r="HJ55" s="749"/>
      <c r="HK55" s="749"/>
      <c r="HL55" s="749"/>
      <c r="HM55" s="749"/>
      <c r="HN55" s="749"/>
      <c r="HO55" s="749"/>
      <c r="HP55" s="749"/>
      <c r="HQ55" s="749"/>
      <c r="HR55" s="749"/>
      <c r="HS55" s="749"/>
      <c r="HT55" s="749"/>
      <c r="HU55" s="749"/>
      <c r="HV55" s="749"/>
      <c r="HW55" s="749"/>
      <c r="HX55" s="749"/>
      <c r="HY55" s="749"/>
      <c r="HZ55" s="749"/>
      <c r="IA55" s="749"/>
      <c r="IB55" s="749"/>
      <c r="IC55" s="749"/>
      <c r="ID55" s="749"/>
      <c r="IE55" s="749"/>
      <c r="IF55" s="749"/>
      <c r="IG55" s="749"/>
      <c r="IH55" s="749"/>
      <c r="II55" s="749"/>
      <c r="IJ55" s="749"/>
      <c r="IK55" s="749"/>
      <c r="IL55" s="749"/>
      <c r="IM55" s="749"/>
      <c r="IN55" s="749"/>
    </row>
    <row r="56" spans="1:248" ht="12.75">
      <c r="A56" s="3"/>
      <c r="B56" s="769" t="s">
        <v>221</v>
      </c>
      <c r="C56" s="3" t="s">
        <v>7374</v>
      </c>
      <c r="D56" s="3"/>
      <c r="E56" s="3"/>
      <c r="F56" s="770">
        <f>SUM(F54:F55)</f>
        <v>0.11224999999999999</v>
      </c>
      <c r="G56" s="783"/>
      <c r="H56" s="775">
        <f>SUM(G54:G55)</f>
        <v>4714500</v>
      </c>
      <c r="I56" s="3"/>
      <c r="J56" s="3"/>
      <c r="K56" s="3"/>
      <c r="L56" s="749"/>
      <c r="M56" s="3"/>
      <c r="N56" s="769" t="s">
        <v>220</v>
      </c>
      <c r="O56" s="3" t="s">
        <v>7373</v>
      </c>
      <c r="P56" s="3"/>
      <c r="Q56" s="782">
        <v>2.5000000000000001E-2</v>
      </c>
      <c r="R56" s="771">
        <f>SUM(T27*Q56)</f>
        <v>1050000</v>
      </c>
      <c r="S56" s="771"/>
      <c r="T56" s="767"/>
      <c r="U56" s="767"/>
      <c r="V56" s="3"/>
      <c r="W56" s="3"/>
      <c r="X56" s="3"/>
      <c r="Y56" s="3"/>
      <c r="Z56" s="3"/>
      <c r="AA56" s="3"/>
      <c r="AB56" s="3"/>
      <c r="AC56" s="849"/>
      <c r="AD56" s="838"/>
      <c r="AE56" s="836"/>
      <c r="AF56" s="838"/>
      <c r="AG56" s="872"/>
      <c r="AH56" s="838"/>
      <c r="AI56" s="872"/>
      <c r="AJ56" s="838"/>
      <c r="AK56" s="872"/>
      <c r="AL56" s="838"/>
      <c r="AM56" s="872"/>
      <c r="AN56" s="838"/>
      <c r="AO56" s="836"/>
      <c r="AP56" s="844"/>
      <c r="AQ56" s="920"/>
      <c r="AR56" s="921"/>
      <c r="AS56" s="922"/>
      <c r="AT56" s="920"/>
      <c r="AU56" s="921"/>
      <c r="AV56" s="921"/>
      <c r="AW56" s="922"/>
      <c r="AX56" s="749"/>
      <c r="AY56" s="749"/>
      <c r="AZ56" s="749"/>
      <c r="BA56" s="749"/>
      <c r="BB56" s="749"/>
      <c r="BC56" s="749"/>
      <c r="BD56" s="749"/>
      <c r="BE56" s="749"/>
      <c r="BF56" s="749"/>
      <c r="BG56" s="749"/>
      <c r="BH56" s="749"/>
      <c r="BI56" s="749"/>
      <c r="BJ56" s="749"/>
      <c r="BK56" s="749"/>
      <c r="BL56" s="749"/>
      <c r="BM56" s="749"/>
      <c r="BN56" s="749"/>
      <c r="BO56" s="749"/>
      <c r="BP56" s="749"/>
      <c r="BQ56" s="749"/>
      <c r="BR56" s="749"/>
      <c r="BS56" s="749"/>
      <c r="BT56" s="749"/>
      <c r="BU56" s="749"/>
      <c r="BV56" s="749"/>
      <c r="BW56" s="749"/>
      <c r="BX56" s="749"/>
      <c r="BY56" s="749"/>
      <c r="BZ56" s="749"/>
      <c r="CA56" s="749"/>
      <c r="CB56" s="749"/>
      <c r="CC56" s="749"/>
      <c r="CD56" s="749"/>
      <c r="CE56" s="749"/>
      <c r="CF56" s="749"/>
      <c r="CG56" s="749"/>
      <c r="CH56" s="749"/>
      <c r="CI56" s="749"/>
      <c r="CJ56" s="749"/>
      <c r="CK56" s="749"/>
      <c r="CL56" s="749"/>
      <c r="CM56" s="749"/>
      <c r="CN56" s="749"/>
      <c r="CO56" s="749"/>
      <c r="CP56" s="749"/>
      <c r="CQ56" s="749"/>
      <c r="CR56" s="749"/>
      <c r="CS56" s="749"/>
      <c r="CT56" s="749"/>
      <c r="CU56" s="749"/>
      <c r="CV56" s="749"/>
      <c r="CW56" s="749"/>
      <c r="CX56" s="749"/>
      <c r="CY56" s="749"/>
      <c r="CZ56" s="749"/>
      <c r="DA56" s="749"/>
      <c r="DB56" s="749"/>
      <c r="DC56" s="749"/>
      <c r="DD56" s="749"/>
      <c r="DE56" s="749"/>
      <c r="DF56" s="749"/>
      <c r="DG56" s="749"/>
      <c r="DH56" s="749"/>
      <c r="DI56" s="749"/>
      <c r="DJ56" s="749"/>
      <c r="DK56" s="749"/>
      <c r="DL56" s="749"/>
      <c r="DM56" s="749"/>
      <c r="DN56" s="749"/>
      <c r="DO56" s="749"/>
      <c r="DP56" s="749"/>
      <c r="DQ56" s="749"/>
      <c r="DR56" s="749"/>
      <c r="DS56" s="749"/>
      <c r="DT56" s="749"/>
      <c r="DU56" s="749"/>
      <c r="DV56" s="749"/>
      <c r="DW56" s="749"/>
      <c r="DX56" s="749"/>
      <c r="DY56" s="749"/>
      <c r="DZ56" s="749"/>
      <c r="EA56" s="749"/>
      <c r="EB56" s="749"/>
      <c r="EC56" s="749"/>
      <c r="ED56" s="749"/>
      <c r="EE56" s="749"/>
      <c r="EF56" s="749"/>
      <c r="EG56" s="749"/>
      <c r="EH56" s="749"/>
      <c r="EI56" s="749"/>
      <c r="EJ56" s="749"/>
      <c r="EK56" s="749"/>
      <c r="EL56" s="749"/>
      <c r="EM56" s="749"/>
      <c r="EN56" s="749"/>
      <c r="EO56" s="749"/>
      <c r="EP56" s="749"/>
      <c r="EQ56" s="749"/>
      <c r="ER56" s="749"/>
      <c r="ES56" s="749"/>
      <c r="ET56" s="749"/>
      <c r="EU56" s="749"/>
      <c r="EV56" s="749"/>
      <c r="EW56" s="749"/>
      <c r="EX56" s="749"/>
      <c r="EY56" s="749"/>
      <c r="EZ56" s="749"/>
      <c r="FA56" s="749"/>
      <c r="FB56" s="749"/>
      <c r="FC56" s="749"/>
      <c r="FD56" s="749"/>
      <c r="FE56" s="749"/>
      <c r="FF56" s="749"/>
      <c r="FG56" s="749"/>
      <c r="FH56" s="749"/>
      <c r="FI56" s="749"/>
      <c r="FJ56" s="749"/>
      <c r="FK56" s="749"/>
      <c r="FL56" s="749"/>
      <c r="FM56" s="749"/>
      <c r="FN56" s="749"/>
      <c r="FO56" s="749"/>
      <c r="FP56" s="749"/>
      <c r="FQ56" s="749"/>
      <c r="FR56" s="749"/>
      <c r="FS56" s="749"/>
      <c r="FT56" s="749"/>
      <c r="FU56" s="749"/>
      <c r="FV56" s="749"/>
      <c r="FW56" s="749"/>
      <c r="FX56" s="749"/>
      <c r="FY56" s="749"/>
      <c r="FZ56" s="749"/>
      <c r="GA56" s="749"/>
      <c r="GB56" s="749"/>
      <c r="GC56" s="749"/>
      <c r="GD56" s="749"/>
      <c r="GE56" s="749"/>
      <c r="GF56" s="749"/>
      <c r="GG56" s="749"/>
      <c r="GH56" s="749"/>
      <c r="GI56" s="749"/>
      <c r="GJ56" s="749"/>
      <c r="GK56" s="749"/>
      <c r="GL56" s="749"/>
      <c r="GM56" s="749"/>
      <c r="GN56" s="749"/>
      <c r="GO56" s="749"/>
      <c r="GP56" s="749"/>
      <c r="GQ56" s="749"/>
      <c r="GR56" s="749"/>
      <c r="GS56" s="749"/>
      <c r="GT56" s="749"/>
      <c r="GU56" s="749"/>
      <c r="GV56" s="749"/>
      <c r="GW56" s="749"/>
      <c r="GX56" s="749"/>
      <c r="GY56" s="749"/>
      <c r="GZ56" s="749"/>
      <c r="HA56" s="749"/>
      <c r="HB56" s="749"/>
      <c r="HC56" s="749"/>
      <c r="HD56" s="749"/>
      <c r="HE56" s="749"/>
      <c r="HF56" s="749"/>
      <c r="HG56" s="749"/>
      <c r="HH56" s="749"/>
      <c r="HI56" s="749"/>
      <c r="HJ56" s="749"/>
      <c r="HK56" s="749"/>
      <c r="HL56" s="749"/>
      <c r="HM56" s="749"/>
      <c r="HN56" s="749"/>
      <c r="HO56" s="749"/>
      <c r="HP56" s="749"/>
      <c r="HQ56" s="749"/>
      <c r="HR56" s="749"/>
      <c r="HS56" s="749"/>
      <c r="HT56" s="749"/>
      <c r="HU56" s="749"/>
      <c r="HV56" s="749"/>
      <c r="HW56" s="749"/>
      <c r="HX56" s="749"/>
      <c r="HY56" s="749"/>
      <c r="HZ56" s="749"/>
      <c r="IA56" s="749"/>
      <c r="IB56" s="749"/>
      <c r="IC56" s="749"/>
      <c r="ID56" s="749"/>
      <c r="IE56" s="749"/>
      <c r="IF56" s="749"/>
      <c r="IG56" s="749"/>
      <c r="IH56" s="749"/>
      <c r="II56" s="749"/>
      <c r="IJ56" s="749"/>
      <c r="IK56" s="749"/>
      <c r="IL56" s="749"/>
      <c r="IM56" s="749"/>
      <c r="IN56" s="749"/>
    </row>
    <row r="57" spans="1:248" ht="12.75" customHeight="1">
      <c r="A57" s="3"/>
      <c r="B57" s="769"/>
      <c r="C57" s="3"/>
      <c r="D57" s="3"/>
      <c r="E57" s="3"/>
      <c r="F57" s="770"/>
      <c r="G57" s="3"/>
      <c r="H57" s="767"/>
      <c r="I57" s="3"/>
      <c r="J57" s="3"/>
      <c r="K57" s="3"/>
      <c r="L57" s="749"/>
      <c r="M57" s="3"/>
      <c r="N57" s="769" t="s">
        <v>221</v>
      </c>
      <c r="O57" s="3" t="s">
        <v>7374</v>
      </c>
      <c r="P57" s="3"/>
      <c r="Q57" s="770">
        <f>SUM(Q55:Q56)</f>
        <v>0.11224999999999999</v>
      </c>
      <c r="R57" s="783"/>
      <c r="S57" s="783"/>
      <c r="T57" s="775">
        <f>SUM(R55:R56)</f>
        <v>4714500</v>
      </c>
      <c r="U57" s="771"/>
      <c r="V57" s="3"/>
      <c r="W57" s="3"/>
      <c r="X57" s="3"/>
      <c r="Y57" s="3"/>
      <c r="Z57" s="3"/>
      <c r="AA57" s="3"/>
      <c r="AB57" s="3"/>
      <c r="AC57" s="849"/>
      <c r="AD57" s="838"/>
      <c r="AE57" s="836"/>
      <c r="AF57" s="838"/>
      <c r="AG57" s="872"/>
      <c r="AH57" s="838"/>
      <c r="AI57" s="872"/>
      <c r="AJ57" s="838"/>
      <c r="AK57" s="872"/>
      <c r="AL57" s="838"/>
      <c r="AM57" s="872"/>
      <c r="AN57" s="838"/>
      <c r="AO57" s="836"/>
      <c r="AP57" s="844"/>
      <c r="AQ57" s="920"/>
      <c r="AR57" s="921"/>
      <c r="AS57" s="922"/>
      <c r="AT57" s="920"/>
      <c r="AU57" s="921"/>
      <c r="AV57" s="921"/>
      <c r="AW57" s="922"/>
      <c r="AX57" s="749"/>
      <c r="AY57" s="749"/>
      <c r="AZ57" s="749"/>
      <c r="BA57" s="749"/>
      <c r="BB57" s="749"/>
      <c r="BC57" s="749"/>
      <c r="BD57" s="749"/>
      <c r="BE57" s="749"/>
      <c r="BF57" s="749"/>
      <c r="BG57" s="749"/>
      <c r="BH57" s="749"/>
      <c r="BI57" s="749"/>
      <c r="BJ57" s="749"/>
      <c r="BK57" s="749"/>
      <c r="BL57" s="749"/>
      <c r="BM57" s="749"/>
      <c r="BN57" s="749"/>
      <c r="BO57" s="749"/>
      <c r="BP57" s="749"/>
      <c r="BQ57" s="749"/>
      <c r="BR57" s="749"/>
      <c r="BS57" s="749"/>
      <c r="BT57" s="749"/>
      <c r="BU57" s="749"/>
      <c r="BV57" s="749"/>
      <c r="BW57" s="749"/>
      <c r="BX57" s="749"/>
      <c r="BY57" s="749"/>
      <c r="BZ57" s="749"/>
      <c r="CA57" s="749"/>
      <c r="CB57" s="749"/>
      <c r="CC57" s="749"/>
      <c r="CD57" s="749"/>
      <c r="CE57" s="749"/>
      <c r="CF57" s="749"/>
      <c r="CG57" s="749"/>
      <c r="CH57" s="749"/>
      <c r="CI57" s="749"/>
      <c r="CJ57" s="749"/>
      <c r="CK57" s="749"/>
      <c r="CL57" s="749"/>
      <c r="CM57" s="749"/>
      <c r="CN57" s="749"/>
      <c r="CO57" s="749"/>
      <c r="CP57" s="749"/>
      <c r="CQ57" s="749"/>
      <c r="CR57" s="749"/>
      <c r="CS57" s="749"/>
      <c r="CT57" s="749"/>
      <c r="CU57" s="749"/>
      <c r="CV57" s="749"/>
      <c r="CW57" s="749"/>
      <c r="CX57" s="749"/>
      <c r="CY57" s="749"/>
      <c r="CZ57" s="749"/>
      <c r="DA57" s="749"/>
      <c r="DB57" s="749"/>
      <c r="DC57" s="749"/>
      <c r="DD57" s="749"/>
      <c r="DE57" s="749"/>
      <c r="DF57" s="749"/>
      <c r="DG57" s="749"/>
      <c r="DH57" s="749"/>
      <c r="DI57" s="749"/>
      <c r="DJ57" s="749"/>
      <c r="DK57" s="749"/>
      <c r="DL57" s="749"/>
      <c r="DM57" s="749"/>
      <c r="DN57" s="749"/>
      <c r="DO57" s="749"/>
      <c r="DP57" s="749"/>
      <c r="DQ57" s="749"/>
      <c r="DR57" s="749"/>
      <c r="DS57" s="749"/>
      <c r="DT57" s="749"/>
      <c r="DU57" s="749"/>
      <c r="DV57" s="749"/>
      <c r="DW57" s="749"/>
      <c r="DX57" s="749"/>
      <c r="DY57" s="749"/>
      <c r="DZ57" s="749"/>
      <c r="EA57" s="749"/>
      <c r="EB57" s="749"/>
      <c r="EC57" s="749"/>
      <c r="ED57" s="749"/>
      <c r="EE57" s="749"/>
      <c r="EF57" s="749"/>
      <c r="EG57" s="749"/>
      <c r="EH57" s="749"/>
      <c r="EI57" s="749"/>
      <c r="EJ57" s="749"/>
      <c r="EK57" s="749"/>
      <c r="EL57" s="749"/>
      <c r="EM57" s="749"/>
      <c r="EN57" s="749"/>
      <c r="EO57" s="749"/>
      <c r="EP57" s="749"/>
      <c r="EQ57" s="749"/>
      <c r="ER57" s="749"/>
      <c r="ES57" s="749"/>
      <c r="ET57" s="749"/>
      <c r="EU57" s="749"/>
      <c r="EV57" s="749"/>
      <c r="EW57" s="749"/>
      <c r="EX57" s="749"/>
      <c r="EY57" s="749"/>
      <c r="EZ57" s="749"/>
      <c r="FA57" s="749"/>
      <c r="FB57" s="749"/>
      <c r="FC57" s="749"/>
      <c r="FD57" s="749"/>
      <c r="FE57" s="749"/>
      <c r="FF57" s="749"/>
      <c r="FG57" s="749"/>
      <c r="FH57" s="749"/>
      <c r="FI57" s="749"/>
      <c r="FJ57" s="749"/>
      <c r="FK57" s="749"/>
      <c r="FL57" s="749"/>
      <c r="FM57" s="749"/>
      <c r="FN57" s="749"/>
      <c r="FO57" s="749"/>
      <c r="FP57" s="749"/>
      <c r="FQ57" s="749"/>
      <c r="FR57" s="749"/>
      <c r="FS57" s="749"/>
      <c r="FT57" s="749"/>
      <c r="FU57" s="749"/>
      <c r="FV57" s="749"/>
      <c r="FW57" s="749"/>
      <c r="FX57" s="749"/>
      <c r="FY57" s="749"/>
      <c r="FZ57" s="749"/>
      <c r="GA57" s="749"/>
      <c r="GB57" s="749"/>
      <c r="GC57" s="749"/>
      <c r="GD57" s="749"/>
      <c r="GE57" s="749"/>
      <c r="GF57" s="749"/>
      <c r="GG57" s="749"/>
      <c r="GH57" s="749"/>
      <c r="GI57" s="749"/>
      <c r="GJ57" s="749"/>
      <c r="GK57" s="749"/>
      <c r="GL57" s="749"/>
      <c r="GM57" s="749"/>
      <c r="GN57" s="749"/>
      <c r="GO57" s="749"/>
      <c r="GP57" s="749"/>
      <c r="GQ57" s="749"/>
      <c r="GR57" s="749"/>
      <c r="GS57" s="749"/>
      <c r="GT57" s="749"/>
      <c r="GU57" s="749"/>
      <c r="GV57" s="749"/>
      <c r="GW57" s="749"/>
      <c r="GX57" s="749"/>
      <c r="GY57" s="749"/>
      <c r="GZ57" s="749"/>
      <c r="HA57" s="749"/>
      <c r="HB57" s="749"/>
      <c r="HC57" s="749"/>
      <c r="HD57" s="749"/>
      <c r="HE57" s="749"/>
      <c r="HF57" s="749"/>
      <c r="HG57" s="749"/>
      <c r="HH57" s="749"/>
      <c r="HI57" s="749"/>
      <c r="HJ57" s="749"/>
      <c r="HK57" s="749"/>
      <c r="HL57" s="749"/>
      <c r="HM57" s="749"/>
      <c r="HN57" s="749"/>
      <c r="HO57" s="749"/>
      <c r="HP57" s="749"/>
      <c r="HQ57" s="749"/>
      <c r="HR57" s="749"/>
      <c r="HS57" s="749"/>
      <c r="HT57" s="749"/>
      <c r="HU57" s="749"/>
      <c r="HV57" s="749"/>
      <c r="HW57" s="749"/>
      <c r="HX57" s="749"/>
      <c r="HY57" s="749"/>
      <c r="HZ57" s="749"/>
      <c r="IA57" s="749"/>
      <c r="IB57" s="749"/>
      <c r="IC57" s="749"/>
      <c r="ID57" s="749"/>
      <c r="IE57" s="749"/>
      <c r="IF57" s="749"/>
      <c r="IG57" s="749"/>
      <c r="IH57" s="749"/>
      <c r="II57" s="749"/>
      <c r="IJ57" s="749"/>
      <c r="IK57" s="749"/>
      <c r="IL57" s="749"/>
      <c r="IM57" s="749"/>
      <c r="IN57" s="749"/>
    </row>
    <row r="58" spans="1:248" ht="12.75" customHeight="1">
      <c r="A58" s="1" t="s">
        <v>7375</v>
      </c>
      <c r="B58" s="2"/>
      <c r="C58" s="2"/>
      <c r="D58" s="2"/>
      <c r="E58" s="2"/>
      <c r="F58" s="784"/>
      <c r="G58" s="2"/>
      <c r="H58" s="2"/>
      <c r="I58" s="2"/>
      <c r="J58" s="2"/>
      <c r="K58" s="2"/>
      <c r="L58" s="749"/>
      <c r="M58" s="3"/>
      <c r="N58" s="769"/>
      <c r="O58" s="3"/>
      <c r="P58" s="3"/>
      <c r="Q58" s="770"/>
      <c r="R58" s="3"/>
      <c r="S58" s="3"/>
      <c r="T58" s="767"/>
      <c r="U58" s="767"/>
      <c r="V58" s="3"/>
      <c r="W58" s="3"/>
      <c r="X58" s="2"/>
      <c r="Y58" s="2"/>
      <c r="Z58" s="2"/>
      <c r="AA58" s="2"/>
      <c r="AB58" s="2"/>
      <c r="AC58" s="849"/>
      <c r="AD58" s="838"/>
      <c r="AE58" s="836"/>
      <c r="AF58" s="838"/>
      <c r="AG58" s="872"/>
      <c r="AH58" s="838"/>
      <c r="AI58" s="872"/>
      <c r="AJ58" s="838"/>
      <c r="AK58" s="872"/>
      <c r="AL58" s="838"/>
      <c r="AM58" s="872"/>
      <c r="AN58" s="838"/>
      <c r="AO58" s="836"/>
      <c r="AP58" s="844"/>
      <c r="AQ58" s="920"/>
      <c r="AR58" s="921"/>
      <c r="AS58" s="922"/>
      <c r="AT58" s="920"/>
      <c r="AU58" s="921"/>
      <c r="AV58" s="921"/>
      <c r="AW58" s="922"/>
      <c r="AY58" s="749"/>
      <c r="AZ58" s="749"/>
      <c r="BA58" s="749"/>
      <c r="BB58" s="749"/>
      <c r="BC58" s="749"/>
      <c r="BD58" s="749"/>
      <c r="BE58" s="749"/>
      <c r="BF58" s="749"/>
      <c r="BG58" s="749"/>
      <c r="BH58" s="749"/>
      <c r="BI58" s="749"/>
      <c r="BJ58" s="749"/>
      <c r="BK58" s="749"/>
      <c r="BL58" s="749"/>
      <c r="BM58" s="749"/>
      <c r="BN58" s="749"/>
      <c r="BO58" s="749"/>
      <c r="BP58" s="749"/>
      <c r="BQ58" s="749"/>
      <c r="BR58" s="749"/>
      <c r="BS58" s="749"/>
      <c r="BT58" s="749"/>
      <c r="BU58" s="749"/>
      <c r="BV58" s="749"/>
      <c r="BW58" s="749"/>
      <c r="BX58" s="749"/>
      <c r="BY58" s="749"/>
      <c r="BZ58" s="749"/>
      <c r="CA58" s="749"/>
      <c r="CB58" s="749"/>
      <c r="CC58" s="749"/>
      <c r="CD58" s="749"/>
      <c r="CE58" s="749"/>
      <c r="CF58" s="749"/>
      <c r="CG58" s="749"/>
      <c r="CH58" s="749"/>
      <c r="CI58" s="749"/>
      <c r="CJ58" s="749"/>
      <c r="CK58" s="749"/>
      <c r="CL58" s="749"/>
      <c r="CM58" s="749"/>
      <c r="CN58" s="749"/>
      <c r="CO58" s="749"/>
      <c r="CP58" s="749"/>
      <c r="CQ58" s="749"/>
      <c r="CR58" s="749"/>
      <c r="CS58" s="749"/>
      <c r="CT58" s="749"/>
      <c r="CU58" s="749"/>
      <c r="CV58" s="749"/>
      <c r="CW58" s="749"/>
      <c r="CX58" s="749"/>
      <c r="CY58" s="749"/>
      <c r="CZ58" s="749"/>
      <c r="DA58" s="749"/>
      <c r="DB58" s="749"/>
      <c r="DC58" s="749"/>
      <c r="DD58" s="749"/>
      <c r="DE58" s="749"/>
      <c r="DF58" s="749"/>
      <c r="DG58" s="749"/>
      <c r="DH58" s="749"/>
      <c r="DI58" s="749"/>
      <c r="DJ58" s="749"/>
      <c r="DK58" s="749"/>
      <c r="DL58" s="749"/>
      <c r="DM58" s="749"/>
      <c r="DN58" s="749"/>
      <c r="DO58" s="749"/>
      <c r="DP58" s="749"/>
      <c r="DQ58" s="749"/>
      <c r="DR58" s="749"/>
      <c r="DS58" s="749"/>
      <c r="DT58" s="749"/>
      <c r="DU58" s="749"/>
      <c r="DV58" s="749"/>
      <c r="DW58" s="749"/>
      <c r="DX58" s="749"/>
      <c r="DY58" s="749"/>
      <c r="DZ58" s="749"/>
      <c r="EA58" s="749"/>
      <c r="EB58" s="749"/>
      <c r="EC58" s="749"/>
      <c r="ED58" s="749"/>
      <c r="EE58" s="749"/>
      <c r="EF58" s="749"/>
      <c r="EG58" s="749"/>
      <c r="EH58" s="749"/>
      <c r="EI58" s="749"/>
      <c r="EJ58" s="749"/>
      <c r="EK58" s="749"/>
      <c r="EL58" s="749"/>
      <c r="EM58" s="749"/>
      <c r="EN58" s="749"/>
      <c r="EO58" s="749"/>
      <c r="EP58" s="749"/>
      <c r="EQ58" s="749"/>
      <c r="ER58" s="749"/>
      <c r="ES58" s="749"/>
      <c r="ET58" s="749"/>
      <c r="EU58" s="749"/>
      <c r="EV58" s="749"/>
      <c r="EW58" s="749"/>
      <c r="EX58" s="749"/>
      <c r="EY58" s="749"/>
      <c r="EZ58" s="749"/>
      <c r="FA58" s="749"/>
      <c r="FB58" s="749"/>
      <c r="FC58" s="749"/>
      <c r="FD58" s="749"/>
      <c r="FE58" s="749"/>
      <c r="FF58" s="749"/>
      <c r="FG58" s="749"/>
      <c r="FH58" s="749"/>
      <c r="FI58" s="749"/>
      <c r="FJ58" s="749"/>
      <c r="FK58" s="749"/>
      <c r="FL58" s="749"/>
      <c r="FM58" s="749"/>
      <c r="FN58" s="749"/>
      <c r="FO58" s="749"/>
      <c r="FP58" s="749"/>
      <c r="FQ58" s="749"/>
      <c r="FR58" s="749"/>
      <c r="FS58" s="749"/>
      <c r="FT58" s="749"/>
      <c r="FU58" s="749"/>
      <c r="FV58" s="749"/>
      <c r="FW58" s="749"/>
      <c r="FX58" s="749"/>
      <c r="FY58" s="749"/>
      <c r="FZ58" s="749"/>
      <c r="GA58" s="749"/>
      <c r="GB58" s="749"/>
      <c r="GC58" s="749"/>
      <c r="GD58" s="749"/>
      <c r="GE58" s="749"/>
      <c r="GF58" s="749"/>
      <c r="GG58" s="749"/>
      <c r="GH58" s="749"/>
      <c r="GI58" s="749"/>
      <c r="GJ58" s="749"/>
      <c r="GK58" s="749"/>
      <c r="GL58" s="749"/>
      <c r="GM58" s="749"/>
      <c r="GN58" s="749"/>
      <c r="GO58" s="749"/>
      <c r="GP58" s="749"/>
      <c r="GQ58" s="749"/>
      <c r="GR58" s="749"/>
      <c r="GS58" s="749"/>
      <c r="GT58" s="749"/>
      <c r="GU58" s="749"/>
      <c r="GV58" s="749"/>
      <c r="GW58" s="749"/>
      <c r="GX58" s="749"/>
      <c r="GY58" s="749"/>
      <c r="GZ58" s="749"/>
      <c r="HA58" s="749"/>
      <c r="HB58" s="749"/>
      <c r="HC58" s="749"/>
      <c r="HD58" s="749"/>
      <c r="HE58" s="749"/>
      <c r="HF58" s="749"/>
      <c r="HG58" s="749"/>
      <c r="HH58" s="749"/>
      <c r="HI58" s="749"/>
      <c r="HJ58" s="749"/>
      <c r="HK58" s="749"/>
      <c r="HL58" s="749"/>
      <c r="HM58" s="749"/>
      <c r="HN58" s="749"/>
      <c r="HO58" s="749"/>
      <c r="HP58" s="749"/>
      <c r="HQ58" s="749"/>
      <c r="HR58" s="749"/>
      <c r="HS58" s="749"/>
      <c r="HT58" s="749"/>
      <c r="HU58" s="749"/>
      <c r="HV58" s="749"/>
      <c r="HW58" s="749"/>
      <c r="HX58" s="749"/>
      <c r="HY58" s="749"/>
      <c r="HZ58" s="749"/>
      <c r="IA58" s="749"/>
      <c r="IB58" s="749"/>
      <c r="IC58" s="749"/>
      <c r="ID58" s="749"/>
      <c r="IE58" s="749"/>
      <c r="IF58" s="749"/>
      <c r="IG58" s="749"/>
      <c r="IH58" s="749"/>
      <c r="II58" s="749"/>
      <c r="IJ58" s="749"/>
      <c r="IK58" s="749"/>
      <c r="IL58" s="749"/>
      <c r="IM58" s="749"/>
      <c r="IN58" s="749"/>
    </row>
    <row r="59" spans="1:248" ht="12.75">
      <c r="A59" s="3"/>
      <c r="B59" s="769" t="s">
        <v>219</v>
      </c>
      <c r="C59" s="3" t="s">
        <v>7376</v>
      </c>
      <c r="D59" s="3"/>
      <c r="E59" s="3"/>
      <c r="F59" s="770"/>
      <c r="G59" s="771"/>
      <c r="H59" s="3"/>
      <c r="I59" s="3"/>
      <c r="J59" s="3"/>
      <c r="K59" s="3"/>
      <c r="M59" s="1" t="s">
        <v>7375</v>
      </c>
      <c r="N59" s="2"/>
      <c r="O59" s="2"/>
      <c r="P59" s="2"/>
      <c r="Q59" s="784"/>
      <c r="R59" s="2"/>
      <c r="S59" s="2"/>
      <c r="T59" s="2"/>
      <c r="U59" s="2"/>
      <c r="V59" s="2"/>
      <c r="W59" s="2"/>
      <c r="X59" s="3"/>
      <c r="Y59" s="3"/>
      <c r="Z59" s="3"/>
      <c r="AA59" s="3"/>
      <c r="AB59" s="3"/>
      <c r="AC59" s="849"/>
      <c r="AD59" s="838"/>
      <c r="AE59" s="836"/>
      <c r="AF59" s="838"/>
      <c r="AG59" s="872"/>
      <c r="AH59" s="838"/>
      <c r="AI59" s="872"/>
      <c r="AJ59" s="838"/>
      <c r="AK59" s="872"/>
      <c r="AL59" s="838"/>
      <c r="AM59" s="872"/>
      <c r="AN59" s="838"/>
      <c r="AO59" s="836"/>
      <c r="AP59" s="844"/>
      <c r="AQ59" s="920"/>
      <c r="AR59" s="921"/>
      <c r="AS59" s="922"/>
      <c r="AT59" s="920"/>
      <c r="AU59" s="921"/>
      <c r="AV59" s="921"/>
      <c r="AW59" s="922"/>
      <c r="AX59" s="749"/>
      <c r="AY59" s="749"/>
      <c r="AZ59" s="749"/>
      <c r="BA59" s="749"/>
      <c r="BB59" s="749"/>
      <c r="BC59" s="749"/>
      <c r="BD59" s="749"/>
      <c r="BE59" s="749"/>
      <c r="BF59" s="749"/>
      <c r="BG59" s="749"/>
      <c r="BH59" s="749"/>
      <c r="BI59" s="749"/>
      <c r="BJ59" s="749"/>
      <c r="BK59" s="749"/>
      <c r="BL59" s="749"/>
      <c r="BM59" s="749"/>
      <c r="BN59" s="749"/>
      <c r="BO59" s="749"/>
      <c r="BP59" s="749"/>
      <c r="BQ59" s="749"/>
      <c r="BR59" s="749"/>
      <c r="BS59" s="749"/>
      <c r="BT59" s="749"/>
      <c r="BU59" s="749"/>
      <c r="BV59" s="749"/>
      <c r="BW59" s="749"/>
      <c r="BX59" s="749"/>
      <c r="BY59" s="749"/>
      <c r="BZ59" s="749"/>
      <c r="CA59" s="749"/>
      <c r="CB59" s="749"/>
      <c r="CC59" s="749"/>
      <c r="CD59" s="749"/>
      <c r="CE59" s="749"/>
      <c r="CF59" s="749"/>
      <c r="CG59" s="749"/>
      <c r="CH59" s="749"/>
      <c r="CI59" s="749"/>
      <c r="CJ59" s="749"/>
      <c r="CK59" s="749"/>
      <c r="CL59" s="749"/>
      <c r="CM59" s="749"/>
      <c r="CN59" s="749"/>
      <c r="CO59" s="749"/>
      <c r="CP59" s="749"/>
      <c r="CQ59" s="749"/>
      <c r="CR59" s="749"/>
      <c r="CS59" s="749"/>
      <c r="CT59" s="749"/>
      <c r="CU59" s="749"/>
      <c r="CV59" s="749"/>
      <c r="CW59" s="749"/>
      <c r="CX59" s="749"/>
      <c r="CY59" s="749"/>
      <c r="CZ59" s="749"/>
      <c r="DA59" s="749"/>
      <c r="DB59" s="749"/>
      <c r="DC59" s="749"/>
      <c r="DD59" s="749"/>
      <c r="DE59" s="749"/>
      <c r="DF59" s="749"/>
      <c r="DG59" s="749"/>
      <c r="DH59" s="749"/>
      <c r="DI59" s="749"/>
      <c r="DJ59" s="749"/>
      <c r="DK59" s="749"/>
      <c r="DL59" s="749"/>
      <c r="DM59" s="749"/>
      <c r="DN59" s="749"/>
      <c r="DO59" s="749"/>
      <c r="DP59" s="749"/>
      <c r="DQ59" s="749"/>
      <c r="DR59" s="749"/>
      <c r="DS59" s="749"/>
      <c r="DT59" s="749"/>
      <c r="DU59" s="749"/>
      <c r="DV59" s="749"/>
      <c r="DW59" s="749"/>
      <c r="DX59" s="749"/>
      <c r="DY59" s="749"/>
      <c r="DZ59" s="749"/>
      <c r="EA59" s="749"/>
      <c r="EB59" s="749"/>
      <c r="EC59" s="749"/>
      <c r="ED59" s="749"/>
      <c r="EE59" s="749"/>
      <c r="EF59" s="749"/>
      <c r="EG59" s="749"/>
      <c r="EH59" s="749"/>
      <c r="EI59" s="749"/>
      <c r="EJ59" s="749"/>
      <c r="EK59" s="749"/>
      <c r="EL59" s="749"/>
      <c r="EM59" s="749"/>
      <c r="EN59" s="749"/>
      <c r="EO59" s="749"/>
      <c r="EP59" s="749"/>
      <c r="EQ59" s="749"/>
      <c r="ER59" s="749"/>
      <c r="ES59" s="749"/>
      <c r="ET59" s="749"/>
      <c r="EU59" s="749"/>
      <c r="EV59" s="749"/>
      <c r="EW59" s="749"/>
      <c r="EX59" s="749"/>
      <c r="EY59" s="749"/>
      <c r="EZ59" s="749"/>
      <c r="FA59" s="749"/>
      <c r="FB59" s="749"/>
      <c r="FC59" s="749"/>
      <c r="FD59" s="749"/>
      <c r="FE59" s="749"/>
      <c r="FF59" s="749"/>
      <c r="FG59" s="749"/>
      <c r="FH59" s="749"/>
      <c r="FI59" s="749"/>
      <c r="FJ59" s="749"/>
      <c r="FK59" s="749"/>
      <c r="FL59" s="749"/>
      <c r="FM59" s="749"/>
      <c r="FN59" s="749"/>
      <c r="FO59" s="749"/>
      <c r="FP59" s="749"/>
      <c r="FQ59" s="749"/>
      <c r="FR59" s="749"/>
      <c r="FS59" s="749"/>
      <c r="FT59" s="749"/>
      <c r="FU59" s="749"/>
      <c r="FV59" s="749"/>
      <c r="FW59" s="749"/>
      <c r="FX59" s="749"/>
      <c r="FY59" s="749"/>
      <c r="FZ59" s="749"/>
      <c r="GA59" s="749"/>
      <c r="GB59" s="749"/>
      <c r="GC59" s="749"/>
      <c r="GD59" s="749"/>
      <c r="GE59" s="749"/>
      <c r="GF59" s="749"/>
      <c r="GG59" s="749"/>
      <c r="GH59" s="749"/>
      <c r="GI59" s="749"/>
      <c r="GJ59" s="749"/>
      <c r="GK59" s="749"/>
      <c r="GL59" s="749"/>
      <c r="GM59" s="749"/>
      <c r="GN59" s="749"/>
      <c r="GO59" s="749"/>
      <c r="GP59" s="749"/>
      <c r="GQ59" s="749"/>
      <c r="GR59" s="749"/>
      <c r="GS59" s="749"/>
      <c r="GT59" s="749"/>
      <c r="GU59" s="749"/>
      <c r="GV59" s="749"/>
      <c r="GW59" s="749"/>
      <c r="GX59" s="749"/>
      <c r="GY59" s="749"/>
      <c r="GZ59" s="749"/>
      <c r="HA59" s="749"/>
      <c r="HB59" s="749"/>
      <c r="HC59" s="749"/>
      <c r="HD59" s="749"/>
      <c r="HE59" s="749"/>
      <c r="HF59" s="749"/>
      <c r="HG59" s="749"/>
      <c r="HH59" s="749"/>
      <c r="HI59" s="749"/>
      <c r="HJ59" s="749"/>
      <c r="HK59" s="749"/>
      <c r="HL59" s="749"/>
      <c r="HM59" s="749"/>
      <c r="HN59" s="749"/>
      <c r="HO59" s="749"/>
      <c r="HP59" s="749"/>
      <c r="HQ59" s="749"/>
      <c r="HR59" s="749"/>
      <c r="HS59" s="749"/>
      <c r="HT59" s="749"/>
      <c r="HU59" s="749"/>
      <c r="HV59" s="749"/>
      <c r="HW59" s="749"/>
      <c r="HX59" s="749"/>
      <c r="HY59" s="749"/>
      <c r="HZ59" s="749"/>
      <c r="IA59" s="749"/>
      <c r="IB59" s="749"/>
      <c r="IC59" s="749"/>
      <c r="ID59" s="749"/>
      <c r="IE59" s="749"/>
      <c r="IF59" s="749"/>
      <c r="IG59" s="749"/>
      <c r="IH59" s="749"/>
      <c r="II59" s="749"/>
      <c r="IJ59" s="749"/>
      <c r="IK59" s="749"/>
      <c r="IL59" s="749"/>
      <c r="IM59" s="749"/>
      <c r="IN59" s="749"/>
    </row>
    <row r="60" spans="1:248" ht="12.75" customHeight="1">
      <c r="A60" s="3"/>
      <c r="B60" s="777"/>
      <c r="C60" s="2"/>
      <c r="D60" s="785" t="s">
        <v>7377</v>
      </c>
      <c r="E60" s="767"/>
      <c r="F60" s="770">
        <v>0.01</v>
      </c>
      <c r="G60" s="771">
        <f>SUM(F60*H27)</f>
        <v>420000</v>
      </c>
      <c r="H60" s="2"/>
      <c r="I60" s="3"/>
      <c r="J60" s="3"/>
      <c r="K60" s="3"/>
      <c r="L60" s="749"/>
      <c r="M60" s="3"/>
      <c r="N60" s="769" t="s">
        <v>219</v>
      </c>
      <c r="O60" s="3" t="s">
        <v>7376</v>
      </c>
      <c r="P60" s="3"/>
      <c r="Q60" s="770"/>
      <c r="R60" s="771"/>
      <c r="S60" s="771"/>
      <c r="T60" s="3"/>
      <c r="U60" s="3"/>
      <c r="V60" s="3"/>
      <c r="W60" s="3"/>
      <c r="X60" s="3"/>
      <c r="Y60" s="3"/>
      <c r="Z60" s="3"/>
      <c r="AA60" s="3"/>
      <c r="AB60" s="3"/>
      <c r="AC60" s="849"/>
      <c r="AD60" s="838"/>
      <c r="AE60" s="836"/>
      <c r="AF60" s="838"/>
      <c r="AG60" s="872"/>
      <c r="AH60" s="838"/>
      <c r="AI60" s="872"/>
      <c r="AJ60" s="838"/>
      <c r="AK60" s="872"/>
      <c r="AL60" s="838"/>
      <c r="AM60" s="872"/>
      <c r="AN60" s="838"/>
      <c r="AO60" s="836"/>
      <c r="AP60" s="844"/>
      <c r="AQ60" s="920"/>
      <c r="AR60" s="921"/>
      <c r="AS60" s="922"/>
      <c r="AT60" s="920"/>
      <c r="AU60" s="921"/>
      <c r="AV60" s="921"/>
      <c r="AW60" s="922"/>
      <c r="AX60" s="749"/>
      <c r="AY60" s="749"/>
      <c r="AZ60" s="749"/>
      <c r="BA60" s="749"/>
      <c r="BB60" s="749"/>
      <c r="BC60" s="749"/>
      <c r="BD60" s="749"/>
      <c r="BE60" s="749"/>
      <c r="BF60" s="749"/>
      <c r="BG60" s="749"/>
      <c r="BH60" s="749"/>
      <c r="BI60" s="749"/>
      <c r="BJ60" s="749"/>
      <c r="BK60" s="749"/>
      <c r="BL60" s="749"/>
      <c r="BM60" s="749"/>
      <c r="BN60" s="749"/>
      <c r="BO60" s="749"/>
      <c r="BP60" s="749"/>
      <c r="BQ60" s="749"/>
      <c r="BR60" s="749"/>
      <c r="BS60" s="749"/>
      <c r="BT60" s="749"/>
      <c r="BU60" s="749"/>
      <c r="BV60" s="749"/>
      <c r="BW60" s="749"/>
      <c r="BX60" s="749"/>
      <c r="BY60" s="749"/>
      <c r="BZ60" s="749"/>
      <c r="CA60" s="749"/>
      <c r="CB60" s="749"/>
      <c r="CC60" s="749"/>
      <c r="CD60" s="749"/>
      <c r="CE60" s="749"/>
      <c r="CF60" s="749"/>
      <c r="CG60" s="749"/>
      <c r="CH60" s="749"/>
      <c r="CI60" s="749"/>
      <c r="CJ60" s="749"/>
      <c r="CK60" s="749"/>
      <c r="CL60" s="749"/>
      <c r="CM60" s="749"/>
      <c r="CN60" s="749"/>
      <c r="CO60" s="749"/>
      <c r="CP60" s="749"/>
      <c r="CQ60" s="749"/>
      <c r="CR60" s="749"/>
      <c r="CS60" s="749"/>
      <c r="CT60" s="749"/>
      <c r="CU60" s="749"/>
      <c r="CV60" s="749"/>
      <c r="CW60" s="749"/>
      <c r="CX60" s="749"/>
      <c r="CY60" s="749"/>
      <c r="CZ60" s="749"/>
      <c r="DA60" s="749"/>
      <c r="DB60" s="749"/>
      <c r="DC60" s="749"/>
      <c r="DD60" s="749"/>
      <c r="DE60" s="749"/>
      <c r="DF60" s="749"/>
      <c r="DG60" s="749"/>
      <c r="DH60" s="749"/>
      <c r="DI60" s="749"/>
      <c r="DJ60" s="749"/>
      <c r="DK60" s="749"/>
      <c r="DL60" s="749"/>
      <c r="DM60" s="749"/>
      <c r="DN60" s="749"/>
      <c r="DO60" s="749"/>
      <c r="DP60" s="749"/>
      <c r="DQ60" s="749"/>
      <c r="DR60" s="749"/>
      <c r="DS60" s="749"/>
      <c r="DT60" s="749"/>
      <c r="DU60" s="749"/>
      <c r="DV60" s="749"/>
      <c r="DW60" s="749"/>
      <c r="DX60" s="749"/>
      <c r="DY60" s="749"/>
      <c r="DZ60" s="749"/>
      <c r="EA60" s="749"/>
      <c r="EB60" s="749"/>
      <c r="EC60" s="749"/>
      <c r="ED60" s="749"/>
      <c r="EE60" s="749"/>
      <c r="EF60" s="749"/>
      <c r="EG60" s="749"/>
      <c r="EH60" s="749"/>
      <c r="EI60" s="749"/>
      <c r="EJ60" s="749"/>
      <c r="EK60" s="749"/>
      <c r="EL60" s="749"/>
      <c r="EM60" s="749"/>
      <c r="EN60" s="749"/>
      <c r="EO60" s="749"/>
      <c r="EP60" s="749"/>
      <c r="EQ60" s="749"/>
      <c r="ER60" s="749"/>
      <c r="ES60" s="749"/>
      <c r="ET60" s="749"/>
      <c r="EU60" s="749"/>
      <c r="EV60" s="749"/>
      <c r="EW60" s="749"/>
      <c r="EX60" s="749"/>
      <c r="EY60" s="749"/>
      <c r="EZ60" s="749"/>
      <c r="FA60" s="749"/>
      <c r="FB60" s="749"/>
      <c r="FC60" s="749"/>
      <c r="FD60" s="749"/>
      <c r="FE60" s="749"/>
      <c r="FF60" s="749"/>
      <c r="FG60" s="749"/>
      <c r="FH60" s="749"/>
      <c r="FI60" s="749"/>
      <c r="FJ60" s="749"/>
      <c r="FK60" s="749"/>
      <c r="FL60" s="749"/>
      <c r="FM60" s="749"/>
      <c r="FN60" s="749"/>
      <c r="FO60" s="749"/>
      <c r="FP60" s="749"/>
      <c r="FQ60" s="749"/>
      <c r="FR60" s="749"/>
      <c r="FS60" s="749"/>
      <c r="FT60" s="749"/>
      <c r="FU60" s="749"/>
      <c r="FV60" s="749"/>
      <c r="FW60" s="749"/>
      <c r="FX60" s="749"/>
      <c r="FY60" s="749"/>
      <c r="FZ60" s="749"/>
      <c r="GA60" s="749"/>
      <c r="GB60" s="749"/>
      <c r="GC60" s="749"/>
      <c r="GD60" s="749"/>
      <c r="GE60" s="749"/>
      <c r="GF60" s="749"/>
      <c r="GG60" s="749"/>
      <c r="GH60" s="749"/>
      <c r="GI60" s="749"/>
      <c r="GJ60" s="749"/>
      <c r="GK60" s="749"/>
      <c r="GL60" s="749"/>
      <c r="GM60" s="749"/>
      <c r="GN60" s="749"/>
      <c r="GO60" s="749"/>
      <c r="GP60" s="749"/>
      <c r="GQ60" s="749"/>
      <c r="GR60" s="749"/>
      <c r="GS60" s="749"/>
      <c r="GT60" s="749"/>
      <c r="GU60" s="749"/>
      <c r="GV60" s="749"/>
      <c r="GW60" s="749"/>
      <c r="GX60" s="749"/>
      <c r="GY60" s="749"/>
      <c r="GZ60" s="749"/>
      <c r="HA60" s="749"/>
      <c r="HB60" s="749"/>
      <c r="HC60" s="749"/>
      <c r="HD60" s="749"/>
      <c r="HE60" s="749"/>
      <c r="HF60" s="749"/>
      <c r="HG60" s="749"/>
      <c r="HH60" s="749"/>
      <c r="HI60" s="749"/>
      <c r="HJ60" s="749"/>
      <c r="HK60" s="749"/>
      <c r="HL60" s="749"/>
      <c r="HM60" s="749"/>
      <c r="HN60" s="749"/>
      <c r="HO60" s="749"/>
      <c r="HP60" s="749"/>
      <c r="HQ60" s="749"/>
      <c r="HR60" s="749"/>
      <c r="HS60" s="749"/>
      <c r="HT60" s="749"/>
      <c r="HU60" s="749"/>
      <c r="HV60" s="749"/>
      <c r="HW60" s="749"/>
      <c r="HX60" s="749"/>
      <c r="HY60" s="749"/>
      <c r="HZ60" s="749"/>
      <c r="IA60" s="749"/>
      <c r="IB60" s="749"/>
      <c r="IC60" s="749"/>
      <c r="ID60" s="749"/>
      <c r="IE60" s="749"/>
      <c r="IF60" s="749"/>
      <c r="IG60" s="749"/>
      <c r="IH60" s="749"/>
      <c r="II60" s="749"/>
      <c r="IJ60" s="749"/>
      <c r="IK60" s="749"/>
      <c r="IL60" s="749"/>
      <c r="IM60" s="749"/>
      <c r="IN60" s="749"/>
    </row>
    <row r="61" spans="1:248" ht="12.75" customHeight="1">
      <c r="A61" s="3"/>
      <c r="B61" s="769" t="s">
        <v>220</v>
      </c>
      <c r="C61" s="3" t="s">
        <v>7378</v>
      </c>
      <c r="D61" s="3"/>
      <c r="E61" s="3"/>
      <c r="F61" s="770"/>
      <c r="G61" s="771"/>
      <c r="H61" s="3"/>
      <c r="I61" s="3"/>
      <c r="J61" s="3"/>
      <c r="K61" s="3"/>
      <c r="L61" s="749"/>
      <c r="M61" s="3"/>
      <c r="N61" s="777"/>
      <c r="O61" s="2"/>
      <c r="P61" s="785" t="s">
        <v>7377</v>
      </c>
      <c r="Q61" s="770">
        <v>0.01</v>
      </c>
      <c r="R61" s="771">
        <f>SUM(Q61*T27)</f>
        <v>420000</v>
      </c>
      <c r="S61" s="771"/>
      <c r="T61" s="2"/>
      <c r="U61" s="2"/>
      <c r="V61" s="3"/>
      <c r="W61" s="3"/>
      <c r="X61" s="3"/>
      <c r="Y61" s="3"/>
      <c r="Z61" s="3"/>
      <c r="AA61" s="3"/>
      <c r="AB61" s="3"/>
      <c r="AC61" s="849"/>
      <c r="AD61" s="838"/>
      <c r="AE61" s="836"/>
      <c r="AF61" s="838"/>
      <c r="AG61" s="872"/>
      <c r="AH61" s="838"/>
      <c r="AI61" s="872"/>
      <c r="AJ61" s="838"/>
      <c r="AK61" s="872"/>
      <c r="AL61" s="838"/>
      <c r="AM61" s="872"/>
      <c r="AN61" s="838"/>
      <c r="AO61" s="836"/>
      <c r="AP61" s="844"/>
      <c r="AQ61" s="920"/>
      <c r="AR61" s="921"/>
      <c r="AS61" s="922"/>
      <c r="AT61" s="920"/>
      <c r="AU61" s="921"/>
      <c r="AV61" s="921"/>
      <c r="AW61" s="922"/>
      <c r="AX61" s="749"/>
      <c r="AY61" s="749"/>
      <c r="AZ61" s="749"/>
      <c r="BA61" s="749"/>
      <c r="BB61" s="749"/>
      <c r="BC61" s="749"/>
      <c r="BD61" s="749"/>
      <c r="BE61" s="749"/>
      <c r="BF61" s="749"/>
      <c r="BG61" s="749"/>
      <c r="BH61" s="749"/>
      <c r="BI61" s="749"/>
      <c r="BJ61" s="749"/>
      <c r="BK61" s="749"/>
      <c r="BL61" s="749"/>
      <c r="BM61" s="749"/>
      <c r="BN61" s="749"/>
      <c r="BO61" s="749"/>
      <c r="BP61" s="749"/>
      <c r="BQ61" s="749"/>
      <c r="BR61" s="749"/>
      <c r="BS61" s="749"/>
      <c r="BT61" s="749"/>
      <c r="BU61" s="749"/>
      <c r="BV61" s="749"/>
      <c r="BW61" s="749"/>
      <c r="BX61" s="749"/>
      <c r="BY61" s="749"/>
      <c r="BZ61" s="749"/>
      <c r="CA61" s="749"/>
      <c r="CB61" s="749"/>
      <c r="CC61" s="749"/>
      <c r="CD61" s="749"/>
      <c r="CE61" s="749"/>
      <c r="CF61" s="749"/>
      <c r="CG61" s="749"/>
      <c r="CH61" s="749"/>
      <c r="CI61" s="749"/>
      <c r="CJ61" s="749"/>
      <c r="CK61" s="749"/>
      <c r="CL61" s="749"/>
      <c r="CM61" s="749"/>
      <c r="CN61" s="749"/>
      <c r="CO61" s="749"/>
      <c r="CP61" s="749"/>
      <c r="CQ61" s="749"/>
      <c r="CR61" s="749"/>
      <c r="CS61" s="749"/>
      <c r="CT61" s="749"/>
      <c r="CU61" s="749"/>
      <c r="CV61" s="749"/>
      <c r="CW61" s="749"/>
      <c r="CX61" s="749"/>
      <c r="CY61" s="749"/>
      <c r="CZ61" s="749"/>
      <c r="DA61" s="749"/>
      <c r="DB61" s="749"/>
      <c r="DC61" s="749"/>
      <c r="DD61" s="749"/>
      <c r="DE61" s="749"/>
      <c r="DF61" s="749"/>
      <c r="DG61" s="749"/>
      <c r="DH61" s="749"/>
      <c r="DI61" s="749"/>
      <c r="DJ61" s="749"/>
      <c r="DK61" s="749"/>
      <c r="DL61" s="749"/>
      <c r="DM61" s="749"/>
      <c r="DN61" s="749"/>
      <c r="DO61" s="749"/>
      <c r="DP61" s="749"/>
      <c r="DQ61" s="749"/>
      <c r="DR61" s="749"/>
      <c r="DS61" s="749"/>
      <c r="DT61" s="749"/>
      <c r="DU61" s="749"/>
      <c r="DV61" s="749"/>
      <c r="DW61" s="749"/>
      <c r="DX61" s="749"/>
      <c r="DY61" s="749"/>
      <c r="DZ61" s="749"/>
      <c r="EA61" s="749"/>
      <c r="EB61" s="749"/>
      <c r="EC61" s="749"/>
      <c r="ED61" s="749"/>
      <c r="EE61" s="749"/>
      <c r="EF61" s="749"/>
      <c r="EG61" s="749"/>
      <c r="EH61" s="749"/>
      <c r="EI61" s="749"/>
      <c r="EJ61" s="749"/>
      <c r="EK61" s="749"/>
      <c r="EL61" s="749"/>
      <c r="EM61" s="749"/>
      <c r="EN61" s="749"/>
      <c r="EO61" s="749"/>
      <c r="EP61" s="749"/>
      <c r="EQ61" s="749"/>
      <c r="ER61" s="749"/>
      <c r="ES61" s="749"/>
      <c r="ET61" s="749"/>
      <c r="EU61" s="749"/>
      <c r="EV61" s="749"/>
      <c r="EW61" s="749"/>
      <c r="EX61" s="749"/>
      <c r="EY61" s="749"/>
      <c r="EZ61" s="749"/>
      <c r="FA61" s="749"/>
      <c r="FB61" s="749"/>
      <c r="FC61" s="749"/>
      <c r="FD61" s="749"/>
      <c r="FE61" s="749"/>
      <c r="FF61" s="749"/>
      <c r="FG61" s="749"/>
      <c r="FH61" s="749"/>
      <c r="FI61" s="749"/>
      <c r="FJ61" s="749"/>
      <c r="FK61" s="749"/>
      <c r="FL61" s="749"/>
      <c r="FM61" s="749"/>
      <c r="FN61" s="749"/>
      <c r="FO61" s="749"/>
      <c r="FP61" s="749"/>
      <c r="FQ61" s="749"/>
      <c r="FR61" s="749"/>
      <c r="FS61" s="749"/>
      <c r="FT61" s="749"/>
      <c r="FU61" s="749"/>
      <c r="FV61" s="749"/>
      <c r="FW61" s="749"/>
      <c r="FX61" s="749"/>
      <c r="FY61" s="749"/>
      <c r="FZ61" s="749"/>
      <c r="GA61" s="749"/>
      <c r="GB61" s="749"/>
      <c r="GC61" s="749"/>
      <c r="GD61" s="749"/>
      <c r="GE61" s="749"/>
      <c r="GF61" s="749"/>
      <c r="GG61" s="749"/>
      <c r="GH61" s="749"/>
      <c r="GI61" s="749"/>
      <c r="GJ61" s="749"/>
      <c r="GK61" s="749"/>
      <c r="GL61" s="749"/>
      <c r="GM61" s="749"/>
      <c r="GN61" s="749"/>
      <c r="GO61" s="749"/>
      <c r="GP61" s="749"/>
      <c r="GQ61" s="749"/>
      <c r="GR61" s="749"/>
      <c r="GS61" s="749"/>
      <c r="GT61" s="749"/>
      <c r="GU61" s="749"/>
      <c r="GV61" s="749"/>
      <c r="GW61" s="749"/>
      <c r="GX61" s="749"/>
      <c r="GY61" s="749"/>
      <c r="GZ61" s="749"/>
      <c r="HA61" s="749"/>
      <c r="HB61" s="749"/>
      <c r="HC61" s="749"/>
      <c r="HD61" s="749"/>
      <c r="HE61" s="749"/>
      <c r="HF61" s="749"/>
      <c r="HG61" s="749"/>
      <c r="HH61" s="749"/>
      <c r="HI61" s="749"/>
      <c r="HJ61" s="749"/>
      <c r="HK61" s="749"/>
      <c r="HL61" s="749"/>
      <c r="HM61" s="749"/>
      <c r="HN61" s="749"/>
      <c r="HO61" s="749"/>
      <c r="HP61" s="749"/>
      <c r="HQ61" s="749"/>
      <c r="HR61" s="749"/>
      <c r="HS61" s="749"/>
      <c r="HT61" s="749"/>
      <c r="HU61" s="749"/>
      <c r="HV61" s="749"/>
      <c r="HW61" s="749"/>
      <c r="HX61" s="749"/>
      <c r="HY61" s="749"/>
      <c r="HZ61" s="749"/>
      <c r="IA61" s="749"/>
      <c r="IB61" s="749"/>
      <c r="IC61" s="749"/>
      <c r="ID61" s="749"/>
      <c r="IE61" s="749"/>
      <c r="IF61" s="749"/>
      <c r="IG61" s="749"/>
      <c r="IH61" s="749"/>
      <c r="II61" s="749"/>
      <c r="IJ61" s="749"/>
      <c r="IK61" s="749"/>
      <c r="IL61" s="749"/>
      <c r="IM61" s="749"/>
      <c r="IN61" s="749"/>
    </row>
    <row r="62" spans="1:248" ht="12.75">
      <c r="A62" s="3"/>
      <c r="B62" s="777"/>
      <c r="C62" s="2"/>
      <c r="D62" s="785" t="s">
        <v>7379</v>
      </c>
      <c r="E62" s="3"/>
      <c r="F62" s="770">
        <v>5.0000000000000001E-4</v>
      </c>
      <c r="G62" s="771">
        <f>SUM(H27*F62)</f>
        <v>21000</v>
      </c>
      <c r="H62" s="3"/>
      <c r="I62" s="3"/>
      <c r="J62" s="3"/>
      <c r="K62" s="3"/>
      <c r="L62" s="749"/>
      <c r="M62" s="3"/>
      <c r="N62" s="769" t="s">
        <v>220</v>
      </c>
      <c r="O62" s="3" t="s">
        <v>7378</v>
      </c>
      <c r="P62" s="3"/>
      <c r="Q62" s="770"/>
      <c r="R62" s="771"/>
      <c r="S62" s="771"/>
      <c r="T62" s="3"/>
      <c r="U62" s="3"/>
      <c r="V62" s="3"/>
      <c r="W62" s="3"/>
      <c r="X62" s="3"/>
      <c r="Y62" s="3"/>
      <c r="Z62" s="3"/>
      <c r="AA62" s="3"/>
      <c r="AB62" s="3"/>
      <c r="AC62" s="849"/>
      <c r="AD62" s="838"/>
      <c r="AE62" s="836"/>
      <c r="AF62" s="838"/>
      <c r="AG62" s="872"/>
      <c r="AH62" s="838"/>
      <c r="AI62" s="872"/>
      <c r="AJ62" s="838"/>
      <c r="AK62" s="872"/>
      <c r="AL62" s="838"/>
      <c r="AM62" s="872"/>
      <c r="AN62" s="838"/>
      <c r="AO62" s="836"/>
      <c r="AP62" s="844"/>
      <c r="AQ62" s="920"/>
      <c r="AR62" s="921"/>
      <c r="AS62" s="922"/>
      <c r="AT62" s="920"/>
      <c r="AU62" s="921"/>
      <c r="AV62" s="921"/>
      <c r="AW62" s="922"/>
      <c r="AX62" s="749"/>
      <c r="AY62" s="749"/>
      <c r="AZ62" s="749"/>
      <c r="BA62" s="749"/>
      <c r="BB62" s="749"/>
      <c r="BC62" s="749"/>
      <c r="BD62" s="749"/>
      <c r="BE62" s="749"/>
      <c r="BF62" s="749"/>
      <c r="BG62" s="749"/>
      <c r="BH62" s="749"/>
      <c r="BI62" s="749"/>
      <c r="BJ62" s="749"/>
      <c r="BK62" s="749"/>
      <c r="BL62" s="749"/>
      <c r="BM62" s="749"/>
      <c r="BN62" s="749"/>
      <c r="BO62" s="749"/>
      <c r="BP62" s="749"/>
      <c r="BQ62" s="749"/>
      <c r="BR62" s="749"/>
      <c r="BS62" s="749"/>
      <c r="BT62" s="749"/>
      <c r="BU62" s="749"/>
      <c r="BV62" s="749"/>
      <c r="BW62" s="749"/>
      <c r="BX62" s="749"/>
      <c r="BY62" s="749"/>
      <c r="BZ62" s="749"/>
      <c r="CA62" s="749"/>
      <c r="CB62" s="749"/>
      <c r="CC62" s="749"/>
      <c r="CD62" s="749"/>
      <c r="CE62" s="749"/>
      <c r="CF62" s="749"/>
      <c r="CG62" s="749"/>
      <c r="CH62" s="749"/>
      <c r="CI62" s="749"/>
      <c r="CJ62" s="749"/>
      <c r="CK62" s="749"/>
      <c r="CL62" s="749"/>
      <c r="CM62" s="749"/>
      <c r="CN62" s="749"/>
      <c r="CO62" s="749"/>
      <c r="CP62" s="749"/>
      <c r="CQ62" s="749"/>
      <c r="CR62" s="749"/>
      <c r="CS62" s="749"/>
      <c r="CT62" s="749"/>
      <c r="CU62" s="749"/>
      <c r="CV62" s="749"/>
      <c r="CW62" s="749"/>
      <c r="CX62" s="749"/>
      <c r="CY62" s="749"/>
      <c r="CZ62" s="749"/>
      <c r="DA62" s="749"/>
      <c r="DB62" s="749"/>
      <c r="DC62" s="749"/>
      <c r="DD62" s="749"/>
      <c r="DE62" s="749"/>
      <c r="DF62" s="749"/>
      <c r="DG62" s="749"/>
      <c r="DH62" s="749"/>
      <c r="DI62" s="749"/>
      <c r="DJ62" s="749"/>
      <c r="DK62" s="749"/>
      <c r="DL62" s="749"/>
      <c r="DM62" s="749"/>
      <c r="DN62" s="749"/>
      <c r="DO62" s="749"/>
      <c r="DP62" s="749"/>
      <c r="DQ62" s="749"/>
      <c r="DR62" s="749"/>
      <c r="DS62" s="749"/>
      <c r="DT62" s="749"/>
      <c r="DU62" s="749"/>
      <c r="DV62" s="749"/>
      <c r="DW62" s="749"/>
      <c r="DX62" s="749"/>
      <c r="DY62" s="749"/>
      <c r="DZ62" s="749"/>
      <c r="EA62" s="749"/>
      <c r="EB62" s="749"/>
      <c r="EC62" s="749"/>
      <c r="ED62" s="749"/>
      <c r="EE62" s="749"/>
      <c r="EF62" s="749"/>
      <c r="EG62" s="749"/>
      <c r="EH62" s="749"/>
      <c r="EI62" s="749"/>
      <c r="EJ62" s="749"/>
      <c r="EK62" s="749"/>
      <c r="EL62" s="749"/>
      <c r="EM62" s="749"/>
      <c r="EN62" s="749"/>
      <c r="EO62" s="749"/>
      <c r="EP62" s="749"/>
      <c r="EQ62" s="749"/>
      <c r="ER62" s="749"/>
      <c r="ES62" s="749"/>
      <c r="ET62" s="749"/>
      <c r="EU62" s="749"/>
      <c r="EV62" s="749"/>
      <c r="EW62" s="749"/>
      <c r="EX62" s="749"/>
      <c r="EY62" s="749"/>
      <c r="EZ62" s="749"/>
      <c r="FA62" s="749"/>
      <c r="FB62" s="749"/>
      <c r="FC62" s="749"/>
      <c r="FD62" s="749"/>
      <c r="FE62" s="749"/>
      <c r="FF62" s="749"/>
      <c r="FG62" s="749"/>
      <c r="FH62" s="749"/>
      <c r="FI62" s="749"/>
      <c r="FJ62" s="749"/>
      <c r="FK62" s="749"/>
      <c r="FL62" s="749"/>
      <c r="FM62" s="749"/>
      <c r="FN62" s="749"/>
      <c r="FO62" s="749"/>
      <c r="FP62" s="749"/>
      <c r="FQ62" s="749"/>
      <c r="FR62" s="749"/>
      <c r="FS62" s="749"/>
      <c r="FT62" s="749"/>
      <c r="FU62" s="749"/>
      <c r="FV62" s="749"/>
      <c r="FW62" s="749"/>
      <c r="FX62" s="749"/>
      <c r="FY62" s="749"/>
      <c r="FZ62" s="749"/>
      <c r="GA62" s="749"/>
      <c r="GB62" s="749"/>
      <c r="GC62" s="749"/>
      <c r="GD62" s="749"/>
      <c r="GE62" s="749"/>
      <c r="GF62" s="749"/>
      <c r="GG62" s="749"/>
      <c r="GH62" s="749"/>
      <c r="GI62" s="749"/>
      <c r="GJ62" s="749"/>
      <c r="GK62" s="749"/>
      <c r="GL62" s="749"/>
      <c r="GM62" s="749"/>
      <c r="GN62" s="749"/>
      <c r="GO62" s="749"/>
      <c r="GP62" s="749"/>
      <c r="GQ62" s="749"/>
      <c r="GR62" s="749"/>
      <c r="GS62" s="749"/>
      <c r="GT62" s="749"/>
      <c r="GU62" s="749"/>
      <c r="GV62" s="749"/>
      <c r="GW62" s="749"/>
      <c r="GX62" s="749"/>
      <c r="GY62" s="749"/>
      <c r="GZ62" s="749"/>
      <c r="HA62" s="749"/>
      <c r="HB62" s="749"/>
      <c r="HC62" s="749"/>
      <c r="HD62" s="749"/>
      <c r="HE62" s="749"/>
      <c r="HF62" s="749"/>
      <c r="HG62" s="749"/>
      <c r="HH62" s="749"/>
      <c r="HI62" s="749"/>
      <c r="HJ62" s="749"/>
      <c r="HK62" s="749"/>
      <c r="HL62" s="749"/>
      <c r="HM62" s="749"/>
      <c r="HN62" s="749"/>
      <c r="HO62" s="749"/>
      <c r="HP62" s="749"/>
      <c r="HQ62" s="749"/>
      <c r="HR62" s="749"/>
      <c r="HS62" s="749"/>
      <c r="HT62" s="749"/>
      <c r="HU62" s="749"/>
      <c r="HV62" s="749"/>
      <c r="HW62" s="749"/>
      <c r="HX62" s="749"/>
      <c r="HY62" s="749"/>
      <c r="HZ62" s="749"/>
      <c r="IA62" s="749"/>
      <c r="IB62" s="749"/>
      <c r="IC62" s="749"/>
      <c r="ID62" s="749"/>
      <c r="IE62" s="749"/>
      <c r="IF62" s="749"/>
      <c r="IG62" s="749"/>
      <c r="IH62" s="749"/>
      <c r="II62" s="749"/>
      <c r="IJ62" s="749"/>
      <c r="IK62" s="749"/>
      <c r="IL62" s="749"/>
      <c r="IM62" s="749"/>
      <c r="IN62" s="749"/>
    </row>
    <row r="63" spans="1:248" ht="12.75" customHeight="1">
      <c r="A63" s="3"/>
      <c r="B63" s="769" t="s">
        <v>221</v>
      </c>
      <c r="C63" s="3" t="s">
        <v>7380</v>
      </c>
      <c r="D63" s="3"/>
      <c r="E63" s="3" t="s">
        <v>7332</v>
      </c>
      <c r="F63" s="774">
        <f>SUM(F60:F62)</f>
        <v>1.0500000000000001E-2</v>
      </c>
      <c r="G63" s="759"/>
      <c r="H63" s="786">
        <f>SUM(G59:G62)</f>
        <v>441000</v>
      </c>
      <c r="I63" s="3"/>
      <c r="J63" s="3"/>
      <c r="K63" s="3"/>
      <c r="L63" s="749"/>
      <c r="M63" s="3"/>
      <c r="N63" s="777"/>
      <c r="O63" s="2"/>
      <c r="P63" s="785" t="s">
        <v>7379</v>
      </c>
      <c r="Q63" s="770">
        <v>5.0000000000000001E-4</v>
      </c>
      <c r="R63" s="771">
        <f>SUM(T27*Q63)</f>
        <v>21000</v>
      </c>
      <c r="S63" s="771"/>
      <c r="T63" s="3"/>
      <c r="U63" s="3"/>
      <c r="V63" s="3"/>
      <c r="W63" s="3"/>
      <c r="X63" s="3"/>
      <c r="Y63" s="3"/>
      <c r="Z63" s="3"/>
      <c r="AA63" s="3"/>
      <c r="AB63" s="3"/>
      <c r="AC63" s="857" t="s">
        <v>14</v>
      </c>
      <c r="AD63" s="879"/>
      <c r="AE63" s="885"/>
      <c r="AF63" s="879">
        <f>AH63+AN63+AO63+AP63</f>
        <v>0</v>
      </c>
      <c r="AG63" s="876"/>
      <c r="AH63" s="879">
        <f t="shared" ref="AH63" si="10">AJ63+AL63</f>
        <v>0</v>
      </c>
      <c r="AI63" s="876">
        <f>'TAB 3 Project Cost'!F29</f>
        <v>5.0000000000000001E-3</v>
      </c>
      <c r="AJ63" s="879">
        <f>'TAB 3 Project Cost'!G29</f>
        <v>0</v>
      </c>
      <c r="AK63" s="876">
        <f>'TAB 3 Project Cost'!F60</f>
        <v>0.01</v>
      </c>
      <c r="AL63" s="879">
        <f>'TAB 3 Project Cost'!G60</f>
        <v>0</v>
      </c>
      <c r="AM63" s="876">
        <f>'TAB 3 Project Cost'!F100</f>
        <v>1.4999999999999999E-2</v>
      </c>
      <c r="AN63" s="879">
        <f>'TAB 3 Project Cost'!G100</f>
        <v>0</v>
      </c>
      <c r="AO63" s="868"/>
      <c r="AP63" s="851"/>
      <c r="AQ63" s="923">
        <f>'TAB 3 Project Cost'!AC60</f>
        <v>0</v>
      </c>
      <c r="AR63" s="924">
        <f>'TAB 3 Project Cost'!AD60</f>
        <v>0</v>
      </c>
      <c r="AS63" s="925">
        <f>'TAB 3 Project Cost'!AE60</f>
        <v>0</v>
      </c>
      <c r="AT63" s="923">
        <f>'TAB 3 Project Cost'!AA100</f>
        <v>0</v>
      </c>
      <c r="AU63" s="924">
        <f>'TAB 3 Project Cost'!AB100</f>
        <v>0</v>
      </c>
      <c r="AV63" s="924">
        <f>'TAB 3 Project Cost'!AC100</f>
        <v>0</v>
      </c>
      <c r="AW63" s="925">
        <f>'TAB 3 Project Cost'!AD100</f>
        <v>0</v>
      </c>
      <c r="AX63" s="749"/>
      <c r="AY63" s="749"/>
      <c r="AZ63" s="749"/>
      <c r="BA63" s="749"/>
      <c r="BB63" s="749"/>
      <c r="BC63" s="749"/>
      <c r="BD63" s="749"/>
      <c r="BE63" s="749"/>
      <c r="BF63" s="749"/>
      <c r="BG63" s="749"/>
      <c r="BH63" s="749"/>
      <c r="BI63" s="749"/>
      <c r="BJ63" s="749"/>
      <c r="BK63" s="749"/>
      <c r="BL63" s="749"/>
      <c r="BM63" s="749"/>
      <c r="BN63" s="749"/>
      <c r="BO63" s="749"/>
      <c r="BP63" s="749"/>
      <c r="BQ63" s="749"/>
      <c r="BR63" s="749"/>
      <c r="BS63" s="749"/>
      <c r="BT63" s="749"/>
      <c r="BU63" s="749"/>
      <c r="BV63" s="749"/>
      <c r="BW63" s="749"/>
      <c r="BX63" s="749"/>
      <c r="BY63" s="749"/>
      <c r="BZ63" s="749"/>
      <c r="CA63" s="749"/>
      <c r="CB63" s="749"/>
      <c r="CC63" s="749"/>
      <c r="CD63" s="749"/>
      <c r="CE63" s="749"/>
      <c r="CF63" s="749"/>
      <c r="CG63" s="749"/>
      <c r="CH63" s="749"/>
      <c r="CI63" s="749"/>
      <c r="CJ63" s="749"/>
      <c r="CK63" s="749"/>
      <c r="CL63" s="749"/>
      <c r="CM63" s="749"/>
      <c r="CN63" s="749"/>
      <c r="CO63" s="749"/>
      <c r="CP63" s="749"/>
      <c r="CQ63" s="749"/>
      <c r="CR63" s="749"/>
      <c r="CS63" s="749"/>
      <c r="CT63" s="749"/>
      <c r="CU63" s="749"/>
      <c r="CV63" s="749"/>
      <c r="CW63" s="749"/>
      <c r="CX63" s="749"/>
      <c r="CY63" s="749"/>
      <c r="CZ63" s="749"/>
      <c r="DA63" s="749"/>
      <c r="DB63" s="749"/>
      <c r="DC63" s="749"/>
      <c r="DD63" s="749"/>
      <c r="DE63" s="749"/>
      <c r="DF63" s="749"/>
      <c r="DG63" s="749"/>
      <c r="DH63" s="749"/>
      <c r="DI63" s="749"/>
      <c r="DJ63" s="749"/>
      <c r="DK63" s="749"/>
      <c r="DL63" s="749"/>
      <c r="DM63" s="749"/>
      <c r="DN63" s="749"/>
      <c r="DO63" s="749"/>
      <c r="DP63" s="749"/>
      <c r="DQ63" s="749"/>
      <c r="DR63" s="749"/>
      <c r="DS63" s="749"/>
      <c r="DT63" s="749"/>
      <c r="DU63" s="749"/>
      <c r="DV63" s="749"/>
      <c r="DW63" s="749"/>
      <c r="DX63" s="749"/>
      <c r="DY63" s="749"/>
      <c r="DZ63" s="749"/>
      <c r="EA63" s="749"/>
      <c r="EB63" s="749"/>
      <c r="EC63" s="749"/>
      <c r="ED63" s="749"/>
      <c r="EE63" s="749"/>
      <c r="EF63" s="749"/>
      <c r="EG63" s="749"/>
      <c r="EH63" s="749"/>
      <c r="EI63" s="749"/>
      <c r="EJ63" s="749"/>
      <c r="EK63" s="749"/>
      <c r="EL63" s="749"/>
      <c r="EM63" s="749"/>
      <c r="EN63" s="749"/>
      <c r="EO63" s="749"/>
      <c r="EP63" s="749"/>
      <c r="EQ63" s="749"/>
      <c r="ER63" s="749"/>
      <c r="ES63" s="749"/>
      <c r="ET63" s="749"/>
      <c r="EU63" s="749"/>
      <c r="EV63" s="749"/>
      <c r="EW63" s="749"/>
      <c r="EX63" s="749"/>
      <c r="EY63" s="749"/>
      <c r="EZ63" s="749"/>
      <c r="FA63" s="749"/>
      <c r="FB63" s="749"/>
      <c r="FC63" s="749"/>
      <c r="FD63" s="749"/>
      <c r="FE63" s="749"/>
      <c r="FF63" s="749"/>
      <c r="FG63" s="749"/>
      <c r="FH63" s="749"/>
      <c r="FI63" s="749"/>
      <c r="FJ63" s="749"/>
      <c r="FK63" s="749"/>
      <c r="FL63" s="749"/>
      <c r="FM63" s="749"/>
      <c r="FN63" s="749"/>
      <c r="FO63" s="749"/>
      <c r="FP63" s="749"/>
      <c r="FQ63" s="749"/>
      <c r="FR63" s="749"/>
      <c r="FS63" s="749"/>
      <c r="FT63" s="749"/>
      <c r="FU63" s="749"/>
      <c r="FV63" s="749"/>
      <c r="FW63" s="749"/>
      <c r="FX63" s="749"/>
      <c r="FY63" s="749"/>
      <c r="FZ63" s="749"/>
      <c r="GA63" s="749"/>
      <c r="GB63" s="749"/>
      <c r="GC63" s="749"/>
      <c r="GD63" s="749"/>
      <c r="GE63" s="749"/>
      <c r="GF63" s="749"/>
      <c r="GG63" s="749"/>
      <c r="GH63" s="749"/>
      <c r="GI63" s="749"/>
      <c r="GJ63" s="749"/>
      <c r="GK63" s="749"/>
      <c r="GL63" s="749"/>
      <c r="GM63" s="749"/>
      <c r="GN63" s="749"/>
      <c r="GO63" s="749"/>
      <c r="GP63" s="749"/>
      <c r="GQ63" s="749"/>
      <c r="GR63" s="749"/>
      <c r="GS63" s="749"/>
      <c r="GT63" s="749"/>
      <c r="GU63" s="749"/>
      <c r="GV63" s="749"/>
      <c r="GW63" s="749"/>
      <c r="GX63" s="749"/>
      <c r="GY63" s="749"/>
      <c r="GZ63" s="749"/>
      <c r="HA63" s="749"/>
      <c r="HB63" s="749"/>
      <c r="HC63" s="749"/>
      <c r="HD63" s="749"/>
      <c r="HE63" s="749"/>
      <c r="HF63" s="749"/>
      <c r="HG63" s="749"/>
      <c r="HH63" s="749"/>
      <c r="HI63" s="749"/>
      <c r="HJ63" s="749"/>
      <c r="HK63" s="749"/>
      <c r="HL63" s="749"/>
      <c r="HM63" s="749"/>
      <c r="HN63" s="749"/>
      <c r="HO63" s="749"/>
      <c r="HP63" s="749"/>
      <c r="HQ63" s="749"/>
      <c r="HR63" s="749"/>
      <c r="HS63" s="749"/>
      <c r="HT63" s="749"/>
      <c r="HU63" s="749"/>
      <c r="HV63" s="749"/>
      <c r="HW63" s="749"/>
      <c r="HX63" s="749"/>
      <c r="HY63" s="749"/>
      <c r="HZ63" s="749"/>
      <c r="IA63" s="749"/>
      <c r="IB63" s="749"/>
      <c r="IC63" s="749"/>
      <c r="ID63" s="749"/>
      <c r="IE63" s="749"/>
      <c r="IF63" s="749"/>
      <c r="IG63" s="749"/>
      <c r="IH63" s="749"/>
      <c r="II63" s="749"/>
      <c r="IJ63" s="749"/>
      <c r="IK63" s="749"/>
      <c r="IL63" s="749"/>
      <c r="IM63" s="749"/>
      <c r="IN63" s="749"/>
    </row>
    <row r="64" spans="1:248" ht="12.75" customHeight="1">
      <c r="A64" s="3"/>
      <c r="B64" s="769"/>
      <c r="C64" s="3"/>
      <c r="D64" s="3"/>
      <c r="E64" s="3"/>
      <c r="F64" s="770"/>
      <c r="G64" s="3"/>
      <c r="H64" s="771"/>
      <c r="I64" s="3"/>
      <c r="J64" s="3"/>
      <c r="K64" s="3"/>
      <c r="L64" s="749"/>
      <c r="M64" s="3"/>
      <c r="N64" s="769" t="s">
        <v>221</v>
      </c>
      <c r="O64" s="3" t="s">
        <v>7380</v>
      </c>
      <c r="P64" s="3"/>
      <c r="Q64" s="774">
        <f>SUM(Q61:Q63)</f>
        <v>1.0500000000000001E-2</v>
      </c>
      <c r="R64" s="759"/>
      <c r="S64" s="3"/>
      <c r="T64" s="786">
        <f>SUM(R60:R63)</f>
        <v>441000</v>
      </c>
      <c r="U64" s="771"/>
      <c r="V64" s="3"/>
      <c r="W64" s="3"/>
      <c r="X64" s="3"/>
      <c r="Y64" s="3"/>
      <c r="Z64" s="3"/>
      <c r="AA64" s="3"/>
      <c r="AB64" s="3"/>
      <c r="AC64" s="849"/>
      <c r="AD64" s="838"/>
      <c r="AE64" s="836"/>
      <c r="AF64" s="838"/>
      <c r="AG64" s="872"/>
      <c r="AH64" s="838"/>
      <c r="AI64" s="872"/>
      <c r="AJ64" s="838"/>
      <c r="AK64" s="872"/>
      <c r="AL64" s="838"/>
      <c r="AM64" s="872"/>
      <c r="AN64" s="838"/>
      <c r="AO64" s="836"/>
      <c r="AP64" s="844"/>
      <c r="AQ64" s="920"/>
      <c r="AR64" s="921"/>
      <c r="AS64" s="922"/>
      <c r="AT64" s="920"/>
      <c r="AU64" s="921"/>
      <c r="AV64" s="921"/>
      <c r="AW64" s="922"/>
      <c r="AX64" s="749"/>
      <c r="AY64" s="749"/>
      <c r="AZ64" s="749"/>
      <c r="BA64" s="749"/>
      <c r="BB64" s="749"/>
      <c r="BC64" s="749"/>
      <c r="BD64" s="749"/>
      <c r="BE64" s="749"/>
      <c r="BF64" s="749"/>
      <c r="BG64" s="749"/>
      <c r="BH64" s="749"/>
      <c r="BI64" s="749"/>
      <c r="BJ64" s="749"/>
      <c r="BK64" s="749"/>
      <c r="BL64" s="749"/>
      <c r="BM64" s="749"/>
      <c r="BN64" s="749"/>
      <c r="BO64" s="749"/>
      <c r="BP64" s="749"/>
      <c r="BQ64" s="749"/>
      <c r="BR64" s="749"/>
      <c r="BS64" s="749"/>
      <c r="BT64" s="749"/>
      <c r="BU64" s="749"/>
      <c r="BV64" s="749"/>
      <c r="BW64" s="749"/>
      <c r="BX64" s="749"/>
      <c r="BY64" s="749"/>
      <c r="BZ64" s="749"/>
      <c r="CA64" s="749"/>
      <c r="CB64" s="749"/>
      <c r="CC64" s="749"/>
      <c r="CD64" s="749"/>
      <c r="CE64" s="749"/>
      <c r="CF64" s="749"/>
      <c r="CG64" s="749"/>
      <c r="CH64" s="749"/>
      <c r="CI64" s="749"/>
      <c r="CJ64" s="749"/>
      <c r="CK64" s="749"/>
      <c r="CL64" s="749"/>
      <c r="CM64" s="749"/>
      <c r="CN64" s="749"/>
      <c r="CO64" s="749"/>
      <c r="CP64" s="749"/>
      <c r="CQ64" s="749"/>
      <c r="CR64" s="749"/>
      <c r="CS64" s="749"/>
      <c r="CT64" s="749"/>
      <c r="CU64" s="749"/>
      <c r="CV64" s="749"/>
      <c r="CW64" s="749"/>
      <c r="CX64" s="749"/>
      <c r="CY64" s="749"/>
      <c r="CZ64" s="749"/>
      <c r="DA64" s="749"/>
      <c r="DB64" s="749"/>
      <c r="DC64" s="749"/>
      <c r="DD64" s="749"/>
      <c r="DE64" s="749"/>
      <c r="DF64" s="749"/>
      <c r="DG64" s="749"/>
      <c r="DH64" s="749"/>
      <c r="DI64" s="749"/>
      <c r="DJ64" s="749"/>
      <c r="DK64" s="749"/>
      <c r="DL64" s="749"/>
      <c r="DM64" s="749"/>
      <c r="DN64" s="749"/>
      <c r="DO64" s="749"/>
      <c r="DP64" s="749"/>
      <c r="DQ64" s="749"/>
      <c r="DR64" s="749"/>
      <c r="DS64" s="749"/>
      <c r="DT64" s="749"/>
      <c r="DU64" s="749"/>
      <c r="DV64" s="749"/>
      <c r="DW64" s="749"/>
      <c r="DX64" s="749"/>
      <c r="DY64" s="749"/>
      <c r="DZ64" s="749"/>
      <c r="EA64" s="749"/>
      <c r="EB64" s="749"/>
      <c r="EC64" s="749"/>
      <c r="ED64" s="749"/>
      <c r="EE64" s="749"/>
      <c r="EF64" s="749"/>
      <c r="EG64" s="749"/>
      <c r="EH64" s="749"/>
      <c r="EI64" s="749"/>
      <c r="EJ64" s="749"/>
      <c r="EK64" s="749"/>
      <c r="EL64" s="749"/>
      <c r="EM64" s="749"/>
      <c r="EN64" s="749"/>
      <c r="EO64" s="749"/>
      <c r="EP64" s="749"/>
      <c r="EQ64" s="749"/>
      <c r="ER64" s="749"/>
      <c r="ES64" s="749"/>
      <c r="ET64" s="749"/>
      <c r="EU64" s="749"/>
      <c r="EV64" s="749"/>
      <c r="EW64" s="749"/>
      <c r="EX64" s="749"/>
      <c r="EY64" s="749"/>
      <c r="EZ64" s="749"/>
      <c r="FA64" s="749"/>
      <c r="FB64" s="749"/>
      <c r="FC64" s="749"/>
      <c r="FD64" s="749"/>
      <c r="FE64" s="749"/>
      <c r="FF64" s="749"/>
      <c r="FG64" s="749"/>
      <c r="FH64" s="749"/>
      <c r="FI64" s="749"/>
      <c r="FJ64" s="749"/>
      <c r="FK64" s="749"/>
      <c r="FL64" s="749"/>
      <c r="FM64" s="749"/>
      <c r="FN64" s="749"/>
      <c r="FO64" s="749"/>
      <c r="FP64" s="749"/>
      <c r="FQ64" s="749"/>
      <c r="FR64" s="749"/>
      <c r="FS64" s="749"/>
      <c r="FT64" s="749"/>
      <c r="FU64" s="749"/>
      <c r="FV64" s="749"/>
      <c r="FW64" s="749"/>
      <c r="FX64" s="749"/>
      <c r="FY64" s="749"/>
      <c r="FZ64" s="749"/>
      <c r="GA64" s="749"/>
      <c r="GB64" s="749"/>
      <c r="GC64" s="749"/>
      <c r="GD64" s="749"/>
      <c r="GE64" s="749"/>
      <c r="GF64" s="749"/>
      <c r="GG64" s="749"/>
      <c r="GH64" s="749"/>
      <c r="GI64" s="749"/>
      <c r="GJ64" s="749"/>
      <c r="GK64" s="749"/>
      <c r="GL64" s="749"/>
      <c r="GM64" s="749"/>
      <c r="GN64" s="749"/>
      <c r="GO64" s="749"/>
      <c r="GP64" s="749"/>
      <c r="GQ64" s="749"/>
      <c r="GR64" s="749"/>
      <c r="GS64" s="749"/>
      <c r="GT64" s="749"/>
      <c r="GU64" s="749"/>
      <c r="GV64" s="749"/>
      <c r="GW64" s="749"/>
      <c r="GX64" s="749"/>
      <c r="GY64" s="749"/>
      <c r="GZ64" s="749"/>
      <c r="HA64" s="749"/>
      <c r="HB64" s="749"/>
      <c r="HC64" s="749"/>
      <c r="HD64" s="749"/>
      <c r="HE64" s="749"/>
      <c r="HF64" s="749"/>
      <c r="HG64" s="749"/>
      <c r="HH64" s="749"/>
      <c r="HI64" s="749"/>
      <c r="HJ64" s="749"/>
      <c r="HK64" s="749"/>
      <c r="HL64" s="749"/>
      <c r="HM64" s="749"/>
      <c r="HN64" s="749"/>
      <c r="HO64" s="749"/>
      <c r="HP64" s="749"/>
      <c r="HQ64" s="749"/>
      <c r="HR64" s="749"/>
      <c r="HS64" s="749"/>
      <c r="HT64" s="749"/>
      <c r="HU64" s="749"/>
      <c r="HV64" s="749"/>
      <c r="HW64" s="749"/>
      <c r="HX64" s="749"/>
      <c r="HY64" s="749"/>
      <c r="HZ64" s="749"/>
      <c r="IA64" s="749"/>
      <c r="IB64" s="749"/>
      <c r="IC64" s="749"/>
      <c r="ID64" s="749"/>
      <c r="IE64" s="749"/>
      <c r="IF64" s="749"/>
      <c r="IG64" s="749"/>
      <c r="IH64" s="749"/>
      <c r="II64" s="749"/>
      <c r="IJ64" s="749"/>
      <c r="IK64" s="749"/>
      <c r="IL64" s="749"/>
      <c r="IM64" s="749"/>
      <c r="IN64" s="749"/>
    </row>
    <row r="65" spans="1:248" ht="12.75">
      <c r="A65" s="1" t="s">
        <v>7381</v>
      </c>
      <c r="B65" s="3"/>
      <c r="C65" s="3"/>
      <c r="D65" s="3"/>
      <c r="E65" s="771">
        <f>SUM(H27:H63)</f>
        <v>51061500</v>
      </c>
      <c r="F65" s="770"/>
      <c r="G65" s="771"/>
      <c r="H65" s="3"/>
      <c r="I65" s="3"/>
      <c r="J65" s="3"/>
      <c r="K65" s="3"/>
      <c r="L65" s="749"/>
      <c r="M65" s="3"/>
      <c r="N65" s="769"/>
      <c r="O65" s="3"/>
      <c r="P65" s="3"/>
      <c r="Q65" s="770"/>
      <c r="R65" s="3"/>
      <c r="S65" s="3"/>
      <c r="T65" s="771"/>
      <c r="U65" s="771"/>
      <c r="V65" s="3"/>
      <c r="W65" s="3"/>
      <c r="X65" s="3"/>
      <c r="Y65" s="3"/>
      <c r="Z65" s="3"/>
      <c r="AA65" s="3"/>
      <c r="AB65" s="3"/>
      <c r="AC65" s="849"/>
      <c r="AD65" s="838"/>
      <c r="AE65" s="836"/>
      <c r="AF65" s="838"/>
      <c r="AG65" s="872"/>
      <c r="AH65" s="838"/>
      <c r="AI65" s="872"/>
      <c r="AJ65" s="838"/>
      <c r="AK65" s="872"/>
      <c r="AL65" s="838"/>
      <c r="AM65" s="872"/>
      <c r="AN65" s="838"/>
      <c r="AO65" s="836"/>
      <c r="AP65" s="844"/>
      <c r="AQ65" s="920"/>
      <c r="AR65" s="921"/>
      <c r="AS65" s="922"/>
      <c r="AT65" s="920"/>
      <c r="AU65" s="921"/>
      <c r="AV65" s="921"/>
      <c r="AW65" s="922"/>
      <c r="AX65" s="749"/>
      <c r="AY65" s="749"/>
      <c r="AZ65" s="749"/>
      <c r="BA65" s="749"/>
      <c r="BB65" s="749"/>
      <c r="BC65" s="749"/>
      <c r="BD65" s="749"/>
      <c r="BE65" s="749"/>
      <c r="BF65" s="749"/>
      <c r="BG65" s="749"/>
      <c r="BH65" s="749"/>
      <c r="BI65" s="749"/>
      <c r="BJ65" s="749"/>
      <c r="BK65" s="749"/>
      <c r="BL65" s="749"/>
      <c r="BM65" s="749"/>
      <c r="BN65" s="749"/>
      <c r="BO65" s="749"/>
      <c r="BP65" s="749"/>
      <c r="BQ65" s="749"/>
      <c r="BR65" s="749"/>
      <c r="BS65" s="749"/>
      <c r="BT65" s="749"/>
      <c r="BU65" s="749"/>
      <c r="BV65" s="749"/>
      <c r="BW65" s="749"/>
      <c r="BX65" s="749"/>
      <c r="BY65" s="749"/>
      <c r="BZ65" s="749"/>
      <c r="CA65" s="749"/>
      <c r="CB65" s="749"/>
      <c r="CC65" s="749"/>
      <c r="CD65" s="749"/>
      <c r="CE65" s="749"/>
      <c r="CF65" s="749"/>
      <c r="CG65" s="749"/>
      <c r="CH65" s="749"/>
      <c r="CI65" s="749"/>
      <c r="CJ65" s="749"/>
      <c r="CK65" s="749"/>
      <c r="CL65" s="749"/>
      <c r="CM65" s="749"/>
      <c r="CN65" s="749"/>
      <c r="CO65" s="749"/>
      <c r="CP65" s="749"/>
      <c r="CQ65" s="749"/>
      <c r="CR65" s="749"/>
      <c r="CS65" s="749"/>
      <c r="CT65" s="749"/>
      <c r="CU65" s="749"/>
      <c r="CV65" s="749"/>
      <c r="CW65" s="749"/>
      <c r="CX65" s="749"/>
      <c r="CY65" s="749"/>
      <c r="CZ65" s="749"/>
      <c r="DA65" s="749"/>
      <c r="DB65" s="749"/>
      <c r="DC65" s="749"/>
      <c r="DD65" s="749"/>
      <c r="DE65" s="749"/>
      <c r="DF65" s="749"/>
      <c r="DG65" s="749"/>
      <c r="DH65" s="749"/>
      <c r="DI65" s="749"/>
      <c r="DJ65" s="749"/>
      <c r="DK65" s="749"/>
      <c r="DL65" s="749"/>
      <c r="DM65" s="749"/>
      <c r="DN65" s="749"/>
      <c r="DO65" s="749"/>
      <c r="DP65" s="749"/>
      <c r="DQ65" s="749"/>
      <c r="DR65" s="749"/>
      <c r="DS65" s="749"/>
      <c r="DT65" s="749"/>
      <c r="DU65" s="749"/>
      <c r="DV65" s="749"/>
      <c r="DW65" s="749"/>
      <c r="DX65" s="749"/>
      <c r="DY65" s="749"/>
      <c r="DZ65" s="749"/>
      <c r="EA65" s="749"/>
      <c r="EB65" s="749"/>
      <c r="EC65" s="749"/>
      <c r="ED65" s="749"/>
      <c r="EE65" s="749"/>
      <c r="EF65" s="749"/>
      <c r="EG65" s="749"/>
      <c r="EH65" s="749"/>
      <c r="EI65" s="749"/>
      <c r="EJ65" s="749"/>
      <c r="EK65" s="749"/>
      <c r="EL65" s="749"/>
      <c r="EM65" s="749"/>
      <c r="EN65" s="749"/>
      <c r="EO65" s="749"/>
      <c r="EP65" s="749"/>
      <c r="EQ65" s="749"/>
      <c r="ER65" s="749"/>
      <c r="ES65" s="749"/>
      <c r="ET65" s="749"/>
      <c r="EU65" s="749"/>
      <c r="EV65" s="749"/>
      <c r="EW65" s="749"/>
      <c r="EX65" s="749"/>
      <c r="EY65" s="749"/>
      <c r="EZ65" s="749"/>
      <c r="FA65" s="749"/>
      <c r="FB65" s="749"/>
      <c r="FC65" s="749"/>
      <c r="FD65" s="749"/>
      <c r="FE65" s="749"/>
      <c r="FF65" s="749"/>
      <c r="FG65" s="749"/>
      <c r="FH65" s="749"/>
      <c r="FI65" s="749"/>
      <c r="FJ65" s="749"/>
      <c r="FK65" s="749"/>
      <c r="FL65" s="749"/>
      <c r="FM65" s="749"/>
      <c r="FN65" s="749"/>
      <c r="FO65" s="749"/>
      <c r="FP65" s="749"/>
      <c r="FQ65" s="749"/>
      <c r="FR65" s="749"/>
      <c r="FS65" s="749"/>
      <c r="FT65" s="749"/>
      <c r="FU65" s="749"/>
      <c r="FV65" s="749"/>
      <c r="FW65" s="749"/>
      <c r="FX65" s="749"/>
      <c r="FY65" s="749"/>
      <c r="FZ65" s="749"/>
      <c r="GA65" s="749"/>
      <c r="GB65" s="749"/>
      <c r="GC65" s="749"/>
      <c r="GD65" s="749"/>
      <c r="GE65" s="749"/>
      <c r="GF65" s="749"/>
      <c r="GG65" s="749"/>
      <c r="GH65" s="749"/>
      <c r="GI65" s="749"/>
      <c r="GJ65" s="749"/>
      <c r="GK65" s="749"/>
      <c r="GL65" s="749"/>
      <c r="GM65" s="749"/>
      <c r="GN65" s="749"/>
      <c r="GO65" s="749"/>
      <c r="GP65" s="749"/>
      <c r="GQ65" s="749"/>
      <c r="GR65" s="749"/>
      <c r="GS65" s="749"/>
      <c r="GT65" s="749"/>
      <c r="GU65" s="749"/>
      <c r="GV65" s="749"/>
      <c r="GW65" s="749"/>
      <c r="GX65" s="749"/>
      <c r="GY65" s="749"/>
      <c r="GZ65" s="749"/>
      <c r="HA65" s="749"/>
      <c r="HB65" s="749"/>
      <c r="HC65" s="749"/>
      <c r="HD65" s="749"/>
      <c r="HE65" s="749"/>
      <c r="HF65" s="749"/>
      <c r="HG65" s="749"/>
      <c r="HH65" s="749"/>
      <c r="HI65" s="749"/>
      <c r="HJ65" s="749"/>
      <c r="HK65" s="749"/>
      <c r="HL65" s="749"/>
      <c r="HM65" s="749"/>
      <c r="HN65" s="749"/>
      <c r="HO65" s="749"/>
      <c r="HP65" s="749"/>
      <c r="HQ65" s="749"/>
      <c r="HR65" s="749"/>
      <c r="HS65" s="749"/>
      <c r="HT65" s="749"/>
      <c r="HU65" s="749"/>
      <c r="HV65" s="749"/>
      <c r="HW65" s="749"/>
      <c r="HX65" s="749"/>
      <c r="HY65" s="749"/>
      <c r="HZ65" s="749"/>
      <c r="IA65" s="749"/>
      <c r="IB65" s="749"/>
      <c r="IC65" s="749"/>
      <c r="ID65" s="749"/>
      <c r="IE65" s="749"/>
      <c r="IF65" s="749"/>
      <c r="IG65" s="749"/>
      <c r="IH65" s="749"/>
      <c r="II65" s="749"/>
      <c r="IJ65" s="749"/>
      <c r="IK65" s="749"/>
      <c r="IL65" s="749"/>
      <c r="IM65" s="749"/>
      <c r="IN65" s="749"/>
    </row>
    <row r="66" spans="1:248" ht="12.75">
      <c r="A66" s="3"/>
      <c r="B66" s="769" t="s">
        <v>219</v>
      </c>
      <c r="C66" s="3" t="s">
        <v>7382</v>
      </c>
      <c r="D66" s="3"/>
      <c r="E66" s="771"/>
      <c r="F66" s="770">
        <v>0.05</v>
      </c>
      <c r="G66" s="771">
        <f>SUM(F66*E65)</f>
        <v>2553075</v>
      </c>
      <c r="H66" s="3"/>
      <c r="I66" s="3"/>
      <c r="J66" s="3"/>
      <c r="K66" s="3"/>
      <c r="L66" s="749"/>
      <c r="M66" s="1" t="s">
        <v>7381</v>
      </c>
      <c r="N66" s="3"/>
      <c r="O66" s="3"/>
      <c r="P66" s="3"/>
      <c r="Q66" s="770"/>
      <c r="R66" s="771"/>
      <c r="S66" s="771"/>
      <c r="T66" s="3"/>
      <c r="U66" s="3"/>
      <c r="V66" s="3"/>
      <c r="W66" s="3"/>
      <c r="X66" s="3"/>
      <c r="Y66" s="3"/>
      <c r="Z66" s="3"/>
      <c r="AA66" s="3"/>
      <c r="AB66" s="3"/>
      <c r="AC66" s="849"/>
      <c r="AD66" s="838"/>
      <c r="AE66" s="836"/>
      <c r="AF66" s="838"/>
      <c r="AG66" s="872"/>
      <c r="AH66" s="838"/>
      <c r="AI66" s="872"/>
      <c r="AJ66" s="838"/>
      <c r="AK66" s="872"/>
      <c r="AL66" s="838"/>
      <c r="AM66" s="872"/>
      <c r="AN66" s="838"/>
      <c r="AO66" s="836"/>
      <c r="AP66" s="844"/>
      <c r="AQ66" s="920"/>
      <c r="AR66" s="921"/>
      <c r="AS66" s="922"/>
      <c r="AT66" s="920"/>
      <c r="AU66" s="921"/>
      <c r="AV66" s="921"/>
      <c r="AW66" s="922"/>
      <c r="AX66" s="749"/>
      <c r="AY66" s="749"/>
      <c r="AZ66" s="749"/>
      <c r="BA66" s="749"/>
      <c r="BB66" s="749"/>
      <c r="BC66" s="749"/>
      <c r="BD66" s="749"/>
      <c r="BE66" s="749"/>
      <c r="BF66" s="749"/>
      <c r="BG66" s="749"/>
      <c r="BH66" s="749"/>
      <c r="BI66" s="749"/>
      <c r="BJ66" s="749"/>
      <c r="BK66" s="749"/>
      <c r="BL66" s="749"/>
      <c r="BM66" s="749"/>
      <c r="BN66" s="749"/>
      <c r="BO66" s="749"/>
      <c r="BP66" s="749"/>
      <c r="BQ66" s="749"/>
      <c r="BR66" s="749"/>
      <c r="BS66" s="749"/>
      <c r="BT66" s="749"/>
      <c r="BU66" s="749"/>
      <c r="BV66" s="749"/>
      <c r="BW66" s="749"/>
      <c r="BX66" s="749"/>
      <c r="BY66" s="749"/>
      <c r="BZ66" s="749"/>
      <c r="CA66" s="749"/>
      <c r="CB66" s="749"/>
      <c r="CC66" s="749"/>
      <c r="CD66" s="749"/>
      <c r="CE66" s="749"/>
      <c r="CF66" s="749"/>
      <c r="CG66" s="749"/>
      <c r="CH66" s="749"/>
      <c r="CI66" s="749"/>
      <c r="CJ66" s="749"/>
      <c r="CK66" s="749"/>
      <c r="CL66" s="749"/>
      <c r="CM66" s="749"/>
      <c r="CN66" s="749"/>
      <c r="CO66" s="749"/>
      <c r="CP66" s="749"/>
      <c r="CQ66" s="749"/>
      <c r="CR66" s="749"/>
      <c r="CS66" s="749"/>
      <c r="CT66" s="749"/>
      <c r="CU66" s="749"/>
      <c r="CV66" s="749"/>
      <c r="CW66" s="749"/>
      <c r="CX66" s="749"/>
      <c r="CY66" s="749"/>
      <c r="CZ66" s="749"/>
      <c r="DA66" s="749"/>
      <c r="DB66" s="749"/>
      <c r="DC66" s="749"/>
      <c r="DD66" s="749"/>
      <c r="DE66" s="749"/>
      <c r="DF66" s="749"/>
      <c r="DG66" s="749"/>
      <c r="DH66" s="749"/>
      <c r="DI66" s="749"/>
      <c r="DJ66" s="749"/>
      <c r="DK66" s="749"/>
      <c r="DL66" s="749"/>
      <c r="DM66" s="749"/>
      <c r="DN66" s="749"/>
      <c r="DO66" s="749"/>
      <c r="DP66" s="749"/>
      <c r="DQ66" s="749"/>
      <c r="DR66" s="749"/>
      <c r="DS66" s="749"/>
      <c r="DT66" s="749"/>
      <c r="DU66" s="749"/>
      <c r="DV66" s="749"/>
      <c r="DW66" s="749"/>
      <c r="DX66" s="749"/>
      <c r="DY66" s="749"/>
      <c r="DZ66" s="749"/>
      <c r="EA66" s="749"/>
      <c r="EB66" s="749"/>
      <c r="EC66" s="749"/>
      <c r="ED66" s="749"/>
      <c r="EE66" s="749"/>
      <c r="EF66" s="749"/>
      <c r="EG66" s="749"/>
      <c r="EH66" s="749"/>
      <c r="EI66" s="749"/>
      <c r="EJ66" s="749"/>
      <c r="EK66" s="749"/>
      <c r="EL66" s="749"/>
      <c r="EM66" s="749"/>
      <c r="EN66" s="749"/>
      <c r="EO66" s="749"/>
      <c r="EP66" s="749"/>
      <c r="EQ66" s="749"/>
      <c r="ER66" s="749"/>
      <c r="ES66" s="749"/>
      <c r="ET66" s="749"/>
      <c r="EU66" s="749"/>
      <c r="EV66" s="749"/>
      <c r="EW66" s="749"/>
      <c r="EX66" s="749"/>
      <c r="EY66" s="749"/>
      <c r="EZ66" s="749"/>
      <c r="FA66" s="749"/>
      <c r="FB66" s="749"/>
      <c r="FC66" s="749"/>
      <c r="FD66" s="749"/>
      <c r="FE66" s="749"/>
      <c r="FF66" s="749"/>
      <c r="FG66" s="749"/>
      <c r="FH66" s="749"/>
      <c r="FI66" s="749"/>
      <c r="FJ66" s="749"/>
      <c r="FK66" s="749"/>
      <c r="FL66" s="749"/>
      <c r="FM66" s="749"/>
      <c r="FN66" s="749"/>
      <c r="FO66" s="749"/>
      <c r="FP66" s="749"/>
      <c r="FQ66" s="749"/>
      <c r="FR66" s="749"/>
      <c r="FS66" s="749"/>
      <c r="FT66" s="749"/>
      <c r="FU66" s="749"/>
      <c r="FV66" s="749"/>
      <c r="FW66" s="749"/>
      <c r="FX66" s="749"/>
      <c r="FY66" s="749"/>
      <c r="FZ66" s="749"/>
      <c r="GA66" s="749"/>
      <c r="GB66" s="749"/>
      <c r="GC66" s="749"/>
      <c r="GD66" s="749"/>
      <c r="GE66" s="749"/>
      <c r="GF66" s="749"/>
      <c r="GG66" s="749"/>
      <c r="GH66" s="749"/>
      <c r="GI66" s="749"/>
      <c r="GJ66" s="749"/>
      <c r="GK66" s="749"/>
      <c r="GL66" s="749"/>
      <c r="GM66" s="749"/>
      <c r="GN66" s="749"/>
      <c r="GO66" s="749"/>
      <c r="GP66" s="749"/>
      <c r="GQ66" s="749"/>
      <c r="GR66" s="749"/>
      <c r="GS66" s="749"/>
      <c r="GT66" s="749"/>
      <c r="GU66" s="749"/>
      <c r="GV66" s="749"/>
      <c r="GW66" s="749"/>
      <c r="GX66" s="749"/>
      <c r="GY66" s="749"/>
      <c r="GZ66" s="749"/>
      <c r="HA66" s="749"/>
      <c r="HB66" s="749"/>
      <c r="HC66" s="749"/>
      <c r="HD66" s="749"/>
      <c r="HE66" s="749"/>
      <c r="HF66" s="749"/>
      <c r="HG66" s="749"/>
      <c r="HH66" s="749"/>
      <c r="HI66" s="749"/>
      <c r="HJ66" s="749"/>
      <c r="HK66" s="749"/>
      <c r="HL66" s="749"/>
      <c r="HM66" s="749"/>
      <c r="HN66" s="749"/>
      <c r="HO66" s="749"/>
      <c r="HP66" s="749"/>
      <c r="HQ66" s="749"/>
      <c r="HR66" s="749"/>
      <c r="HS66" s="749"/>
      <c r="HT66" s="749"/>
      <c r="HU66" s="749"/>
      <c r="HV66" s="749"/>
      <c r="HW66" s="749"/>
      <c r="HX66" s="749"/>
      <c r="HY66" s="749"/>
      <c r="HZ66" s="749"/>
      <c r="IA66" s="749"/>
      <c r="IB66" s="749"/>
      <c r="IC66" s="749"/>
      <c r="ID66" s="749"/>
      <c r="IE66" s="749"/>
      <c r="IF66" s="749"/>
      <c r="IG66" s="749"/>
      <c r="IH66" s="749"/>
      <c r="II66" s="749"/>
      <c r="IJ66" s="749"/>
      <c r="IK66" s="749"/>
      <c r="IL66" s="749"/>
      <c r="IM66" s="749"/>
      <c r="IN66" s="749"/>
    </row>
    <row r="67" spans="1:248" ht="12.75">
      <c r="A67" s="3"/>
      <c r="B67" s="769" t="s">
        <v>220</v>
      </c>
      <c r="C67" s="484" t="s">
        <v>7383</v>
      </c>
      <c r="D67" s="3"/>
      <c r="E67" s="771"/>
      <c r="F67" s="770">
        <v>0</v>
      </c>
      <c r="G67" s="771">
        <f>SUM(F67*E65)</f>
        <v>0</v>
      </c>
      <c r="H67" s="3"/>
      <c r="I67" s="3"/>
      <c r="J67" s="3"/>
      <c r="K67" s="3"/>
      <c r="L67" s="749"/>
      <c r="M67" s="3"/>
      <c r="N67" s="769" t="s">
        <v>219</v>
      </c>
      <c r="O67" s="3" t="s">
        <v>7409</v>
      </c>
      <c r="P67" s="3"/>
      <c r="Q67" s="770">
        <v>0.05</v>
      </c>
      <c r="R67" s="771">
        <f>SUM(Q67*SUM(T27:T64))</f>
        <v>2553075</v>
      </c>
      <c r="S67" s="771"/>
      <c r="T67" s="3"/>
      <c r="U67" s="3"/>
      <c r="V67" s="3"/>
      <c r="W67" s="3"/>
      <c r="X67" s="3"/>
      <c r="Y67" s="3"/>
      <c r="Z67" s="3"/>
      <c r="AA67" s="3"/>
      <c r="AB67" s="3"/>
      <c r="AC67" s="850" t="s">
        <v>6942</v>
      </c>
      <c r="AD67" s="879"/>
      <c r="AE67" s="885"/>
      <c r="AF67" s="879">
        <f>AH67+AN67+AO67+AP67</f>
        <v>0</v>
      </c>
      <c r="AG67" s="876"/>
      <c r="AH67" s="879">
        <f t="shared" ref="AH67" si="11">AJ67+AL67</f>
        <v>0</v>
      </c>
      <c r="AI67" s="876">
        <f>'TAB 3 Project Cost'!F31</f>
        <v>0.05</v>
      </c>
      <c r="AJ67" s="879">
        <f>'TAB 3 Project Cost'!G31</f>
        <v>0</v>
      </c>
      <c r="AK67" s="876">
        <f>'TAB 3 Project Cost'!F62</f>
        <v>0.1</v>
      </c>
      <c r="AL67" s="879">
        <f>'TAB 3 Project Cost'!G62</f>
        <v>0</v>
      </c>
      <c r="AM67" s="876">
        <f>'TAB 3 Project Cost'!F102</f>
        <v>0.1</v>
      </c>
      <c r="AN67" s="879">
        <f>'TAB 3 Project Cost'!G102</f>
        <v>0</v>
      </c>
      <c r="AO67" s="868"/>
      <c r="AP67" s="851"/>
      <c r="AQ67" s="923">
        <f>'TAB 3 Project Cost'!AC62</f>
        <v>0</v>
      </c>
      <c r="AR67" s="924">
        <f>'TAB 3 Project Cost'!AD62</f>
        <v>0</v>
      </c>
      <c r="AS67" s="925">
        <f>'TAB 3 Project Cost'!AE62</f>
        <v>0</v>
      </c>
      <c r="AT67" s="923">
        <f>'TAB 3 Project Cost'!AA102</f>
        <v>0</v>
      </c>
      <c r="AU67" s="924">
        <f>'TAB 3 Project Cost'!AB102</f>
        <v>0</v>
      </c>
      <c r="AV67" s="924">
        <f>'TAB 3 Project Cost'!AC102</f>
        <v>0</v>
      </c>
      <c r="AW67" s="925">
        <f>'TAB 3 Project Cost'!AD102</f>
        <v>0</v>
      </c>
      <c r="AX67" s="749"/>
      <c r="AY67" s="749"/>
      <c r="AZ67" s="749"/>
      <c r="BA67" s="749"/>
      <c r="BB67" s="749"/>
      <c r="BC67" s="749"/>
      <c r="BD67" s="749"/>
      <c r="BE67" s="749"/>
      <c r="BF67" s="749"/>
      <c r="BG67" s="749"/>
      <c r="BH67" s="749"/>
      <c r="BI67" s="749"/>
      <c r="BJ67" s="749"/>
      <c r="BK67" s="749"/>
      <c r="BL67" s="749"/>
      <c r="BM67" s="749"/>
      <c r="BN67" s="749"/>
      <c r="BO67" s="749"/>
      <c r="BP67" s="749"/>
      <c r="BQ67" s="749"/>
      <c r="BR67" s="749"/>
      <c r="BS67" s="749"/>
      <c r="BT67" s="749"/>
      <c r="BU67" s="749"/>
      <c r="BV67" s="749"/>
      <c r="BW67" s="749"/>
      <c r="BX67" s="749"/>
      <c r="BY67" s="749"/>
      <c r="BZ67" s="749"/>
      <c r="CA67" s="749"/>
      <c r="CB67" s="749"/>
      <c r="CC67" s="749"/>
      <c r="CD67" s="749"/>
      <c r="CE67" s="749"/>
      <c r="CF67" s="749"/>
      <c r="CG67" s="749"/>
      <c r="CH67" s="749"/>
      <c r="CI67" s="749"/>
      <c r="CJ67" s="749"/>
      <c r="CK67" s="749"/>
      <c r="CL67" s="749"/>
      <c r="CM67" s="749"/>
      <c r="CN67" s="749"/>
      <c r="CO67" s="749"/>
      <c r="CP67" s="749"/>
      <c r="CQ67" s="749"/>
      <c r="CR67" s="749"/>
      <c r="CS67" s="749"/>
      <c r="CT67" s="749"/>
      <c r="CU67" s="749"/>
      <c r="CV67" s="749"/>
      <c r="CW67" s="749"/>
      <c r="CX67" s="749"/>
      <c r="CY67" s="749"/>
      <c r="CZ67" s="749"/>
      <c r="DA67" s="749"/>
      <c r="DB67" s="749"/>
      <c r="DC67" s="749"/>
      <c r="DD67" s="749"/>
      <c r="DE67" s="749"/>
      <c r="DF67" s="749"/>
      <c r="DG67" s="749"/>
      <c r="DH67" s="749"/>
      <c r="DI67" s="749"/>
      <c r="DJ67" s="749"/>
      <c r="DK67" s="749"/>
      <c r="DL67" s="749"/>
      <c r="DM67" s="749"/>
      <c r="DN67" s="749"/>
      <c r="DO67" s="749"/>
      <c r="DP67" s="749"/>
      <c r="DQ67" s="749"/>
      <c r="DR67" s="749"/>
      <c r="DS67" s="749"/>
      <c r="DT67" s="749"/>
      <c r="DU67" s="749"/>
      <c r="DV67" s="749"/>
      <c r="DW67" s="749"/>
      <c r="DX67" s="749"/>
      <c r="DY67" s="749"/>
      <c r="DZ67" s="749"/>
      <c r="EA67" s="749"/>
      <c r="EB67" s="749"/>
      <c r="EC67" s="749"/>
      <c r="ED67" s="749"/>
      <c r="EE67" s="749"/>
      <c r="EF67" s="749"/>
      <c r="EG67" s="749"/>
      <c r="EH67" s="749"/>
      <c r="EI67" s="749"/>
      <c r="EJ67" s="749"/>
      <c r="EK67" s="749"/>
      <c r="EL67" s="749"/>
      <c r="EM67" s="749"/>
      <c r="EN67" s="749"/>
      <c r="EO67" s="749"/>
      <c r="EP67" s="749"/>
      <c r="EQ67" s="749"/>
      <c r="ER67" s="749"/>
      <c r="ES67" s="749"/>
      <c r="ET67" s="749"/>
      <c r="EU67" s="749"/>
      <c r="EV67" s="749"/>
      <c r="EW67" s="749"/>
      <c r="EX67" s="749"/>
      <c r="EY67" s="749"/>
      <c r="EZ67" s="749"/>
      <c r="FA67" s="749"/>
      <c r="FB67" s="749"/>
      <c r="FC67" s="749"/>
      <c r="FD67" s="749"/>
      <c r="FE67" s="749"/>
      <c r="FF67" s="749"/>
      <c r="FG67" s="749"/>
      <c r="FH67" s="749"/>
      <c r="FI67" s="749"/>
      <c r="FJ67" s="749"/>
      <c r="FK67" s="749"/>
      <c r="FL67" s="749"/>
      <c r="FM67" s="749"/>
      <c r="FN67" s="749"/>
      <c r="FO67" s="749"/>
      <c r="FP67" s="749"/>
      <c r="FQ67" s="749"/>
      <c r="FR67" s="749"/>
      <c r="FS67" s="749"/>
      <c r="FT67" s="749"/>
      <c r="FU67" s="749"/>
      <c r="FV67" s="749"/>
      <c r="FW67" s="749"/>
      <c r="FX67" s="749"/>
      <c r="FY67" s="749"/>
      <c r="FZ67" s="749"/>
      <c r="GA67" s="749"/>
      <c r="GB67" s="749"/>
      <c r="GC67" s="749"/>
      <c r="GD67" s="749"/>
      <c r="GE67" s="749"/>
      <c r="GF67" s="749"/>
      <c r="GG67" s="749"/>
      <c r="GH67" s="749"/>
      <c r="GI67" s="749"/>
      <c r="GJ67" s="749"/>
      <c r="GK67" s="749"/>
      <c r="GL67" s="749"/>
      <c r="GM67" s="749"/>
      <c r="GN67" s="749"/>
      <c r="GO67" s="749"/>
      <c r="GP67" s="749"/>
      <c r="GQ67" s="749"/>
      <c r="GR67" s="749"/>
      <c r="GS67" s="749"/>
      <c r="GT67" s="749"/>
      <c r="GU67" s="749"/>
      <c r="GV67" s="749"/>
      <c r="GW67" s="749"/>
      <c r="GX67" s="749"/>
      <c r="GY67" s="749"/>
      <c r="GZ67" s="749"/>
      <c r="HA67" s="749"/>
      <c r="HB67" s="749"/>
      <c r="HC67" s="749"/>
      <c r="HD67" s="749"/>
      <c r="HE67" s="749"/>
      <c r="HF67" s="749"/>
      <c r="HG67" s="749"/>
      <c r="HH67" s="749"/>
      <c r="HI67" s="749"/>
      <c r="HJ67" s="749"/>
      <c r="HK67" s="749"/>
      <c r="HL67" s="749"/>
      <c r="HM67" s="749"/>
      <c r="HN67" s="749"/>
      <c r="HO67" s="749"/>
      <c r="HP67" s="749"/>
      <c r="HQ67" s="749"/>
      <c r="HR67" s="749"/>
      <c r="HS67" s="749"/>
      <c r="HT67" s="749"/>
      <c r="HU67" s="749"/>
      <c r="HV67" s="749"/>
      <c r="HW67" s="749"/>
      <c r="HX67" s="749"/>
      <c r="HY67" s="749"/>
      <c r="HZ67" s="749"/>
      <c r="IA67" s="749"/>
      <c r="IB67" s="749"/>
      <c r="IC67" s="749"/>
      <c r="ID67" s="749"/>
      <c r="IE67" s="749"/>
      <c r="IF67" s="749"/>
      <c r="IG67" s="749"/>
      <c r="IH67" s="749"/>
      <c r="II67" s="749"/>
      <c r="IJ67" s="749"/>
      <c r="IK67" s="749"/>
      <c r="IL67" s="749"/>
      <c r="IM67" s="749"/>
      <c r="IN67" s="749"/>
    </row>
    <row r="68" spans="1:248" ht="12.75" customHeight="1">
      <c r="A68" s="3"/>
      <c r="B68" s="769" t="s">
        <v>221</v>
      </c>
      <c r="C68" s="3" t="s">
        <v>7384</v>
      </c>
      <c r="D68" s="3"/>
      <c r="E68" s="771"/>
      <c r="F68" s="770">
        <v>0</v>
      </c>
      <c r="G68" s="771">
        <v>10425</v>
      </c>
      <c r="H68" s="767"/>
      <c r="I68" s="3"/>
      <c r="J68" s="3"/>
      <c r="K68" s="3"/>
      <c r="L68" s="749"/>
      <c r="M68" s="3"/>
      <c r="N68" s="769" t="s">
        <v>486</v>
      </c>
      <c r="O68" s="3" t="s">
        <v>7384</v>
      </c>
      <c r="P68" s="3"/>
      <c r="Q68" s="770">
        <v>0</v>
      </c>
      <c r="R68" s="771">
        <v>10425</v>
      </c>
      <c r="S68" s="771"/>
      <c r="T68" s="767"/>
      <c r="U68" s="3"/>
      <c r="V68" s="3"/>
      <c r="W68" s="3"/>
      <c r="X68" s="3"/>
      <c r="Y68" s="3"/>
      <c r="Z68" s="3"/>
      <c r="AA68" s="3"/>
      <c r="AB68" s="3"/>
      <c r="AC68" s="850" t="s">
        <v>7384</v>
      </c>
      <c r="AD68" s="904"/>
      <c r="AE68" s="905"/>
      <c r="AF68" s="879">
        <f>'TAB 3 Project Cost'!E5</f>
        <v>0</v>
      </c>
      <c r="AG68" s="878"/>
      <c r="AH68" s="904"/>
      <c r="AI68" s="878"/>
      <c r="AJ68" s="877"/>
      <c r="AK68" s="878"/>
      <c r="AL68" s="877"/>
      <c r="AM68" s="878"/>
      <c r="AN68" s="877"/>
      <c r="AO68" s="868"/>
      <c r="AP68" s="851"/>
      <c r="AQ68" s="923"/>
      <c r="AR68" s="924"/>
      <c r="AS68" s="925"/>
      <c r="AT68" s="923"/>
      <c r="AU68" s="924"/>
      <c r="AV68" s="924"/>
      <c r="AW68" s="925"/>
      <c r="AX68" s="749"/>
      <c r="AY68" s="749"/>
      <c r="AZ68" s="749"/>
      <c r="BA68" s="749"/>
      <c r="BB68" s="749"/>
      <c r="BC68" s="749"/>
      <c r="BD68" s="749"/>
      <c r="BE68" s="749"/>
      <c r="BF68" s="749"/>
      <c r="BG68" s="749"/>
      <c r="BH68" s="749"/>
      <c r="BI68" s="749"/>
      <c r="BJ68" s="749"/>
      <c r="BK68" s="749"/>
      <c r="BL68" s="749"/>
      <c r="BM68" s="749"/>
      <c r="BN68" s="749"/>
      <c r="BO68" s="749"/>
      <c r="BP68" s="749"/>
      <c r="BQ68" s="749"/>
      <c r="BR68" s="749"/>
      <c r="BS68" s="749"/>
      <c r="BT68" s="749"/>
      <c r="BU68" s="749"/>
      <c r="BV68" s="749"/>
      <c r="BW68" s="749"/>
      <c r="BX68" s="749"/>
      <c r="BY68" s="749"/>
      <c r="BZ68" s="749"/>
      <c r="CA68" s="749"/>
      <c r="CB68" s="749"/>
      <c r="CC68" s="749"/>
      <c r="CD68" s="749"/>
      <c r="CE68" s="749"/>
      <c r="CF68" s="749"/>
      <c r="CG68" s="749"/>
      <c r="CH68" s="749"/>
      <c r="CI68" s="749"/>
      <c r="CJ68" s="749"/>
      <c r="CK68" s="749"/>
      <c r="CL68" s="749"/>
      <c r="CM68" s="749"/>
      <c r="CN68" s="749"/>
      <c r="CO68" s="749"/>
      <c r="CP68" s="749"/>
      <c r="CQ68" s="749"/>
      <c r="CR68" s="749"/>
      <c r="CS68" s="749"/>
      <c r="CT68" s="749"/>
      <c r="CU68" s="749"/>
      <c r="CV68" s="749"/>
      <c r="CW68" s="749"/>
      <c r="CX68" s="749"/>
      <c r="CY68" s="749"/>
      <c r="CZ68" s="749"/>
      <c r="DA68" s="749"/>
      <c r="DB68" s="749"/>
      <c r="DC68" s="749"/>
      <c r="DD68" s="749"/>
      <c r="DE68" s="749"/>
      <c r="DF68" s="749"/>
      <c r="DG68" s="749"/>
      <c r="DH68" s="749"/>
      <c r="DI68" s="749"/>
      <c r="DJ68" s="749"/>
      <c r="DK68" s="749"/>
      <c r="DL68" s="749"/>
      <c r="DM68" s="749"/>
      <c r="DN68" s="749"/>
      <c r="DO68" s="749"/>
      <c r="DP68" s="749"/>
      <c r="DQ68" s="749"/>
      <c r="DR68" s="749"/>
      <c r="DS68" s="749"/>
      <c r="DT68" s="749"/>
      <c r="DU68" s="749"/>
      <c r="DV68" s="749"/>
      <c r="DW68" s="749"/>
      <c r="DX68" s="749"/>
      <c r="DY68" s="749"/>
      <c r="DZ68" s="749"/>
      <c r="EA68" s="749"/>
      <c r="EB68" s="749"/>
      <c r="EC68" s="749"/>
      <c r="ED68" s="749"/>
      <c r="EE68" s="749"/>
      <c r="EF68" s="749"/>
      <c r="EG68" s="749"/>
      <c r="EH68" s="749"/>
      <c r="EI68" s="749"/>
      <c r="EJ68" s="749"/>
      <c r="EK68" s="749"/>
      <c r="EL68" s="749"/>
      <c r="EM68" s="749"/>
      <c r="EN68" s="749"/>
      <c r="EO68" s="749"/>
      <c r="EP68" s="749"/>
      <c r="EQ68" s="749"/>
      <c r="ER68" s="749"/>
      <c r="ES68" s="749"/>
      <c r="ET68" s="749"/>
      <c r="EU68" s="749"/>
      <c r="EV68" s="749"/>
      <c r="EW68" s="749"/>
      <c r="EX68" s="749"/>
      <c r="EY68" s="749"/>
      <c r="EZ68" s="749"/>
      <c r="FA68" s="749"/>
      <c r="FB68" s="749"/>
      <c r="FC68" s="749"/>
      <c r="FD68" s="749"/>
      <c r="FE68" s="749"/>
      <c r="FF68" s="749"/>
      <c r="FG68" s="749"/>
      <c r="FH68" s="749"/>
      <c r="FI68" s="749"/>
      <c r="FJ68" s="749"/>
      <c r="FK68" s="749"/>
      <c r="FL68" s="749"/>
      <c r="FM68" s="749"/>
      <c r="FN68" s="749"/>
      <c r="FO68" s="749"/>
      <c r="FP68" s="749"/>
      <c r="FQ68" s="749"/>
      <c r="FR68" s="749"/>
      <c r="FS68" s="749"/>
      <c r="FT68" s="749"/>
      <c r="FU68" s="749"/>
      <c r="FV68" s="749"/>
      <c r="FW68" s="749"/>
      <c r="FX68" s="749"/>
      <c r="FY68" s="749"/>
      <c r="FZ68" s="749"/>
      <c r="GA68" s="749"/>
      <c r="GB68" s="749"/>
      <c r="GC68" s="749"/>
      <c r="GD68" s="749"/>
      <c r="GE68" s="749"/>
      <c r="GF68" s="749"/>
      <c r="GG68" s="749"/>
      <c r="GH68" s="749"/>
      <c r="GI68" s="749"/>
      <c r="GJ68" s="749"/>
      <c r="GK68" s="749"/>
      <c r="GL68" s="749"/>
      <c r="GM68" s="749"/>
      <c r="GN68" s="749"/>
      <c r="GO68" s="749"/>
      <c r="GP68" s="749"/>
      <c r="GQ68" s="749"/>
      <c r="GR68" s="749"/>
      <c r="GS68" s="749"/>
      <c r="GT68" s="749"/>
      <c r="GU68" s="749"/>
      <c r="GV68" s="749"/>
      <c r="GW68" s="749"/>
      <c r="GX68" s="749"/>
      <c r="GY68" s="749"/>
      <c r="GZ68" s="749"/>
      <c r="HA68" s="749"/>
      <c r="HB68" s="749"/>
      <c r="HC68" s="749"/>
      <c r="HD68" s="749"/>
      <c r="HE68" s="749"/>
      <c r="HF68" s="749"/>
      <c r="HG68" s="749"/>
      <c r="HH68" s="749"/>
      <c r="HI68" s="749"/>
      <c r="HJ68" s="749"/>
      <c r="HK68" s="749"/>
      <c r="HL68" s="749"/>
      <c r="HM68" s="749"/>
      <c r="HN68" s="749"/>
      <c r="HO68" s="749"/>
      <c r="HP68" s="749"/>
      <c r="HQ68" s="749"/>
      <c r="HR68" s="749"/>
      <c r="HS68" s="749"/>
      <c r="HT68" s="749"/>
      <c r="HU68" s="749"/>
      <c r="HV68" s="749"/>
      <c r="HW68" s="749"/>
      <c r="HX68" s="749"/>
      <c r="HY68" s="749"/>
      <c r="HZ68" s="749"/>
      <c r="IA68" s="749"/>
      <c r="IB68" s="749"/>
      <c r="IC68" s="749"/>
      <c r="ID68" s="749"/>
      <c r="IE68" s="749"/>
      <c r="IF68" s="749"/>
      <c r="IG68" s="749"/>
      <c r="IH68" s="749"/>
      <c r="II68" s="749"/>
      <c r="IJ68" s="749"/>
      <c r="IK68" s="749"/>
      <c r="IL68" s="749"/>
      <c r="IM68" s="749"/>
      <c r="IN68" s="749"/>
    </row>
    <row r="69" spans="1:248" ht="12.75">
      <c r="A69" s="3"/>
      <c r="B69" s="769" t="s">
        <v>222</v>
      </c>
      <c r="C69" s="3" t="s">
        <v>7385</v>
      </c>
      <c r="D69" s="3"/>
      <c r="E69" s="767" t="s">
        <v>7332</v>
      </c>
      <c r="F69" s="772">
        <f>SUM(F66:F68)</f>
        <v>0.05</v>
      </c>
      <c r="G69" s="787"/>
      <c r="H69" s="786">
        <f>SUM(G66:G68)</f>
        <v>2563500</v>
      </c>
      <c r="I69" s="3"/>
      <c r="J69" s="3"/>
      <c r="K69" s="3"/>
      <c r="L69" s="749"/>
      <c r="M69" s="3"/>
      <c r="N69" s="769" t="s">
        <v>1520</v>
      </c>
      <c r="O69" s="3" t="s">
        <v>7385</v>
      </c>
      <c r="P69" s="3"/>
      <c r="Q69" s="772">
        <f>SUM(Q67:Q68)</f>
        <v>0.05</v>
      </c>
      <c r="R69" s="787"/>
      <c r="S69" s="783"/>
      <c r="T69" s="786">
        <f>SUM(R67:R68)</f>
        <v>2563500</v>
      </c>
      <c r="U69" s="767"/>
      <c r="V69" s="3"/>
      <c r="W69" s="3"/>
      <c r="X69" s="3"/>
      <c r="Y69" s="3"/>
      <c r="Z69" s="3"/>
      <c r="AA69" s="3"/>
      <c r="AB69" s="3"/>
      <c r="AC69" s="849"/>
      <c r="AD69" s="838"/>
      <c r="AE69" s="836"/>
      <c r="AF69" s="838"/>
      <c r="AG69" s="872"/>
      <c r="AH69" s="838"/>
      <c r="AI69" s="872"/>
      <c r="AJ69" s="838"/>
      <c r="AK69" s="872"/>
      <c r="AL69" s="838"/>
      <c r="AM69" s="872"/>
      <c r="AN69" s="838"/>
      <c r="AO69" s="836"/>
      <c r="AP69" s="844"/>
      <c r="AQ69" s="920"/>
      <c r="AR69" s="921"/>
      <c r="AS69" s="922"/>
      <c r="AT69" s="920"/>
      <c r="AU69" s="921"/>
      <c r="AV69" s="921"/>
      <c r="AW69" s="922"/>
      <c r="AX69" s="749"/>
      <c r="AY69" s="749"/>
      <c r="AZ69" s="749"/>
      <c r="BA69" s="749"/>
      <c r="BB69" s="749"/>
      <c r="BC69" s="749"/>
      <c r="BD69" s="749"/>
      <c r="BE69" s="749"/>
      <c r="BF69" s="749"/>
      <c r="BG69" s="749"/>
      <c r="BH69" s="749"/>
      <c r="BI69" s="749"/>
      <c r="BJ69" s="749"/>
      <c r="BK69" s="749"/>
      <c r="BL69" s="749"/>
      <c r="BM69" s="749"/>
      <c r="BN69" s="749"/>
      <c r="BO69" s="749"/>
      <c r="BP69" s="749"/>
      <c r="BQ69" s="749"/>
      <c r="BR69" s="749"/>
      <c r="BS69" s="749"/>
      <c r="BT69" s="749"/>
      <c r="BU69" s="749"/>
      <c r="BV69" s="749"/>
      <c r="BW69" s="749"/>
      <c r="BX69" s="749"/>
      <c r="BY69" s="749"/>
      <c r="BZ69" s="749"/>
      <c r="CA69" s="749"/>
      <c r="CB69" s="749"/>
      <c r="CC69" s="749"/>
      <c r="CD69" s="749"/>
      <c r="CE69" s="749"/>
      <c r="CF69" s="749"/>
      <c r="CG69" s="749"/>
      <c r="CH69" s="749"/>
      <c r="CI69" s="749"/>
      <c r="CJ69" s="749"/>
      <c r="CK69" s="749"/>
      <c r="CL69" s="749"/>
      <c r="CM69" s="749"/>
      <c r="CN69" s="749"/>
      <c r="CO69" s="749"/>
      <c r="CP69" s="749"/>
      <c r="CQ69" s="749"/>
      <c r="CR69" s="749"/>
      <c r="CS69" s="749"/>
      <c r="CT69" s="749"/>
      <c r="CU69" s="749"/>
      <c r="CV69" s="749"/>
      <c r="CW69" s="749"/>
      <c r="CX69" s="749"/>
      <c r="CY69" s="749"/>
      <c r="CZ69" s="749"/>
      <c r="DA69" s="749"/>
      <c r="DB69" s="749"/>
      <c r="DC69" s="749"/>
      <c r="DD69" s="749"/>
      <c r="DE69" s="749"/>
      <c r="DF69" s="749"/>
      <c r="DG69" s="749"/>
      <c r="DH69" s="749"/>
      <c r="DI69" s="749"/>
      <c r="DJ69" s="749"/>
      <c r="DK69" s="749"/>
      <c r="DL69" s="749"/>
      <c r="DM69" s="749"/>
      <c r="DN69" s="749"/>
      <c r="DO69" s="749"/>
      <c r="DP69" s="749"/>
      <c r="DQ69" s="749"/>
      <c r="DR69" s="749"/>
      <c r="DS69" s="749"/>
      <c r="DT69" s="749"/>
      <c r="DU69" s="749"/>
      <c r="DV69" s="749"/>
      <c r="DW69" s="749"/>
      <c r="DX69" s="749"/>
      <c r="DY69" s="749"/>
      <c r="DZ69" s="749"/>
      <c r="EA69" s="749"/>
      <c r="EB69" s="749"/>
      <c r="EC69" s="749"/>
      <c r="ED69" s="749"/>
      <c r="EE69" s="749"/>
      <c r="EF69" s="749"/>
      <c r="EG69" s="749"/>
      <c r="EH69" s="749"/>
      <c r="EI69" s="749"/>
      <c r="EJ69" s="749"/>
      <c r="EK69" s="749"/>
      <c r="EL69" s="749"/>
      <c r="EM69" s="749"/>
      <c r="EN69" s="749"/>
      <c r="EO69" s="749"/>
      <c r="EP69" s="749"/>
      <c r="EQ69" s="749"/>
      <c r="ER69" s="749"/>
      <c r="ES69" s="749"/>
      <c r="ET69" s="749"/>
      <c r="EU69" s="749"/>
      <c r="EV69" s="749"/>
      <c r="EW69" s="749"/>
      <c r="EX69" s="749"/>
      <c r="EY69" s="749"/>
      <c r="EZ69" s="749"/>
      <c r="FA69" s="749"/>
      <c r="FB69" s="749"/>
      <c r="FC69" s="749"/>
      <c r="FD69" s="749"/>
      <c r="FE69" s="749"/>
      <c r="FF69" s="749"/>
      <c r="FG69" s="749"/>
      <c r="FH69" s="749"/>
      <c r="FI69" s="749"/>
      <c r="FJ69" s="749"/>
      <c r="FK69" s="749"/>
      <c r="FL69" s="749"/>
      <c r="FM69" s="749"/>
      <c r="FN69" s="749"/>
      <c r="FO69" s="749"/>
      <c r="FP69" s="749"/>
      <c r="FQ69" s="749"/>
      <c r="FR69" s="749"/>
      <c r="FS69" s="749"/>
      <c r="FT69" s="749"/>
      <c r="FU69" s="749"/>
      <c r="FV69" s="749"/>
      <c r="FW69" s="749"/>
      <c r="FX69" s="749"/>
      <c r="FY69" s="749"/>
      <c r="FZ69" s="749"/>
      <c r="GA69" s="749"/>
      <c r="GB69" s="749"/>
      <c r="GC69" s="749"/>
      <c r="GD69" s="749"/>
      <c r="GE69" s="749"/>
      <c r="GF69" s="749"/>
      <c r="GG69" s="749"/>
      <c r="GH69" s="749"/>
      <c r="GI69" s="749"/>
      <c r="GJ69" s="749"/>
      <c r="GK69" s="749"/>
      <c r="GL69" s="749"/>
      <c r="GM69" s="749"/>
      <c r="GN69" s="749"/>
      <c r="GO69" s="749"/>
      <c r="GP69" s="749"/>
      <c r="GQ69" s="749"/>
      <c r="GR69" s="749"/>
      <c r="GS69" s="749"/>
      <c r="GT69" s="749"/>
      <c r="GU69" s="749"/>
      <c r="GV69" s="749"/>
      <c r="GW69" s="749"/>
      <c r="GX69" s="749"/>
      <c r="GY69" s="749"/>
      <c r="GZ69" s="749"/>
      <c r="HA69" s="749"/>
      <c r="HB69" s="749"/>
      <c r="HC69" s="749"/>
      <c r="HD69" s="749"/>
      <c r="HE69" s="749"/>
      <c r="HF69" s="749"/>
      <c r="HG69" s="749"/>
      <c r="HH69" s="749"/>
      <c r="HI69" s="749"/>
      <c r="HJ69" s="749"/>
      <c r="HK69" s="749"/>
      <c r="HL69" s="749"/>
      <c r="HM69" s="749"/>
      <c r="HN69" s="749"/>
      <c r="HO69" s="749"/>
      <c r="HP69" s="749"/>
      <c r="HQ69" s="749"/>
      <c r="HR69" s="749"/>
      <c r="HS69" s="749"/>
      <c r="HT69" s="749"/>
      <c r="HU69" s="749"/>
      <c r="HV69" s="749"/>
      <c r="HW69" s="749"/>
      <c r="HX69" s="749"/>
      <c r="HY69" s="749"/>
      <c r="HZ69" s="749"/>
      <c r="IA69" s="749"/>
      <c r="IB69" s="749"/>
      <c r="IC69" s="749"/>
      <c r="ID69" s="749"/>
      <c r="IE69" s="749"/>
      <c r="IF69" s="749"/>
      <c r="IG69" s="749"/>
      <c r="IH69" s="749"/>
      <c r="II69" s="749"/>
      <c r="IJ69" s="749"/>
      <c r="IK69" s="749"/>
      <c r="IL69" s="749"/>
      <c r="IM69" s="749"/>
      <c r="IN69" s="749"/>
    </row>
    <row r="70" spans="1:248" ht="12.75">
      <c r="A70" s="3"/>
      <c r="B70" s="769"/>
      <c r="C70" s="3"/>
      <c r="D70" s="3"/>
      <c r="E70" s="767"/>
      <c r="F70" s="770"/>
      <c r="G70" s="3"/>
      <c r="H70" s="771"/>
      <c r="I70" s="3"/>
      <c r="J70" s="3"/>
      <c r="K70" s="3"/>
      <c r="L70" s="749"/>
      <c r="M70" s="3"/>
      <c r="N70" s="769"/>
      <c r="O70" s="3"/>
      <c r="P70" s="3"/>
      <c r="Q70" s="770"/>
      <c r="R70" s="3"/>
      <c r="S70" s="3"/>
      <c r="T70" s="771"/>
      <c r="U70" s="771"/>
      <c r="V70" s="3"/>
      <c r="W70" s="3"/>
      <c r="X70" s="3"/>
      <c r="Y70" s="3"/>
      <c r="Z70" s="3"/>
      <c r="AA70" s="3"/>
      <c r="AB70" s="3"/>
      <c r="AC70" s="849"/>
      <c r="AD70" s="838"/>
      <c r="AE70" s="836"/>
      <c r="AF70" s="838"/>
      <c r="AG70" s="872"/>
      <c r="AH70" s="838"/>
      <c r="AI70" s="872"/>
      <c r="AJ70" s="838"/>
      <c r="AK70" s="872"/>
      <c r="AL70" s="838"/>
      <c r="AM70" s="872"/>
      <c r="AN70" s="838"/>
      <c r="AO70" s="836"/>
      <c r="AP70" s="844"/>
      <c r="AQ70" s="920"/>
      <c r="AR70" s="921"/>
      <c r="AS70" s="922"/>
      <c r="AT70" s="920"/>
      <c r="AU70" s="921"/>
      <c r="AV70" s="921"/>
      <c r="AW70" s="922"/>
      <c r="AX70" s="749"/>
      <c r="AY70" s="749"/>
      <c r="AZ70" s="749"/>
      <c r="BA70" s="749"/>
      <c r="BB70" s="749"/>
      <c r="BC70" s="749"/>
      <c r="BD70" s="749"/>
      <c r="BE70" s="749"/>
      <c r="BF70" s="749"/>
      <c r="BG70" s="749"/>
      <c r="BH70" s="749"/>
      <c r="BI70" s="749"/>
      <c r="BJ70" s="749"/>
      <c r="BK70" s="749"/>
      <c r="BL70" s="749"/>
      <c r="BM70" s="749"/>
      <c r="BN70" s="749"/>
      <c r="BO70" s="749"/>
      <c r="BP70" s="749"/>
      <c r="BQ70" s="749"/>
      <c r="BR70" s="749"/>
      <c r="BS70" s="749"/>
      <c r="BT70" s="749"/>
      <c r="BU70" s="749"/>
      <c r="BV70" s="749"/>
      <c r="BW70" s="749"/>
      <c r="BX70" s="749"/>
      <c r="BY70" s="749"/>
      <c r="BZ70" s="749"/>
      <c r="CA70" s="749"/>
      <c r="CB70" s="749"/>
      <c r="CC70" s="749"/>
      <c r="CD70" s="749"/>
      <c r="CE70" s="749"/>
      <c r="CF70" s="749"/>
      <c r="CG70" s="749"/>
      <c r="CH70" s="749"/>
      <c r="CI70" s="749"/>
      <c r="CJ70" s="749"/>
      <c r="CK70" s="749"/>
      <c r="CL70" s="749"/>
      <c r="CM70" s="749"/>
      <c r="CN70" s="749"/>
      <c r="CO70" s="749"/>
      <c r="CP70" s="749"/>
      <c r="CQ70" s="749"/>
      <c r="CR70" s="749"/>
      <c r="CS70" s="749"/>
      <c r="CT70" s="749"/>
      <c r="CU70" s="749"/>
      <c r="CV70" s="749"/>
      <c r="CW70" s="749"/>
      <c r="CX70" s="749"/>
      <c r="CY70" s="749"/>
      <c r="CZ70" s="749"/>
      <c r="DA70" s="749"/>
      <c r="DB70" s="749"/>
      <c r="DC70" s="749"/>
      <c r="DD70" s="749"/>
      <c r="DE70" s="749"/>
      <c r="DF70" s="749"/>
      <c r="DG70" s="749"/>
      <c r="DH70" s="749"/>
      <c r="DI70" s="749"/>
      <c r="DJ70" s="749"/>
      <c r="DK70" s="749"/>
      <c r="DL70" s="749"/>
      <c r="DM70" s="749"/>
      <c r="DN70" s="749"/>
      <c r="DO70" s="749"/>
      <c r="DP70" s="749"/>
      <c r="DQ70" s="749"/>
      <c r="DR70" s="749"/>
      <c r="DS70" s="749"/>
      <c r="DT70" s="749"/>
      <c r="DU70" s="749"/>
      <c r="DV70" s="749"/>
      <c r="DW70" s="749"/>
      <c r="DX70" s="749"/>
      <c r="DY70" s="749"/>
      <c r="DZ70" s="749"/>
      <c r="EA70" s="749"/>
      <c r="EB70" s="749"/>
      <c r="EC70" s="749"/>
      <c r="ED70" s="749"/>
      <c r="EE70" s="749"/>
      <c r="EF70" s="749"/>
      <c r="EG70" s="749"/>
      <c r="EH70" s="749"/>
      <c r="EI70" s="749"/>
      <c r="EJ70" s="749"/>
      <c r="EK70" s="749"/>
      <c r="EL70" s="749"/>
      <c r="EM70" s="749"/>
      <c r="EN70" s="749"/>
      <c r="EO70" s="749"/>
      <c r="EP70" s="749"/>
      <c r="EQ70" s="749"/>
      <c r="ER70" s="749"/>
      <c r="ES70" s="749"/>
      <c r="ET70" s="749"/>
      <c r="EU70" s="749"/>
      <c r="EV70" s="749"/>
      <c r="EW70" s="749"/>
      <c r="EX70" s="749"/>
      <c r="EY70" s="749"/>
      <c r="EZ70" s="749"/>
      <c r="FA70" s="749"/>
      <c r="FB70" s="749"/>
      <c r="FC70" s="749"/>
      <c r="FD70" s="749"/>
      <c r="FE70" s="749"/>
      <c r="FF70" s="749"/>
      <c r="FG70" s="749"/>
      <c r="FH70" s="749"/>
      <c r="FI70" s="749"/>
      <c r="FJ70" s="749"/>
      <c r="FK70" s="749"/>
      <c r="FL70" s="749"/>
      <c r="FM70" s="749"/>
      <c r="FN70" s="749"/>
      <c r="FO70" s="749"/>
      <c r="FP70" s="749"/>
      <c r="FQ70" s="749"/>
      <c r="FR70" s="749"/>
      <c r="FS70" s="749"/>
      <c r="FT70" s="749"/>
      <c r="FU70" s="749"/>
      <c r="FV70" s="749"/>
      <c r="FW70" s="749"/>
      <c r="FX70" s="749"/>
      <c r="FY70" s="749"/>
      <c r="FZ70" s="749"/>
      <c r="GA70" s="749"/>
      <c r="GB70" s="749"/>
      <c r="GC70" s="749"/>
      <c r="GD70" s="749"/>
      <c r="GE70" s="749"/>
      <c r="GF70" s="749"/>
      <c r="GG70" s="749"/>
      <c r="GH70" s="749"/>
      <c r="GI70" s="749"/>
      <c r="GJ70" s="749"/>
      <c r="GK70" s="749"/>
      <c r="GL70" s="749"/>
      <c r="GM70" s="749"/>
      <c r="GN70" s="749"/>
      <c r="GO70" s="749"/>
      <c r="GP70" s="749"/>
      <c r="GQ70" s="749"/>
      <c r="GR70" s="749"/>
      <c r="GS70" s="749"/>
      <c r="GT70" s="749"/>
      <c r="GU70" s="749"/>
      <c r="GV70" s="749"/>
      <c r="GW70" s="749"/>
      <c r="GX70" s="749"/>
      <c r="GY70" s="749"/>
      <c r="GZ70" s="749"/>
      <c r="HA70" s="749"/>
      <c r="HB70" s="749"/>
      <c r="HC70" s="749"/>
      <c r="HD70" s="749"/>
      <c r="HE70" s="749"/>
      <c r="HF70" s="749"/>
      <c r="HG70" s="749"/>
      <c r="HH70" s="749"/>
      <c r="HI70" s="749"/>
      <c r="HJ70" s="749"/>
      <c r="HK70" s="749"/>
      <c r="HL70" s="749"/>
      <c r="HM70" s="749"/>
      <c r="HN70" s="749"/>
      <c r="HO70" s="749"/>
      <c r="HP70" s="749"/>
      <c r="HQ70" s="749"/>
      <c r="HR70" s="749"/>
      <c r="HS70" s="749"/>
      <c r="HT70" s="749"/>
      <c r="HU70" s="749"/>
      <c r="HV70" s="749"/>
      <c r="HW70" s="749"/>
      <c r="HX70" s="749"/>
      <c r="HY70" s="749"/>
      <c r="HZ70" s="749"/>
      <c r="IA70" s="749"/>
      <c r="IB70" s="749"/>
      <c r="IC70" s="749"/>
      <c r="ID70" s="749"/>
      <c r="IE70" s="749"/>
      <c r="IF70" s="749"/>
      <c r="IG70" s="749"/>
      <c r="IH70" s="749"/>
      <c r="II70" s="749"/>
      <c r="IJ70" s="749"/>
      <c r="IK70" s="749"/>
      <c r="IL70" s="749"/>
      <c r="IM70" s="749"/>
      <c r="IN70" s="749"/>
    </row>
    <row r="71" spans="1:248" ht="12.75" customHeight="1">
      <c r="A71" s="1" t="s">
        <v>7386</v>
      </c>
      <c r="B71" s="3"/>
      <c r="C71" s="3"/>
      <c r="D71" s="3"/>
      <c r="E71" s="3"/>
      <c r="F71" s="770"/>
      <c r="G71" s="3"/>
      <c r="H71" s="3"/>
      <c r="I71" s="3"/>
      <c r="J71" s="3"/>
      <c r="K71" s="3"/>
      <c r="L71" s="749"/>
      <c r="M71" s="1" t="s">
        <v>7386</v>
      </c>
      <c r="N71" s="3"/>
      <c r="O71" s="3"/>
      <c r="P71" s="3"/>
      <c r="Q71" s="770"/>
      <c r="R71" s="3"/>
      <c r="S71" s="3"/>
      <c r="T71" s="3"/>
      <c r="U71" s="771"/>
      <c r="V71" s="3"/>
      <c r="W71" s="3"/>
      <c r="X71" s="3"/>
      <c r="Y71" s="3"/>
      <c r="Z71" s="3"/>
      <c r="AA71" s="3"/>
      <c r="AB71" s="3"/>
      <c r="AC71" s="857" t="s">
        <v>376</v>
      </c>
      <c r="AD71" s="879"/>
      <c r="AE71" s="885"/>
      <c r="AF71" s="879">
        <f>AH71+AN71+AO71+AP71</f>
        <v>0</v>
      </c>
      <c r="AG71" s="876"/>
      <c r="AH71" s="879">
        <f t="shared" ref="AH71" si="12">AJ71+AL71</f>
        <v>0</v>
      </c>
      <c r="AI71" s="876">
        <f>'TAB 3 Project Cost'!F33</f>
        <v>5.0000000000000001E-3</v>
      </c>
      <c r="AJ71" s="879">
        <f>'TAB 3 Project Cost'!G33</f>
        <v>0</v>
      </c>
      <c r="AK71" s="876">
        <f>'TAB 3 Project Cost'!F64</f>
        <v>5.0000000000000001E-3</v>
      </c>
      <c r="AL71" s="879">
        <f>'TAB 3 Project Cost'!G64</f>
        <v>0</v>
      </c>
      <c r="AM71" s="876"/>
      <c r="AN71" s="877"/>
      <c r="AO71" s="868"/>
      <c r="AP71" s="851"/>
      <c r="AQ71" s="923">
        <f>'TAB 3 Project Cost'!AC64</f>
        <v>0</v>
      </c>
      <c r="AR71" s="924">
        <f>'TAB 3 Project Cost'!AD64</f>
        <v>0</v>
      </c>
      <c r="AS71" s="925">
        <f>'TAB 3 Project Cost'!AE64</f>
        <v>0</v>
      </c>
      <c r="AT71" s="923"/>
      <c r="AU71" s="924"/>
      <c r="AV71" s="924"/>
      <c r="AW71" s="925"/>
      <c r="AX71" s="749"/>
      <c r="AY71" s="749"/>
      <c r="AZ71" s="749"/>
      <c r="BA71" s="749"/>
      <c r="BB71" s="749"/>
      <c r="BC71" s="749"/>
      <c r="BD71" s="749"/>
      <c r="BE71" s="749"/>
      <c r="BF71" s="749"/>
      <c r="BG71" s="749"/>
      <c r="BH71" s="749"/>
      <c r="BI71" s="749"/>
      <c r="BJ71" s="749"/>
      <c r="BK71" s="749"/>
      <c r="BL71" s="749"/>
      <c r="BM71" s="749"/>
      <c r="BN71" s="749"/>
      <c r="BO71" s="749"/>
      <c r="BP71" s="749"/>
      <c r="BQ71" s="749"/>
      <c r="BR71" s="749"/>
      <c r="BS71" s="749"/>
      <c r="BT71" s="749"/>
      <c r="BU71" s="749"/>
      <c r="BV71" s="749"/>
      <c r="BW71" s="749"/>
      <c r="BX71" s="749"/>
      <c r="BY71" s="749"/>
      <c r="BZ71" s="749"/>
      <c r="CA71" s="749"/>
      <c r="CB71" s="749"/>
      <c r="CC71" s="749"/>
      <c r="CD71" s="749"/>
      <c r="CE71" s="749"/>
      <c r="CF71" s="749"/>
      <c r="CG71" s="749"/>
      <c r="CH71" s="749"/>
      <c r="CI71" s="749"/>
      <c r="CJ71" s="749"/>
      <c r="CK71" s="749"/>
      <c r="CL71" s="749"/>
      <c r="CM71" s="749"/>
      <c r="CN71" s="749"/>
      <c r="CO71" s="749"/>
      <c r="CP71" s="749"/>
      <c r="CQ71" s="749"/>
      <c r="CR71" s="749"/>
      <c r="CS71" s="749"/>
      <c r="CT71" s="749"/>
      <c r="CU71" s="749"/>
      <c r="CV71" s="749"/>
      <c r="CW71" s="749"/>
      <c r="CX71" s="749"/>
      <c r="CY71" s="749"/>
      <c r="CZ71" s="749"/>
      <c r="DA71" s="749"/>
      <c r="DB71" s="749"/>
      <c r="DC71" s="749"/>
      <c r="DD71" s="749"/>
      <c r="DE71" s="749"/>
      <c r="DF71" s="749"/>
      <c r="DG71" s="749"/>
      <c r="DH71" s="749"/>
      <c r="DI71" s="749"/>
      <c r="DJ71" s="749"/>
      <c r="DK71" s="749"/>
      <c r="DL71" s="749"/>
      <c r="DM71" s="749"/>
      <c r="DN71" s="749"/>
      <c r="DO71" s="749"/>
      <c r="DP71" s="749"/>
      <c r="DQ71" s="749"/>
      <c r="DR71" s="749"/>
      <c r="DS71" s="749"/>
      <c r="DT71" s="749"/>
      <c r="DU71" s="749"/>
      <c r="DV71" s="749"/>
      <c r="DW71" s="749"/>
      <c r="DX71" s="749"/>
      <c r="DY71" s="749"/>
      <c r="DZ71" s="749"/>
      <c r="EA71" s="749"/>
      <c r="EB71" s="749"/>
      <c r="EC71" s="749"/>
      <c r="ED71" s="749"/>
      <c r="EE71" s="749"/>
      <c r="EF71" s="749"/>
      <c r="EG71" s="749"/>
      <c r="EH71" s="749"/>
      <c r="EI71" s="749"/>
      <c r="EJ71" s="749"/>
      <c r="EK71" s="749"/>
      <c r="EL71" s="749"/>
      <c r="EM71" s="749"/>
      <c r="EN71" s="749"/>
      <c r="EO71" s="749"/>
      <c r="EP71" s="749"/>
      <c r="EQ71" s="749"/>
      <c r="ER71" s="749"/>
      <c r="ES71" s="749"/>
      <c r="ET71" s="749"/>
      <c r="EU71" s="749"/>
      <c r="EV71" s="749"/>
      <c r="EW71" s="749"/>
      <c r="EX71" s="749"/>
      <c r="EY71" s="749"/>
      <c r="EZ71" s="749"/>
      <c r="FA71" s="749"/>
      <c r="FB71" s="749"/>
      <c r="FC71" s="749"/>
      <c r="FD71" s="749"/>
      <c r="FE71" s="749"/>
      <c r="FF71" s="749"/>
      <c r="FG71" s="749"/>
      <c r="FH71" s="749"/>
      <c r="FI71" s="749"/>
      <c r="FJ71" s="749"/>
      <c r="FK71" s="749"/>
      <c r="FL71" s="749"/>
      <c r="FM71" s="749"/>
      <c r="FN71" s="749"/>
      <c r="FO71" s="749"/>
      <c r="FP71" s="749"/>
      <c r="FQ71" s="749"/>
      <c r="FR71" s="749"/>
      <c r="FS71" s="749"/>
      <c r="FT71" s="749"/>
      <c r="FU71" s="749"/>
      <c r="FV71" s="749"/>
      <c r="FW71" s="749"/>
      <c r="FX71" s="749"/>
      <c r="FY71" s="749"/>
      <c r="FZ71" s="749"/>
      <c r="GA71" s="749"/>
      <c r="GB71" s="749"/>
      <c r="GC71" s="749"/>
      <c r="GD71" s="749"/>
      <c r="GE71" s="749"/>
      <c r="GF71" s="749"/>
      <c r="GG71" s="749"/>
      <c r="GH71" s="749"/>
      <c r="GI71" s="749"/>
      <c r="GJ71" s="749"/>
      <c r="GK71" s="749"/>
      <c r="GL71" s="749"/>
      <c r="GM71" s="749"/>
      <c r="GN71" s="749"/>
      <c r="GO71" s="749"/>
      <c r="GP71" s="749"/>
      <c r="GQ71" s="749"/>
      <c r="GR71" s="749"/>
      <c r="GS71" s="749"/>
      <c r="GT71" s="749"/>
      <c r="GU71" s="749"/>
      <c r="GV71" s="749"/>
      <c r="GW71" s="749"/>
      <c r="GX71" s="749"/>
      <c r="GY71" s="749"/>
      <c r="GZ71" s="749"/>
      <c r="HA71" s="749"/>
      <c r="HB71" s="749"/>
      <c r="HC71" s="749"/>
      <c r="HD71" s="749"/>
      <c r="HE71" s="749"/>
      <c r="HF71" s="749"/>
      <c r="HG71" s="749"/>
      <c r="HH71" s="749"/>
      <c r="HI71" s="749"/>
      <c r="HJ71" s="749"/>
      <c r="HK71" s="749"/>
      <c r="HL71" s="749"/>
      <c r="HM71" s="749"/>
      <c r="HN71" s="749"/>
      <c r="HO71" s="749"/>
      <c r="HP71" s="749"/>
      <c r="HQ71" s="749"/>
      <c r="HR71" s="749"/>
      <c r="HS71" s="749"/>
      <c r="HT71" s="749"/>
      <c r="HU71" s="749"/>
      <c r="HV71" s="749"/>
      <c r="HW71" s="749"/>
      <c r="HX71" s="749"/>
      <c r="HY71" s="749"/>
      <c r="HZ71" s="749"/>
      <c r="IA71" s="749"/>
      <c r="IB71" s="749"/>
      <c r="IC71" s="749"/>
      <c r="ID71" s="749"/>
      <c r="IE71" s="749"/>
      <c r="IF71" s="749"/>
      <c r="IG71" s="749"/>
      <c r="IH71" s="749"/>
      <c r="II71" s="749"/>
      <c r="IJ71" s="749"/>
      <c r="IK71" s="749"/>
      <c r="IL71" s="749"/>
      <c r="IM71" s="749"/>
      <c r="IN71" s="749"/>
    </row>
    <row r="72" spans="1:248" ht="12.75" customHeight="1">
      <c r="A72" s="3"/>
      <c r="B72" s="769" t="s">
        <v>219</v>
      </c>
      <c r="C72" s="3" t="s">
        <v>7387</v>
      </c>
      <c r="D72" s="3"/>
      <c r="E72" s="767"/>
      <c r="F72" s="770">
        <v>7.1428571419999997E-4</v>
      </c>
      <c r="G72" s="771">
        <f>SUM(F72*H27)</f>
        <v>29999.999996399998</v>
      </c>
      <c r="H72" s="767"/>
      <c r="I72" s="3"/>
      <c r="J72" s="767"/>
      <c r="K72" s="3"/>
      <c r="L72" s="749"/>
      <c r="N72" s="769" t="s">
        <v>219</v>
      </c>
      <c r="O72" s="3" t="s">
        <v>7387</v>
      </c>
      <c r="P72" s="3"/>
      <c r="Q72" s="770">
        <v>7.1428571419999997E-4</v>
      </c>
      <c r="R72" s="771">
        <f>SUM(Q72*T27)</f>
        <v>29999.999996399998</v>
      </c>
      <c r="S72" s="771"/>
      <c r="T72" s="767"/>
      <c r="U72" s="3"/>
      <c r="V72" s="3"/>
      <c r="W72" s="3"/>
      <c r="X72" s="767"/>
      <c r="Y72" s="767"/>
      <c r="Z72" s="767"/>
      <c r="AA72" s="767"/>
      <c r="AB72" s="767"/>
      <c r="AC72" s="846"/>
      <c r="AD72" s="838"/>
      <c r="AE72" s="836"/>
      <c r="AF72" s="838"/>
      <c r="AG72" s="872"/>
      <c r="AH72" s="838"/>
      <c r="AI72" s="872"/>
      <c r="AJ72" s="838"/>
      <c r="AK72" s="872"/>
      <c r="AL72" s="838"/>
      <c r="AM72" s="872"/>
      <c r="AN72" s="838"/>
      <c r="AO72" s="836"/>
      <c r="AP72" s="844"/>
      <c r="AQ72" s="920"/>
      <c r="AR72" s="921"/>
      <c r="AS72" s="922"/>
      <c r="AT72" s="920"/>
      <c r="AU72" s="921"/>
      <c r="AV72" s="921"/>
      <c r="AW72" s="922"/>
      <c r="AX72" s="749"/>
      <c r="AY72" s="749"/>
      <c r="AZ72" s="749"/>
      <c r="BA72" s="749"/>
      <c r="BB72" s="749"/>
      <c r="BC72" s="749"/>
      <c r="BD72" s="749"/>
      <c r="BE72" s="749"/>
      <c r="BF72" s="749"/>
      <c r="BG72" s="749"/>
      <c r="BH72" s="749"/>
      <c r="BI72" s="749"/>
      <c r="BJ72" s="749"/>
      <c r="BK72" s="749"/>
      <c r="BL72" s="749"/>
      <c r="BM72" s="749"/>
      <c r="BN72" s="749"/>
      <c r="BO72" s="749"/>
      <c r="BP72" s="749"/>
      <c r="BQ72" s="749"/>
      <c r="BR72" s="749"/>
      <c r="BS72" s="749"/>
      <c r="BT72" s="749"/>
      <c r="BU72" s="749"/>
      <c r="BV72" s="749"/>
      <c r="BW72" s="749"/>
      <c r="BX72" s="749"/>
      <c r="BY72" s="749"/>
      <c r="BZ72" s="749"/>
      <c r="CA72" s="749"/>
      <c r="CB72" s="749"/>
      <c r="CC72" s="749"/>
      <c r="CD72" s="749"/>
      <c r="CE72" s="749"/>
      <c r="CF72" s="749"/>
      <c r="CG72" s="749"/>
      <c r="CH72" s="749"/>
      <c r="CI72" s="749"/>
      <c r="CJ72" s="749"/>
      <c r="CK72" s="749"/>
      <c r="CL72" s="749"/>
      <c r="CM72" s="749"/>
      <c r="CN72" s="749"/>
      <c r="CO72" s="749"/>
      <c r="CP72" s="749"/>
      <c r="CQ72" s="749"/>
      <c r="CR72" s="749"/>
      <c r="CS72" s="749"/>
      <c r="CT72" s="749"/>
      <c r="CU72" s="749"/>
      <c r="CV72" s="749"/>
      <c r="CW72" s="749"/>
      <c r="CX72" s="749"/>
      <c r="CY72" s="749"/>
      <c r="CZ72" s="749"/>
      <c r="DA72" s="749"/>
      <c r="DB72" s="749"/>
      <c r="DC72" s="749"/>
      <c r="DD72" s="749"/>
      <c r="DE72" s="749"/>
      <c r="DF72" s="749"/>
      <c r="DG72" s="749"/>
      <c r="DH72" s="749"/>
      <c r="DI72" s="749"/>
      <c r="DJ72" s="749"/>
      <c r="DK72" s="749"/>
      <c r="DL72" s="749"/>
      <c r="DM72" s="749"/>
      <c r="DN72" s="749"/>
      <c r="DO72" s="749"/>
      <c r="DP72" s="749"/>
      <c r="DQ72" s="749"/>
      <c r="DR72" s="749"/>
      <c r="DS72" s="749"/>
      <c r="DT72" s="749"/>
      <c r="DU72" s="749"/>
      <c r="DV72" s="749"/>
      <c r="DW72" s="749"/>
      <c r="DX72" s="749"/>
      <c r="DY72" s="749"/>
      <c r="DZ72" s="749"/>
      <c r="EA72" s="749"/>
      <c r="EB72" s="749"/>
      <c r="EC72" s="749"/>
      <c r="ED72" s="749"/>
      <c r="EE72" s="749"/>
      <c r="EF72" s="749"/>
      <c r="EG72" s="749"/>
      <c r="EH72" s="749"/>
      <c r="EI72" s="749"/>
      <c r="EJ72" s="749"/>
      <c r="EK72" s="749"/>
      <c r="EL72" s="749"/>
      <c r="EM72" s="749"/>
      <c r="EN72" s="749"/>
      <c r="EO72" s="749"/>
      <c r="EP72" s="749"/>
      <c r="EQ72" s="749"/>
      <c r="ER72" s="749"/>
      <c r="ES72" s="749"/>
      <c r="ET72" s="749"/>
      <c r="EU72" s="749"/>
      <c r="EV72" s="749"/>
      <c r="EW72" s="749"/>
      <c r="EX72" s="749"/>
      <c r="EY72" s="749"/>
      <c r="EZ72" s="749"/>
      <c r="FA72" s="749"/>
      <c r="FB72" s="749"/>
      <c r="FC72" s="749"/>
      <c r="FD72" s="749"/>
      <c r="FE72" s="749"/>
      <c r="FF72" s="749"/>
      <c r="FG72" s="749"/>
      <c r="FH72" s="749"/>
      <c r="FI72" s="749"/>
      <c r="FJ72" s="749"/>
      <c r="FK72" s="749"/>
      <c r="FL72" s="749"/>
      <c r="FM72" s="749"/>
      <c r="FN72" s="749"/>
      <c r="FO72" s="749"/>
      <c r="FP72" s="749"/>
      <c r="FQ72" s="749"/>
      <c r="FR72" s="749"/>
      <c r="FS72" s="749"/>
      <c r="FT72" s="749"/>
      <c r="FU72" s="749"/>
      <c r="FV72" s="749"/>
      <c r="FW72" s="749"/>
      <c r="FX72" s="749"/>
      <c r="FY72" s="749"/>
      <c r="FZ72" s="749"/>
      <c r="GA72" s="749"/>
      <c r="GB72" s="749"/>
      <c r="GC72" s="749"/>
      <c r="GD72" s="749"/>
      <c r="GE72" s="749"/>
      <c r="GF72" s="749"/>
      <c r="GG72" s="749"/>
      <c r="GH72" s="749"/>
      <c r="GI72" s="749"/>
      <c r="GJ72" s="749"/>
      <c r="GK72" s="749"/>
      <c r="GL72" s="749"/>
      <c r="GM72" s="749"/>
      <c r="GN72" s="749"/>
      <c r="GO72" s="749"/>
      <c r="GP72" s="749"/>
      <c r="GQ72" s="749"/>
      <c r="GR72" s="749"/>
      <c r="GS72" s="749"/>
      <c r="GT72" s="749"/>
      <c r="GU72" s="749"/>
      <c r="GV72" s="749"/>
      <c r="GW72" s="749"/>
      <c r="GX72" s="749"/>
      <c r="GY72" s="749"/>
      <c r="GZ72" s="749"/>
      <c r="HA72" s="749"/>
      <c r="HB72" s="749"/>
      <c r="HC72" s="749"/>
      <c r="HD72" s="749"/>
      <c r="HE72" s="749"/>
      <c r="HF72" s="749"/>
      <c r="HG72" s="749"/>
      <c r="HH72" s="749"/>
      <c r="HI72" s="749"/>
      <c r="HJ72" s="749"/>
      <c r="HK72" s="749"/>
      <c r="HL72" s="749"/>
      <c r="HM72" s="749"/>
      <c r="HN72" s="749"/>
      <c r="HO72" s="749"/>
      <c r="HP72" s="749"/>
      <c r="HQ72" s="749"/>
      <c r="HR72" s="749"/>
      <c r="HS72" s="749"/>
      <c r="HT72" s="749"/>
      <c r="HU72" s="749"/>
      <c r="HV72" s="749"/>
      <c r="HW72" s="749"/>
      <c r="HX72" s="749"/>
      <c r="HY72" s="749"/>
      <c r="HZ72" s="749"/>
      <c r="IA72" s="749"/>
      <c r="IB72" s="749"/>
      <c r="IC72" s="749"/>
      <c r="ID72" s="749"/>
      <c r="IE72" s="749"/>
      <c r="IF72" s="749"/>
      <c r="IG72" s="749"/>
      <c r="IH72" s="749"/>
      <c r="II72" s="749"/>
      <c r="IJ72" s="749"/>
      <c r="IK72" s="749"/>
      <c r="IL72" s="749"/>
      <c r="IM72" s="749"/>
      <c r="IN72" s="749"/>
    </row>
    <row r="73" spans="1:248" ht="12.75" customHeight="1">
      <c r="A73" s="3"/>
      <c r="B73" s="769" t="s">
        <v>220</v>
      </c>
      <c r="C73" s="3" t="s">
        <v>7388</v>
      </c>
      <c r="D73" s="3"/>
      <c r="E73" s="767"/>
      <c r="F73" s="770">
        <v>5.9523809520000001E-4</v>
      </c>
      <c r="G73" s="771">
        <f>SUM(F73*H27)</f>
        <v>24999.999998399999</v>
      </c>
      <c r="H73" s="767"/>
      <c r="I73" s="3"/>
      <c r="J73" s="767"/>
      <c r="K73" s="3"/>
      <c r="L73" s="749"/>
      <c r="M73" s="3"/>
      <c r="N73" s="769" t="s">
        <v>220</v>
      </c>
      <c r="O73" s="3" t="s">
        <v>7388</v>
      </c>
      <c r="P73" s="3"/>
      <c r="Q73" s="770">
        <v>5.9523809520000001E-4</v>
      </c>
      <c r="R73" s="771">
        <f>SUM(Q73*T27)</f>
        <v>24999.999998399999</v>
      </c>
      <c r="S73" s="771"/>
      <c r="T73" s="767"/>
      <c r="U73" s="767"/>
      <c r="V73" s="3"/>
      <c r="W73" s="767"/>
      <c r="X73" s="767"/>
      <c r="Y73" s="767"/>
      <c r="Z73" s="767"/>
      <c r="AA73" s="767"/>
      <c r="AB73" s="767"/>
      <c r="AC73" s="846"/>
      <c r="AD73" s="838"/>
      <c r="AE73" s="836"/>
      <c r="AF73" s="838"/>
      <c r="AG73" s="872"/>
      <c r="AH73" s="838"/>
      <c r="AI73" s="872"/>
      <c r="AJ73" s="838"/>
      <c r="AK73" s="872"/>
      <c r="AL73" s="838"/>
      <c r="AM73" s="872"/>
      <c r="AN73" s="838"/>
      <c r="AO73" s="836"/>
      <c r="AP73" s="844"/>
      <c r="AQ73" s="920"/>
      <c r="AR73" s="921"/>
      <c r="AS73" s="922"/>
      <c r="AT73" s="920"/>
      <c r="AU73" s="921"/>
      <c r="AV73" s="921"/>
      <c r="AW73" s="922"/>
      <c r="AX73" s="749"/>
      <c r="AY73" s="749"/>
      <c r="AZ73" s="749"/>
      <c r="BA73" s="749"/>
      <c r="BB73" s="749"/>
      <c r="BC73" s="749"/>
      <c r="BD73" s="749"/>
      <c r="BE73" s="749"/>
      <c r="BF73" s="749"/>
      <c r="BG73" s="749"/>
      <c r="BH73" s="749"/>
      <c r="BI73" s="749"/>
      <c r="BJ73" s="749"/>
      <c r="BK73" s="749"/>
      <c r="BL73" s="749"/>
      <c r="BM73" s="749"/>
      <c r="BN73" s="749"/>
      <c r="BO73" s="749"/>
      <c r="BP73" s="749"/>
      <c r="BQ73" s="749"/>
      <c r="BR73" s="749"/>
      <c r="BS73" s="749"/>
      <c r="BT73" s="749"/>
      <c r="BU73" s="749"/>
      <c r="BV73" s="749"/>
      <c r="BW73" s="749"/>
      <c r="BX73" s="749"/>
      <c r="BY73" s="749"/>
      <c r="BZ73" s="749"/>
      <c r="CA73" s="749"/>
      <c r="CB73" s="749"/>
      <c r="CC73" s="749"/>
      <c r="CD73" s="749"/>
      <c r="CE73" s="749"/>
      <c r="CF73" s="749"/>
      <c r="CG73" s="749"/>
      <c r="CH73" s="749"/>
      <c r="CI73" s="749"/>
      <c r="CJ73" s="749"/>
      <c r="CK73" s="749"/>
      <c r="CL73" s="749"/>
      <c r="CM73" s="749"/>
      <c r="CN73" s="749"/>
      <c r="CO73" s="749"/>
      <c r="CP73" s="749"/>
      <c r="CQ73" s="749"/>
      <c r="CR73" s="749"/>
      <c r="CS73" s="749"/>
      <c r="CT73" s="749"/>
      <c r="CU73" s="749"/>
      <c r="CV73" s="749"/>
      <c r="CW73" s="749"/>
      <c r="CX73" s="749"/>
      <c r="CY73" s="749"/>
      <c r="CZ73" s="749"/>
      <c r="DA73" s="749"/>
      <c r="DB73" s="749"/>
      <c r="DC73" s="749"/>
      <c r="DD73" s="749"/>
      <c r="DE73" s="749"/>
      <c r="DF73" s="749"/>
      <c r="DG73" s="749"/>
      <c r="DH73" s="749"/>
      <c r="DI73" s="749"/>
      <c r="DJ73" s="749"/>
      <c r="DK73" s="749"/>
      <c r="DL73" s="749"/>
      <c r="DM73" s="749"/>
      <c r="DN73" s="749"/>
      <c r="DO73" s="749"/>
      <c r="DP73" s="749"/>
      <c r="DQ73" s="749"/>
      <c r="DR73" s="749"/>
      <c r="DS73" s="749"/>
      <c r="DT73" s="749"/>
      <c r="DU73" s="749"/>
      <c r="DV73" s="749"/>
      <c r="DW73" s="749"/>
      <c r="DX73" s="749"/>
      <c r="DY73" s="749"/>
      <c r="DZ73" s="749"/>
      <c r="EA73" s="749"/>
      <c r="EB73" s="749"/>
      <c r="EC73" s="749"/>
      <c r="ED73" s="749"/>
      <c r="EE73" s="749"/>
      <c r="EF73" s="749"/>
      <c r="EG73" s="749"/>
      <c r="EH73" s="749"/>
      <c r="EI73" s="749"/>
      <c r="EJ73" s="749"/>
      <c r="EK73" s="749"/>
      <c r="EL73" s="749"/>
      <c r="EM73" s="749"/>
      <c r="EN73" s="749"/>
      <c r="EO73" s="749"/>
      <c r="EP73" s="749"/>
      <c r="EQ73" s="749"/>
      <c r="ER73" s="749"/>
      <c r="ES73" s="749"/>
      <c r="ET73" s="749"/>
      <c r="EU73" s="749"/>
      <c r="EV73" s="749"/>
      <c r="EW73" s="749"/>
      <c r="EX73" s="749"/>
      <c r="EY73" s="749"/>
      <c r="EZ73" s="749"/>
      <c r="FA73" s="749"/>
      <c r="FB73" s="749"/>
      <c r="FC73" s="749"/>
      <c r="FD73" s="749"/>
      <c r="FE73" s="749"/>
      <c r="FF73" s="749"/>
      <c r="FG73" s="749"/>
      <c r="FH73" s="749"/>
      <c r="FI73" s="749"/>
      <c r="FJ73" s="749"/>
      <c r="FK73" s="749"/>
      <c r="FL73" s="749"/>
      <c r="FM73" s="749"/>
      <c r="FN73" s="749"/>
      <c r="FO73" s="749"/>
      <c r="FP73" s="749"/>
      <c r="FQ73" s="749"/>
      <c r="FR73" s="749"/>
      <c r="FS73" s="749"/>
      <c r="FT73" s="749"/>
      <c r="FU73" s="749"/>
      <c r="FV73" s="749"/>
      <c r="FW73" s="749"/>
      <c r="FX73" s="749"/>
      <c r="FY73" s="749"/>
      <c r="FZ73" s="749"/>
      <c r="GA73" s="749"/>
      <c r="GB73" s="749"/>
      <c r="GC73" s="749"/>
      <c r="GD73" s="749"/>
      <c r="GE73" s="749"/>
      <c r="GF73" s="749"/>
      <c r="GG73" s="749"/>
      <c r="GH73" s="749"/>
      <c r="GI73" s="749"/>
      <c r="GJ73" s="749"/>
      <c r="GK73" s="749"/>
      <c r="GL73" s="749"/>
      <c r="GM73" s="749"/>
      <c r="GN73" s="749"/>
      <c r="GO73" s="749"/>
      <c r="GP73" s="749"/>
      <c r="GQ73" s="749"/>
      <c r="GR73" s="749"/>
      <c r="GS73" s="749"/>
      <c r="GT73" s="749"/>
      <c r="GU73" s="749"/>
      <c r="GV73" s="749"/>
      <c r="GW73" s="749"/>
      <c r="GX73" s="749"/>
      <c r="GY73" s="749"/>
      <c r="GZ73" s="749"/>
      <c r="HA73" s="749"/>
      <c r="HB73" s="749"/>
      <c r="HC73" s="749"/>
      <c r="HD73" s="749"/>
      <c r="HE73" s="749"/>
      <c r="HF73" s="749"/>
      <c r="HG73" s="749"/>
      <c r="HH73" s="749"/>
      <c r="HI73" s="749"/>
      <c r="HJ73" s="749"/>
      <c r="HK73" s="749"/>
      <c r="HL73" s="749"/>
      <c r="HM73" s="749"/>
      <c r="HN73" s="749"/>
      <c r="HO73" s="749"/>
      <c r="HP73" s="749"/>
      <c r="HQ73" s="749"/>
      <c r="HR73" s="749"/>
      <c r="HS73" s="749"/>
      <c r="HT73" s="749"/>
      <c r="HU73" s="749"/>
      <c r="HV73" s="749"/>
      <c r="HW73" s="749"/>
      <c r="HX73" s="749"/>
      <c r="HY73" s="749"/>
      <c r="HZ73" s="749"/>
      <c r="IA73" s="749"/>
      <c r="IB73" s="749"/>
      <c r="IC73" s="749"/>
      <c r="ID73" s="749"/>
      <c r="IE73" s="749"/>
      <c r="IF73" s="749"/>
      <c r="IG73" s="749"/>
      <c r="IH73" s="749"/>
      <c r="II73" s="749"/>
      <c r="IJ73" s="749"/>
      <c r="IK73" s="749"/>
      <c r="IL73" s="749"/>
      <c r="IM73" s="749"/>
      <c r="IN73" s="749"/>
    </row>
    <row r="74" spans="1:248" ht="12.75" customHeight="1">
      <c r="A74" s="3"/>
      <c r="B74" s="769" t="s">
        <v>221</v>
      </c>
      <c r="C74" s="3" t="s">
        <v>7389</v>
      </c>
      <c r="D74" s="3"/>
      <c r="E74" s="3"/>
      <c r="F74" s="770">
        <v>0.01</v>
      </c>
      <c r="G74" s="771">
        <f>SUM(H27*F74)</f>
        <v>420000</v>
      </c>
      <c r="H74" s="767"/>
      <c r="I74" s="771"/>
      <c r="J74" s="3"/>
      <c r="K74" s="3"/>
      <c r="L74" s="749"/>
      <c r="M74" s="3"/>
      <c r="N74" s="769" t="s">
        <v>221</v>
      </c>
      <c r="O74" s="3" t="s">
        <v>7389</v>
      </c>
      <c r="P74" s="3"/>
      <c r="Q74" s="770">
        <v>0.01</v>
      </c>
      <c r="R74" s="771">
        <f>SUM(T27*Q74)</f>
        <v>420000</v>
      </c>
      <c r="S74" s="771"/>
      <c r="T74" s="767"/>
      <c r="U74" s="767"/>
      <c r="V74" s="3"/>
      <c r="W74" s="767"/>
      <c r="X74" s="3"/>
      <c r="Y74" s="3"/>
      <c r="Z74" s="3"/>
      <c r="AA74" s="3"/>
      <c r="AB74" s="3"/>
      <c r="AC74" s="857" t="s">
        <v>13</v>
      </c>
      <c r="AD74" s="879"/>
      <c r="AE74" s="885"/>
      <c r="AF74" s="879">
        <f t="shared" ref="AF74:AF75" si="13">AH74+AN74+AO74+AP74</f>
        <v>0</v>
      </c>
      <c r="AG74" s="876"/>
      <c r="AH74" s="879">
        <f t="shared" ref="AH74:AH76" si="14">AJ74+AL74</f>
        <v>0</v>
      </c>
      <c r="AI74" s="876">
        <f>'TAB 3 Project Cost'!F32</f>
        <v>0.01</v>
      </c>
      <c r="AJ74" s="879">
        <f>'TAB 3 Project Cost'!G32</f>
        <v>0</v>
      </c>
      <c r="AK74" s="876">
        <f>'TAB 3 Project Cost'!F63</f>
        <v>0.01</v>
      </c>
      <c r="AL74" s="879">
        <f>'TAB 3 Project Cost'!G63</f>
        <v>0</v>
      </c>
      <c r="AM74" s="876">
        <f>'TAB 3 Project Cost'!F103</f>
        <v>0.01</v>
      </c>
      <c r="AN74" s="879">
        <f>'TAB 3 Project Cost'!G103</f>
        <v>0</v>
      </c>
      <c r="AO74" s="868"/>
      <c r="AP74" s="851"/>
      <c r="AQ74" s="923">
        <f>'TAB 3 Project Cost'!AC63</f>
        <v>0</v>
      </c>
      <c r="AR74" s="924">
        <f>'TAB 3 Project Cost'!AD63</f>
        <v>0</v>
      </c>
      <c r="AS74" s="925">
        <f>'TAB 3 Project Cost'!AE63</f>
        <v>0</v>
      </c>
      <c r="AT74" s="923">
        <f>'TAB 3 Project Cost'!AA103</f>
        <v>0</v>
      </c>
      <c r="AU74" s="924">
        <f>'TAB 3 Project Cost'!AB103</f>
        <v>0</v>
      </c>
      <c r="AV74" s="924">
        <f>'TAB 3 Project Cost'!AC103</f>
        <v>0</v>
      </c>
      <c r="AW74" s="925">
        <f>'TAB 3 Project Cost'!AD103</f>
        <v>0</v>
      </c>
      <c r="AX74" s="749"/>
      <c r="AY74" s="749"/>
      <c r="AZ74" s="749"/>
      <c r="BA74" s="749"/>
      <c r="BB74" s="749"/>
      <c r="BC74" s="749"/>
      <c r="BD74" s="749"/>
      <c r="BE74" s="749"/>
      <c r="BF74" s="749"/>
      <c r="BG74" s="749"/>
      <c r="BH74" s="749"/>
      <c r="BI74" s="749"/>
      <c r="BJ74" s="749"/>
      <c r="BK74" s="749"/>
      <c r="BL74" s="749"/>
      <c r="BM74" s="749"/>
      <c r="BN74" s="749"/>
      <c r="BO74" s="749"/>
      <c r="BP74" s="749"/>
      <c r="BQ74" s="749"/>
      <c r="BR74" s="749"/>
      <c r="BS74" s="749"/>
      <c r="BT74" s="749"/>
      <c r="BU74" s="749"/>
      <c r="BV74" s="749"/>
      <c r="BW74" s="749"/>
      <c r="BX74" s="749"/>
      <c r="BY74" s="749"/>
      <c r="BZ74" s="749"/>
      <c r="CA74" s="749"/>
      <c r="CB74" s="749"/>
      <c r="CC74" s="749"/>
      <c r="CD74" s="749"/>
      <c r="CE74" s="749"/>
      <c r="CF74" s="749"/>
      <c r="CG74" s="749"/>
      <c r="CH74" s="749"/>
      <c r="CI74" s="749"/>
      <c r="CJ74" s="749"/>
      <c r="CK74" s="749"/>
      <c r="CL74" s="749"/>
      <c r="CM74" s="749"/>
      <c r="CN74" s="749"/>
      <c r="CO74" s="749"/>
      <c r="CP74" s="749"/>
      <c r="CQ74" s="749"/>
      <c r="CR74" s="749"/>
      <c r="CS74" s="749"/>
      <c r="CT74" s="749"/>
      <c r="CU74" s="749"/>
      <c r="CV74" s="749"/>
      <c r="CW74" s="749"/>
      <c r="CX74" s="749"/>
      <c r="CY74" s="749"/>
      <c r="CZ74" s="749"/>
      <c r="DA74" s="749"/>
      <c r="DB74" s="749"/>
      <c r="DC74" s="749"/>
      <c r="DD74" s="749"/>
      <c r="DE74" s="749"/>
      <c r="DF74" s="749"/>
      <c r="DG74" s="749"/>
      <c r="DH74" s="749"/>
      <c r="DI74" s="749"/>
      <c r="DJ74" s="749"/>
      <c r="DK74" s="749"/>
      <c r="DL74" s="749"/>
      <c r="DM74" s="749"/>
      <c r="DN74" s="749"/>
      <c r="DO74" s="749"/>
      <c r="DP74" s="749"/>
      <c r="DQ74" s="749"/>
      <c r="DR74" s="749"/>
      <c r="DS74" s="749"/>
      <c r="DT74" s="749"/>
      <c r="DU74" s="749"/>
      <c r="DV74" s="749"/>
      <c r="DW74" s="749"/>
      <c r="DX74" s="749"/>
      <c r="DY74" s="749"/>
      <c r="DZ74" s="749"/>
      <c r="EA74" s="749"/>
      <c r="EB74" s="749"/>
      <c r="EC74" s="749"/>
      <c r="ED74" s="749"/>
      <c r="EE74" s="749"/>
      <c r="EF74" s="749"/>
      <c r="EG74" s="749"/>
      <c r="EH74" s="749"/>
      <c r="EI74" s="749"/>
      <c r="EJ74" s="749"/>
      <c r="EK74" s="749"/>
      <c r="EL74" s="749"/>
      <c r="EM74" s="749"/>
      <c r="EN74" s="749"/>
      <c r="EO74" s="749"/>
      <c r="EP74" s="749"/>
      <c r="EQ74" s="749"/>
      <c r="ER74" s="749"/>
      <c r="ES74" s="749"/>
      <c r="ET74" s="749"/>
      <c r="EU74" s="749"/>
      <c r="EV74" s="749"/>
      <c r="EW74" s="749"/>
      <c r="EX74" s="749"/>
      <c r="EY74" s="749"/>
      <c r="EZ74" s="749"/>
      <c r="FA74" s="749"/>
      <c r="FB74" s="749"/>
      <c r="FC74" s="749"/>
      <c r="FD74" s="749"/>
      <c r="FE74" s="749"/>
      <c r="FF74" s="749"/>
      <c r="FG74" s="749"/>
      <c r="FH74" s="749"/>
      <c r="FI74" s="749"/>
      <c r="FJ74" s="749"/>
      <c r="FK74" s="749"/>
      <c r="FL74" s="749"/>
      <c r="FM74" s="749"/>
      <c r="FN74" s="749"/>
      <c r="FO74" s="749"/>
      <c r="FP74" s="749"/>
      <c r="FQ74" s="749"/>
      <c r="FR74" s="749"/>
      <c r="FS74" s="749"/>
      <c r="FT74" s="749"/>
      <c r="FU74" s="749"/>
      <c r="FV74" s="749"/>
      <c r="FW74" s="749"/>
      <c r="FX74" s="749"/>
      <c r="FY74" s="749"/>
      <c r="FZ74" s="749"/>
      <c r="GA74" s="749"/>
      <c r="GB74" s="749"/>
      <c r="GC74" s="749"/>
      <c r="GD74" s="749"/>
      <c r="GE74" s="749"/>
      <c r="GF74" s="749"/>
      <c r="GG74" s="749"/>
      <c r="GH74" s="749"/>
      <c r="GI74" s="749"/>
      <c r="GJ74" s="749"/>
      <c r="GK74" s="749"/>
      <c r="GL74" s="749"/>
      <c r="GM74" s="749"/>
      <c r="GN74" s="749"/>
      <c r="GO74" s="749"/>
      <c r="GP74" s="749"/>
      <c r="GQ74" s="749"/>
      <c r="GR74" s="749"/>
      <c r="GS74" s="749"/>
      <c r="GT74" s="749"/>
      <c r="GU74" s="749"/>
      <c r="GV74" s="749"/>
      <c r="GW74" s="749"/>
      <c r="GX74" s="749"/>
      <c r="GY74" s="749"/>
      <c r="GZ74" s="749"/>
      <c r="HA74" s="749"/>
      <c r="HB74" s="749"/>
      <c r="HC74" s="749"/>
      <c r="HD74" s="749"/>
      <c r="HE74" s="749"/>
      <c r="HF74" s="749"/>
      <c r="HG74" s="749"/>
      <c r="HH74" s="749"/>
      <c r="HI74" s="749"/>
      <c r="HJ74" s="749"/>
      <c r="HK74" s="749"/>
      <c r="HL74" s="749"/>
      <c r="HM74" s="749"/>
      <c r="HN74" s="749"/>
      <c r="HO74" s="749"/>
      <c r="HP74" s="749"/>
      <c r="HQ74" s="749"/>
      <c r="HR74" s="749"/>
      <c r="HS74" s="749"/>
      <c r="HT74" s="749"/>
      <c r="HU74" s="749"/>
      <c r="HV74" s="749"/>
      <c r="HW74" s="749"/>
      <c r="HX74" s="749"/>
      <c r="HY74" s="749"/>
      <c r="HZ74" s="749"/>
      <c r="IA74" s="749"/>
      <c r="IB74" s="749"/>
      <c r="IC74" s="749"/>
      <c r="ID74" s="749"/>
      <c r="IE74" s="749"/>
      <c r="IF74" s="749"/>
      <c r="IG74" s="749"/>
      <c r="IH74" s="749"/>
      <c r="II74" s="749"/>
      <c r="IJ74" s="749"/>
      <c r="IK74" s="749"/>
      <c r="IL74" s="749"/>
      <c r="IM74" s="749"/>
      <c r="IN74" s="749"/>
    </row>
    <row r="75" spans="1:248" ht="13.5" thickBot="1">
      <c r="A75" s="3"/>
      <c r="B75" s="769" t="s">
        <v>222</v>
      </c>
      <c r="C75" s="3" t="s">
        <v>7390</v>
      </c>
      <c r="D75" s="3"/>
      <c r="E75" s="3"/>
      <c r="F75" s="772">
        <f>SUM(F72:F74)</f>
        <v>1.13095238094E-2</v>
      </c>
      <c r="G75" s="787"/>
      <c r="H75" s="788">
        <f>SUM(G72:G74)</f>
        <v>474999.99999480002</v>
      </c>
      <c r="I75" s="3"/>
      <c r="J75" s="3"/>
      <c r="K75" s="3"/>
      <c r="L75" s="749"/>
      <c r="M75" s="3"/>
      <c r="N75" s="769" t="s">
        <v>222</v>
      </c>
      <c r="O75" s="3" t="s">
        <v>7390</v>
      </c>
      <c r="P75" s="3"/>
      <c r="Q75" s="772">
        <f>SUM(Q72:Q74)</f>
        <v>1.13095238094E-2</v>
      </c>
      <c r="R75" s="787"/>
      <c r="S75" s="3"/>
      <c r="T75" s="788">
        <f>SUM(R72:R74)</f>
        <v>474999.99999480002</v>
      </c>
      <c r="U75" s="767"/>
      <c r="V75" s="771"/>
      <c r="W75" s="3"/>
      <c r="X75" s="3"/>
      <c r="Y75" s="3"/>
      <c r="Z75" s="3"/>
      <c r="AA75" s="3"/>
      <c r="AB75" s="3"/>
      <c r="AC75" s="538" t="s">
        <v>7531</v>
      </c>
      <c r="AD75" s="884"/>
      <c r="AE75" s="869"/>
      <c r="AF75" s="884">
        <f t="shared" si="13"/>
        <v>0</v>
      </c>
      <c r="AG75" s="883"/>
      <c r="AH75" s="884">
        <f t="shared" si="14"/>
        <v>0</v>
      </c>
      <c r="AI75" s="883">
        <f>AI71+AI74</f>
        <v>1.4999999999999999E-2</v>
      </c>
      <c r="AJ75" s="884">
        <f>AJ71+AJ74</f>
        <v>0</v>
      </c>
      <c r="AK75" s="883">
        <f>AK71+AK74</f>
        <v>1.4999999999999999E-2</v>
      </c>
      <c r="AL75" s="884">
        <f>AL71+AL74</f>
        <v>0</v>
      </c>
      <c r="AM75" s="883"/>
      <c r="AN75" s="910"/>
      <c r="AO75" s="911"/>
      <c r="AP75" s="912"/>
      <c r="AQ75" s="929"/>
      <c r="AR75" s="930"/>
      <c r="AS75" s="931"/>
      <c r="AT75" s="929"/>
      <c r="AU75" s="930"/>
      <c r="AV75" s="930"/>
      <c r="AW75" s="931"/>
      <c r="AX75" s="749"/>
      <c r="AY75" s="749"/>
      <c r="AZ75" s="749"/>
      <c r="BA75" s="749"/>
      <c r="BB75" s="749"/>
      <c r="BC75" s="749"/>
      <c r="BD75" s="749"/>
      <c r="BE75" s="749"/>
      <c r="BF75" s="749"/>
      <c r="BG75" s="749"/>
      <c r="BH75" s="749"/>
      <c r="BI75" s="749"/>
      <c r="BJ75" s="749"/>
      <c r="BK75" s="749"/>
      <c r="BL75" s="749"/>
      <c r="BM75" s="749"/>
      <c r="BN75" s="749"/>
      <c r="BO75" s="749"/>
      <c r="BP75" s="749"/>
      <c r="BQ75" s="749"/>
      <c r="BR75" s="749"/>
      <c r="BS75" s="749"/>
      <c r="BT75" s="749"/>
      <c r="BU75" s="749"/>
      <c r="BV75" s="749"/>
      <c r="BW75" s="749"/>
      <c r="BX75" s="749"/>
      <c r="BY75" s="749"/>
      <c r="BZ75" s="749"/>
      <c r="CA75" s="749"/>
      <c r="CB75" s="749"/>
      <c r="CC75" s="749"/>
      <c r="CD75" s="749"/>
      <c r="CE75" s="749"/>
      <c r="CF75" s="749"/>
      <c r="CG75" s="749"/>
      <c r="CH75" s="749"/>
      <c r="CI75" s="749"/>
      <c r="CJ75" s="749"/>
      <c r="CK75" s="749"/>
      <c r="CL75" s="749"/>
      <c r="CM75" s="749"/>
      <c r="CN75" s="749"/>
      <c r="CO75" s="749"/>
      <c r="CP75" s="749"/>
      <c r="CQ75" s="749"/>
      <c r="CR75" s="749"/>
      <c r="CS75" s="749"/>
      <c r="CT75" s="749"/>
      <c r="CU75" s="749"/>
      <c r="CV75" s="749"/>
      <c r="CW75" s="749"/>
      <c r="CX75" s="749"/>
      <c r="CY75" s="749"/>
      <c r="CZ75" s="749"/>
      <c r="DA75" s="749"/>
      <c r="DB75" s="749"/>
      <c r="DC75" s="749"/>
      <c r="DD75" s="749"/>
      <c r="DE75" s="749"/>
      <c r="DF75" s="749"/>
      <c r="DG75" s="749"/>
      <c r="DH75" s="749"/>
      <c r="DI75" s="749"/>
      <c r="DJ75" s="749"/>
      <c r="DK75" s="749"/>
      <c r="DL75" s="749"/>
      <c r="DM75" s="749"/>
      <c r="DN75" s="749"/>
      <c r="DO75" s="749"/>
      <c r="DP75" s="749"/>
      <c r="DQ75" s="749"/>
      <c r="DR75" s="749"/>
      <c r="DS75" s="749"/>
      <c r="DT75" s="749"/>
      <c r="DU75" s="749"/>
      <c r="DV75" s="749"/>
      <c r="DW75" s="749"/>
      <c r="DX75" s="749"/>
      <c r="DY75" s="749"/>
      <c r="DZ75" s="749"/>
      <c r="EA75" s="749"/>
      <c r="EB75" s="749"/>
      <c r="EC75" s="749"/>
      <c r="ED75" s="749"/>
      <c r="EE75" s="749"/>
      <c r="EF75" s="749"/>
      <c r="EG75" s="749"/>
      <c r="EH75" s="749"/>
      <c r="EI75" s="749"/>
      <c r="EJ75" s="749"/>
      <c r="EK75" s="749"/>
      <c r="EL75" s="749"/>
      <c r="EM75" s="749"/>
      <c r="EN75" s="749"/>
      <c r="EO75" s="749"/>
      <c r="EP75" s="749"/>
      <c r="EQ75" s="749"/>
      <c r="ER75" s="749"/>
      <c r="ES75" s="749"/>
      <c r="ET75" s="749"/>
      <c r="EU75" s="749"/>
      <c r="EV75" s="749"/>
      <c r="EW75" s="749"/>
      <c r="EX75" s="749"/>
      <c r="EY75" s="749"/>
      <c r="EZ75" s="749"/>
      <c r="FA75" s="749"/>
      <c r="FB75" s="749"/>
      <c r="FC75" s="749"/>
      <c r="FD75" s="749"/>
      <c r="FE75" s="749"/>
      <c r="FF75" s="749"/>
      <c r="FG75" s="749"/>
      <c r="FH75" s="749"/>
      <c r="FI75" s="749"/>
      <c r="FJ75" s="749"/>
      <c r="FK75" s="749"/>
      <c r="FL75" s="749"/>
      <c r="FM75" s="749"/>
      <c r="FN75" s="749"/>
      <c r="FO75" s="749"/>
      <c r="FP75" s="749"/>
      <c r="FQ75" s="749"/>
      <c r="FR75" s="749"/>
      <c r="FS75" s="749"/>
      <c r="FT75" s="749"/>
      <c r="FU75" s="749"/>
      <c r="FV75" s="749"/>
      <c r="FW75" s="749"/>
      <c r="FX75" s="749"/>
      <c r="FY75" s="749"/>
      <c r="FZ75" s="749"/>
      <c r="GA75" s="749"/>
      <c r="GB75" s="749"/>
      <c r="GC75" s="749"/>
      <c r="GD75" s="749"/>
      <c r="GE75" s="749"/>
      <c r="GF75" s="749"/>
      <c r="GG75" s="749"/>
      <c r="GH75" s="749"/>
      <c r="GI75" s="749"/>
      <c r="GJ75" s="749"/>
      <c r="GK75" s="749"/>
      <c r="GL75" s="749"/>
      <c r="GM75" s="749"/>
      <c r="GN75" s="749"/>
      <c r="GO75" s="749"/>
      <c r="GP75" s="749"/>
      <c r="GQ75" s="749"/>
      <c r="GR75" s="749"/>
      <c r="GS75" s="749"/>
      <c r="GT75" s="749"/>
      <c r="GU75" s="749"/>
      <c r="GV75" s="749"/>
      <c r="GW75" s="749"/>
      <c r="GX75" s="749"/>
      <c r="GY75" s="749"/>
      <c r="GZ75" s="749"/>
      <c r="HA75" s="749"/>
      <c r="HB75" s="749"/>
      <c r="HC75" s="749"/>
      <c r="HD75" s="749"/>
      <c r="HE75" s="749"/>
      <c r="HF75" s="749"/>
      <c r="HG75" s="749"/>
      <c r="HH75" s="749"/>
      <c r="HI75" s="749"/>
      <c r="HJ75" s="749"/>
      <c r="HK75" s="749"/>
      <c r="HL75" s="749"/>
      <c r="HM75" s="749"/>
      <c r="HN75" s="749"/>
      <c r="HO75" s="749"/>
      <c r="HP75" s="749"/>
      <c r="HQ75" s="749"/>
      <c r="HR75" s="749"/>
      <c r="HS75" s="749"/>
      <c r="HT75" s="749"/>
      <c r="HU75" s="749"/>
      <c r="HV75" s="749"/>
      <c r="HW75" s="749"/>
      <c r="HX75" s="749"/>
      <c r="HY75" s="749"/>
      <c r="HZ75" s="749"/>
      <c r="IA75" s="749"/>
      <c r="IB75" s="749"/>
      <c r="IC75" s="749"/>
      <c r="ID75" s="749"/>
      <c r="IE75" s="749"/>
      <c r="IF75" s="749"/>
      <c r="IG75" s="749"/>
      <c r="IH75" s="749"/>
      <c r="II75" s="749"/>
      <c r="IJ75" s="749"/>
      <c r="IK75" s="749"/>
      <c r="IL75" s="749"/>
      <c r="IM75" s="749"/>
      <c r="IN75" s="749"/>
    </row>
    <row r="76" spans="1:248" ht="13.5" thickBot="1">
      <c r="A76" s="3"/>
      <c r="B76" s="769"/>
      <c r="C76" s="3"/>
      <c r="D76" s="3"/>
      <c r="E76" s="3"/>
      <c r="F76" s="770"/>
      <c r="G76" s="3"/>
      <c r="H76" s="771"/>
      <c r="I76" s="3"/>
      <c r="J76" s="3"/>
      <c r="K76" s="3"/>
      <c r="L76" s="749"/>
      <c r="M76" s="3"/>
      <c r="N76" s="769"/>
      <c r="O76" s="3"/>
      <c r="P76" s="3"/>
      <c r="Q76" s="770"/>
      <c r="R76" s="3"/>
      <c r="S76" s="3"/>
      <c r="T76" s="771"/>
      <c r="U76" s="767"/>
      <c r="V76" s="771"/>
      <c r="W76" s="3"/>
      <c r="X76" s="3"/>
      <c r="Y76" s="3"/>
      <c r="Z76" s="3"/>
      <c r="AA76" s="3"/>
      <c r="AB76" s="3"/>
      <c r="AC76" s="858" t="s">
        <v>7536</v>
      </c>
      <c r="AD76" s="906"/>
      <c r="AE76" s="907"/>
      <c r="AF76" s="906"/>
      <c r="AG76" s="908"/>
      <c r="AH76" s="906">
        <f t="shared" si="14"/>
        <v>0</v>
      </c>
      <c r="AI76" s="908"/>
      <c r="AJ76" s="906">
        <f>'TAB 3 Project Cost'!G34</f>
        <v>0</v>
      </c>
      <c r="AK76" s="908"/>
      <c r="AL76" s="906">
        <f>'TAB 3 Project Cost'!G65</f>
        <v>0</v>
      </c>
      <c r="AM76" s="908"/>
      <c r="AN76" s="906">
        <f>'TAB 3 Project Cost'!G104</f>
        <v>0</v>
      </c>
      <c r="AO76" s="907">
        <f>'TAB 3 Project Cost'!G80</f>
        <v>0</v>
      </c>
      <c r="AP76" s="909">
        <f>'TAB 3 Project Cost'!G112</f>
        <v>0</v>
      </c>
      <c r="AQ76" s="932">
        <f>SUM(AQ27:AQ74)</f>
        <v>0</v>
      </c>
      <c r="AR76" s="933">
        <f t="shared" ref="AR76:AS76" si="15">SUM(AR27:AR74)</f>
        <v>0</v>
      </c>
      <c r="AS76" s="934">
        <f t="shared" si="15"/>
        <v>0</v>
      </c>
      <c r="AT76" s="932">
        <f>SUM(AT27:AT74)</f>
        <v>0</v>
      </c>
      <c r="AU76" s="933">
        <f t="shared" ref="AU76:AW76" si="16">SUM(AU27:AU74)</f>
        <v>0</v>
      </c>
      <c r="AV76" s="933">
        <f t="shared" si="16"/>
        <v>0</v>
      </c>
      <c r="AW76" s="934">
        <f t="shared" si="16"/>
        <v>0</v>
      </c>
      <c r="AX76" s="749"/>
      <c r="AY76" s="749"/>
      <c r="AZ76" s="749"/>
      <c r="BA76" s="749"/>
      <c r="BB76" s="749"/>
      <c r="BC76" s="749"/>
      <c r="BD76" s="749"/>
      <c r="BE76" s="749"/>
      <c r="BF76" s="749"/>
      <c r="BG76" s="749"/>
      <c r="BH76" s="749"/>
      <c r="BI76" s="749"/>
      <c r="BJ76" s="749"/>
      <c r="BK76" s="749"/>
      <c r="BL76" s="749"/>
      <c r="BM76" s="749"/>
      <c r="BN76" s="749"/>
      <c r="BO76" s="749"/>
      <c r="BP76" s="749"/>
      <c r="BQ76" s="749"/>
      <c r="BR76" s="749"/>
      <c r="BS76" s="749"/>
      <c r="BT76" s="749"/>
      <c r="BU76" s="749"/>
      <c r="BV76" s="749"/>
      <c r="BW76" s="749"/>
      <c r="BX76" s="749"/>
      <c r="BY76" s="749"/>
      <c r="BZ76" s="749"/>
      <c r="CA76" s="749"/>
      <c r="CB76" s="749"/>
      <c r="CC76" s="749"/>
      <c r="CD76" s="749"/>
      <c r="CE76" s="749"/>
      <c r="CF76" s="749"/>
      <c r="CG76" s="749"/>
      <c r="CH76" s="749"/>
      <c r="CI76" s="749"/>
      <c r="CJ76" s="749"/>
      <c r="CK76" s="749"/>
      <c r="CL76" s="749"/>
      <c r="CM76" s="749"/>
      <c r="CN76" s="749"/>
      <c r="CO76" s="749"/>
      <c r="CP76" s="749"/>
      <c r="CQ76" s="749"/>
      <c r="CR76" s="749"/>
      <c r="CS76" s="749"/>
      <c r="CT76" s="749"/>
      <c r="CU76" s="749"/>
      <c r="CV76" s="749"/>
      <c r="CW76" s="749"/>
      <c r="CX76" s="749"/>
      <c r="CY76" s="749"/>
      <c r="CZ76" s="749"/>
      <c r="DA76" s="749"/>
      <c r="DB76" s="749"/>
      <c r="DC76" s="749"/>
      <c r="DD76" s="749"/>
      <c r="DE76" s="749"/>
      <c r="DF76" s="749"/>
      <c r="DG76" s="749"/>
      <c r="DH76" s="749"/>
      <c r="DI76" s="749"/>
      <c r="DJ76" s="749"/>
      <c r="DK76" s="749"/>
      <c r="DL76" s="749"/>
      <c r="DM76" s="749"/>
      <c r="DN76" s="749"/>
      <c r="DO76" s="749"/>
      <c r="DP76" s="749"/>
      <c r="DQ76" s="749"/>
      <c r="DR76" s="749"/>
      <c r="DS76" s="749"/>
      <c r="DT76" s="749"/>
      <c r="DU76" s="749"/>
      <c r="DV76" s="749"/>
      <c r="DW76" s="749"/>
      <c r="DX76" s="749"/>
      <c r="DY76" s="749"/>
      <c r="DZ76" s="749"/>
      <c r="EA76" s="749"/>
      <c r="EB76" s="749"/>
      <c r="EC76" s="749"/>
      <c r="ED76" s="749"/>
      <c r="EE76" s="749"/>
      <c r="EF76" s="749"/>
      <c r="EG76" s="749"/>
      <c r="EH76" s="749"/>
      <c r="EI76" s="749"/>
      <c r="EJ76" s="749"/>
      <c r="EK76" s="749"/>
      <c r="EL76" s="749"/>
      <c r="EM76" s="749"/>
      <c r="EN76" s="749"/>
      <c r="EO76" s="749"/>
      <c r="EP76" s="749"/>
      <c r="EQ76" s="749"/>
      <c r="ER76" s="749"/>
      <c r="ES76" s="749"/>
      <c r="ET76" s="749"/>
      <c r="EU76" s="749"/>
      <c r="EV76" s="749"/>
      <c r="EW76" s="749"/>
      <c r="EX76" s="749"/>
      <c r="EY76" s="749"/>
      <c r="EZ76" s="749"/>
      <c r="FA76" s="749"/>
      <c r="FB76" s="749"/>
      <c r="FC76" s="749"/>
      <c r="FD76" s="749"/>
      <c r="FE76" s="749"/>
      <c r="FF76" s="749"/>
      <c r="FG76" s="749"/>
      <c r="FH76" s="749"/>
      <c r="FI76" s="749"/>
      <c r="FJ76" s="749"/>
      <c r="FK76" s="749"/>
      <c r="FL76" s="749"/>
      <c r="FM76" s="749"/>
      <c r="FN76" s="749"/>
      <c r="FO76" s="749"/>
      <c r="FP76" s="749"/>
      <c r="FQ76" s="749"/>
      <c r="FR76" s="749"/>
      <c r="FS76" s="749"/>
      <c r="FT76" s="749"/>
      <c r="FU76" s="749"/>
      <c r="FV76" s="749"/>
      <c r="FW76" s="749"/>
      <c r="FX76" s="749"/>
      <c r="FY76" s="749"/>
      <c r="FZ76" s="749"/>
      <c r="GA76" s="749"/>
      <c r="GB76" s="749"/>
      <c r="GC76" s="749"/>
      <c r="GD76" s="749"/>
      <c r="GE76" s="749"/>
      <c r="GF76" s="749"/>
      <c r="GG76" s="749"/>
      <c r="GH76" s="749"/>
      <c r="GI76" s="749"/>
      <c r="GJ76" s="749"/>
      <c r="GK76" s="749"/>
      <c r="GL76" s="749"/>
      <c r="GM76" s="749"/>
      <c r="GN76" s="749"/>
      <c r="GO76" s="749"/>
      <c r="GP76" s="749"/>
      <c r="GQ76" s="749"/>
      <c r="GR76" s="749"/>
      <c r="GS76" s="749"/>
      <c r="GT76" s="749"/>
      <c r="GU76" s="749"/>
      <c r="GV76" s="749"/>
      <c r="GW76" s="749"/>
      <c r="GX76" s="749"/>
      <c r="GY76" s="749"/>
      <c r="GZ76" s="749"/>
      <c r="HA76" s="749"/>
      <c r="HB76" s="749"/>
      <c r="HC76" s="749"/>
      <c r="HD76" s="749"/>
      <c r="HE76" s="749"/>
      <c r="HF76" s="749"/>
      <c r="HG76" s="749"/>
      <c r="HH76" s="749"/>
      <c r="HI76" s="749"/>
      <c r="HJ76" s="749"/>
      <c r="HK76" s="749"/>
      <c r="HL76" s="749"/>
      <c r="HM76" s="749"/>
      <c r="HN76" s="749"/>
      <c r="HO76" s="749"/>
      <c r="HP76" s="749"/>
      <c r="HQ76" s="749"/>
      <c r="HR76" s="749"/>
      <c r="HS76" s="749"/>
      <c r="HT76" s="749"/>
      <c r="HU76" s="749"/>
      <c r="HV76" s="749"/>
      <c r="HW76" s="749"/>
      <c r="HX76" s="749"/>
      <c r="HY76" s="749"/>
      <c r="HZ76" s="749"/>
      <c r="IA76" s="749"/>
      <c r="IB76" s="749"/>
      <c r="IC76" s="749"/>
      <c r="ID76" s="749"/>
      <c r="IE76" s="749"/>
      <c r="IF76" s="749"/>
      <c r="IG76" s="749"/>
      <c r="IH76" s="749"/>
      <c r="II76" s="749"/>
      <c r="IJ76" s="749"/>
      <c r="IK76" s="749"/>
      <c r="IL76" s="749"/>
      <c r="IM76" s="749"/>
      <c r="IN76" s="749"/>
    </row>
    <row r="77" spans="1:248" ht="13.5" thickBot="1">
      <c r="A77" s="1" t="s">
        <v>7391</v>
      </c>
      <c r="B77" s="3"/>
      <c r="C77" s="3"/>
      <c r="D77" s="3"/>
      <c r="E77" s="3"/>
      <c r="F77" s="3" t="s">
        <v>197</v>
      </c>
      <c r="G77" s="3"/>
      <c r="H77" s="3">
        <f>SUM(H27:H75)</f>
        <v>54099999.999994799</v>
      </c>
      <c r="I77" s="3"/>
      <c r="J77" s="771"/>
      <c r="K77" s="3"/>
      <c r="L77" s="749"/>
      <c r="M77" s="1" t="s">
        <v>7391</v>
      </c>
      <c r="N77" s="3"/>
      <c r="O77" s="3"/>
      <c r="P77" s="3"/>
      <c r="Q77" s="3" t="s">
        <v>197</v>
      </c>
      <c r="R77" s="3"/>
      <c r="S77" s="3"/>
      <c r="T77" s="771">
        <f>SUM(T27:T75)</f>
        <v>54099999.999994799</v>
      </c>
      <c r="U77" s="3"/>
      <c r="V77" s="3"/>
      <c r="W77" s="3"/>
      <c r="X77" s="771"/>
      <c r="Y77" s="771"/>
      <c r="Z77" s="771"/>
      <c r="AA77" s="771"/>
      <c r="AB77" s="771"/>
      <c r="AC77" s="832"/>
      <c r="AD77" s="832"/>
      <c r="AE77" s="832"/>
      <c r="AF77" s="832"/>
      <c r="AG77" s="832"/>
      <c r="AH77" s="832"/>
      <c r="AI77" s="832"/>
      <c r="AJ77" s="832"/>
      <c r="AK77" s="832"/>
      <c r="AL77" s="832"/>
      <c r="AM77" s="832"/>
      <c r="AN77" s="832"/>
      <c r="AO77" s="832"/>
      <c r="AP77" s="832"/>
      <c r="AQ77" s="831"/>
      <c r="AR77" s="831"/>
      <c r="AS77" s="831"/>
      <c r="AT77" s="831"/>
      <c r="AU77" s="832"/>
      <c r="AV77" s="832"/>
      <c r="AW77" s="832"/>
      <c r="AX77" s="749"/>
      <c r="AY77" s="749"/>
      <c r="AZ77" s="749"/>
      <c r="BA77" s="749"/>
      <c r="BB77" s="749"/>
      <c r="BC77" s="749"/>
      <c r="BD77" s="749"/>
      <c r="BE77" s="749"/>
      <c r="BF77" s="749"/>
      <c r="BG77" s="749"/>
      <c r="BH77" s="749"/>
      <c r="BI77" s="749"/>
      <c r="BJ77" s="749"/>
      <c r="BK77" s="749"/>
      <c r="BL77" s="749"/>
      <c r="BM77" s="749"/>
      <c r="BN77" s="749"/>
      <c r="BO77" s="749"/>
      <c r="BP77" s="749"/>
      <c r="BQ77" s="749"/>
      <c r="BR77" s="749"/>
      <c r="BS77" s="749"/>
      <c r="BT77" s="749"/>
      <c r="BU77" s="749"/>
      <c r="BV77" s="749"/>
      <c r="BW77" s="749"/>
      <c r="BX77" s="749"/>
      <c r="BY77" s="749"/>
      <c r="BZ77" s="749"/>
      <c r="CA77" s="749"/>
      <c r="CB77" s="749"/>
      <c r="CC77" s="749"/>
      <c r="CD77" s="749"/>
      <c r="CE77" s="749"/>
      <c r="CF77" s="749"/>
      <c r="CG77" s="749"/>
      <c r="CH77" s="749"/>
      <c r="CI77" s="749"/>
      <c r="CJ77" s="749"/>
      <c r="CK77" s="749"/>
      <c r="CL77" s="749"/>
      <c r="CM77" s="749"/>
      <c r="CN77" s="749"/>
      <c r="CO77" s="749"/>
      <c r="CP77" s="749"/>
      <c r="CQ77" s="749"/>
      <c r="CR77" s="749"/>
      <c r="CS77" s="749"/>
      <c r="CT77" s="749"/>
      <c r="CU77" s="749"/>
      <c r="CV77" s="749"/>
      <c r="CW77" s="749"/>
      <c r="CX77" s="749"/>
      <c r="CY77" s="749"/>
      <c r="CZ77" s="749"/>
      <c r="DA77" s="749"/>
      <c r="DB77" s="749"/>
      <c r="DC77" s="749"/>
      <c r="DD77" s="749"/>
      <c r="DE77" s="749"/>
      <c r="DF77" s="749"/>
      <c r="DG77" s="749"/>
      <c r="DH77" s="749"/>
      <c r="DI77" s="749"/>
      <c r="DJ77" s="749"/>
      <c r="DK77" s="749"/>
      <c r="DL77" s="749"/>
      <c r="DM77" s="749"/>
      <c r="DN77" s="749"/>
      <c r="DO77" s="749"/>
      <c r="DP77" s="749"/>
      <c r="DQ77" s="749"/>
      <c r="DR77" s="749"/>
      <c r="DS77" s="749"/>
      <c r="DT77" s="749"/>
      <c r="DU77" s="749"/>
      <c r="DV77" s="749"/>
      <c r="DW77" s="749"/>
      <c r="DX77" s="749"/>
      <c r="DY77" s="749"/>
      <c r="DZ77" s="749"/>
      <c r="EA77" s="749"/>
      <c r="EB77" s="749"/>
      <c r="EC77" s="749"/>
      <c r="ED77" s="749"/>
      <c r="EE77" s="749"/>
      <c r="EF77" s="749"/>
      <c r="EG77" s="749"/>
      <c r="EH77" s="749"/>
      <c r="EI77" s="749"/>
      <c r="EJ77" s="749"/>
      <c r="EK77" s="749"/>
      <c r="EL77" s="749"/>
      <c r="EM77" s="749"/>
      <c r="EN77" s="749"/>
      <c r="EO77" s="749"/>
      <c r="EP77" s="749"/>
      <c r="EQ77" s="749"/>
      <c r="ER77" s="749"/>
      <c r="ES77" s="749"/>
      <c r="ET77" s="749"/>
      <c r="EU77" s="749"/>
      <c r="EV77" s="749"/>
      <c r="EW77" s="749"/>
      <c r="EX77" s="749"/>
      <c r="EY77" s="749"/>
      <c r="EZ77" s="749"/>
      <c r="FA77" s="749"/>
      <c r="FB77" s="749"/>
      <c r="FC77" s="749"/>
      <c r="FD77" s="749"/>
      <c r="FE77" s="749"/>
      <c r="FF77" s="749"/>
      <c r="FG77" s="749"/>
      <c r="FH77" s="749"/>
      <c r="FI77" s="749"/>
      <c r="FJ77" s="749"/>
      <c r="FK77" s="749"/>
      <c r="FL77" s="749"/>
      <c r="FM77" s="749"/>
      <c r="FN77" s="749"/>
      <c r="FO77" s="749"/>
      <c r="FP77" s="749"/>
      <c r="FQ77" s="749"/>
      <c r="FR77" s="749"/>
      <c r="FS77" s="749"/>
      <c r="FT77" s="749"/>
      <c r="FU77" s="749"/>
      <c r="FV77" s="749"/>
      <c r="FW77" s="749"/>
      <c r="FX77" s="749"/>
      <c r="FY77" s="749"/>
      <c r="FZ77" s="749"/>
      <c r="GA77" s="749"/>
      <c r="GB77" s="749"/>
      <c r="GC77" s="749"/>
      <c r="GD77" s="749"/>
      <c r="GE77" s="749"/>
      <c r="GF77" s="749"/>
      <c r="GG77" s="749"/>
      <c r="GH77" s="749"/>
      <c r="GI77" s="749"/>
      <c r="GJ77" s="749"/>
      <c r="GK77" s="749"/>
      <c r="GL77" s="749"/>
      <c r="GM77" s="749"/>
      <c r="GN77" s="749"/>
      <c r="GO77" s="749"/>
      <c r="GP77" s="749"/>
      <c r="GQ77" s="749"/>
      <c r="GR77" s="749"/>
      <c r="GS77" s="749"/>
      <c r="GT77" s="749"/>
      <c r="GU77" s="749"/>
      <c r="GV77" s="749"/>
      <c r="GW77" s="749"/>
      <c r="GX77" s="749"/>
      <c r="GY77" s="749"/>
      <c r="GZ77" s="749"/>
      <c r="HA77" s="749"/>
      <c r="HB77" s="749"/>
      <c r="HC77" s="749"/>
      <c r="HD77" s="749"/>
      <c r="HE77" s="749"/>
      <c r="HF77" s="749"/>
      <c r="HG77" s="749"/>
      <c r="HH77" s="749"/>
      <c r="HI77" s="749"/>
      <c r="HJ77" s="749"/>
      <c r="HK77" s="749"/>
      <c r="HL77" s="749"/>
      <c r="HM77" s="749"/>
      <c r="HN77" s="749"/>
      <c r="HO77" s="749"/>
      <c r="HP77" s="749"/>
      <c r="HQ77" s="749"/>
      <c r="HR77" s="749"/>
      <c r="HS77" s="749"/>
      <c r="HT77" s="749"/>
      <c r="HU77" s="749"/>
      <c r="HV77" s="749"/>
      <c r="HW77" s="749"/>
      <c r="HX77" s="749"/>
      <c r="HY77" s="749"/>
      <c r="HZ77" s="749"/>
      <c r="IA77" s="749"/>
      <c r="IB77" s="749"/>
      <c r="IC77" s="749"/>
      <c r="ID77" s="749"/>
      <c r="IE77" s="749"/>
      <c r="IF77" s="749"/>
      <c r="IG77" s="749"/>
      <c r="IH77" s="749"/>
      <c r="II77" s="749"/>
      <c r="IJ77" s="749"/>
      <c r="IK77" s="749"/>
      <c r="IL77" s="749"/>
      <c r="IM77" s="749"/>
      <c r="IN77" s="749"/>
    </row>
    <row r="78" spans="1:248" ht="13.5" thickBot="1">
      <c r="A78" s="3"/>
      <c r="B78" s="3"/>
      <c r="C78" s="3"/>
      <c r="D78" s="3"/>
      <c r="E78" s="3"/>
      <c r="F78" s="3" t="s">
        <v>7392</v>
      </c>
      <c r="G78" s="3"/>
      <c r="H78" s="759">
        <v>3700000</v>
      </c>
      <c r="I78" s="3"/>
      <c r="J78" s="3"/>
      <c r="K78" s="3"/>
      <c r="L78" s="749"/>
      <c r="N78" s="3"/>
      <c r="O78" s="3"/>
      <c r="P78" s="3"/>
      <c r="Q78" s="3" t="s">
        <v>7392</v>
      </c>
      <c r="R78" s="3"/>
      <c r="S78" s="3"/>
      <c r="T78" s="759">
        <v>3700000</v>
      </c>
      <c r="U78" s="771"/>
      <c r="V78" s="3"/>
      <c r="W78" s="771"/>
      <c r="X78" s="3"/>
      <c r="Y78" s="3"/>
      <c r="Z78" s="3"/>
      <c r="AA78" s="3"/>
      <c r="AB78" s="3"/>
      <c r="AC78" s="913" t="s">
        <v>400</v>
      </c>
      <c r="AD78" s="938">
        <f>'TAB 3 Project Cost'!F5</f>
        <v>0</v>
      </c>
      <c r="AE78" s="962"/>
      <c r="AF78" s="963" t="s">
        <v>198</v>
      </c>
      <c r="AG78" s="964"/>
      <c r="AH78" s="965"/>
      <c r="AI78" s="966"/>
      <c r="AJ78" s="967" t="s">
        <v>7553</v>
      </c>
      <c r="AK78" s="863"/>
      <c r="AL78" s="832"/>
      <c r="AM78" s="832"/>
      <c r="AN78" s="832"/>
      <c r="AO78" s="832"/>
      <c r="AP78" s="832"/>
      <c r="AQ78" s="831"/>
      <c r="AR78" s="831"/>
      <c r="AS78" s="831"/>
      <c r="AT78" s="832"/>
      <c r="AU78" s="832"/>
      <c r="AV78" s="832"/>
      <c r="AW78" s="832"/>
      <c r="AX78" s="749"/>
      <c r="AY78" s="749"/>
      <c r="AZ78" s="749"/>
      <c r="BA78" s="749"/>
      <c r="BB78" s="749"/>
      <c r="BC78" s="749"/>
      <c r="BD78" s="749"/>
      <c r="BE78" s="749"/>
      <c r="BF78" s="749"/>
      <c r="BG78" s="749"/>
      <c r="BH78" s="749"/>
      <c r="BI78" s="749"/>
      <c r="BJ78" s="749"/>
      <c r="BK78" s="749"/>
      <c r="BL78" s="749"/>
      <c r="BM78" s="749"/>
      <c r="BN78" s="749"/>
      <c r="BO78" s="749"/>
      <c r="BP78" s="749"/>
      <c r="BQ78" s="749"/>
      <c r="BR78" s="749"/>
      <c r="BS78" s="749"/>
      <c r="BT78" s="749"/>
      <c r="BU78" s="749"/>
      <c r="BV78" s="749"/>
      <c r="BW78" s="749"/>
      <c r="BX78" s="749"/>
      <c r="BY78" s="749"/>
      <c r="BZ78" s="749"/>
      <c r="CA78" s="749"/>
      <c r="CB78" s="749"/>
      <c r="CC78" s="749"/>
      <c r="CD78" s="749"/>
      <c r="CE78" s="749"/>
      <c r="CF78" s="749"/>
      <c r="CG78" s="749"/>
      <c r="CH78" s="749"/>
      <c r="CI78" s="749"/>
      <c r="CJ78" s="749"/>
      <c r="CK78" s="749"/>
      <c r="CL78" s="749"/>
      <c r="CM78" s="749"/>
      <c r="CN78" s="749"/>
      <c r="CO78" s="749"/>
      <c r="CP78" s="749"/>
      <c r="CQ78" s="749"/>
      <c r="CR78" s="749"/>
      <c r="CS78" s="749"/>
      <c r="CT78" s="749"/>
      <c r="CU78" s="749"/>
      <c r="CV78" s="749"/>
      <c r="CW78" s="749"/>
      <c r="CX78" s="749"/>
      <c r="CY78" s="749"/>
      <c r="CZ78" s="749"/>
      <c r="DA78" s="749"/>
      <c r="DB78" s="749"/>
      <c r="DC78" s="749"/>
      <c r="DD78" s="749"/>
      <c r="DE78" s="749"/>
      <c r="DF78" s="749"/>
      <c r="DG78" s="749"/>
      <c r="DH78" s="749"/>
      <c r="DI78" s="749"/>
      <c r="DJ78" s="749"/>
      <c r="DK78" s="749"/>
      <c r="DL78" s="749"/>
      <c r="DM78" s="749"/>
      <c r="DN78" s="749"/>
      <c r="DO78" s="749"/>
      <c r="DP78" s="749"/>
      <c r="DQ78" s="749"/>
      <c r="DR78" s="749"/>
      <c r="DS78" s="749"/>
      <c r="DT78" s="749"/>
      <c r="DU78" s="749"/>
      <c r="DV78" s="749"/>
      <c r="DW78" s="749"/>
      <c r="DX78" s="749"/>
      <c r="DY78" s="749"/>
      <c r="DZ78" s="749"/>
      <c r="EA78" s="749"/>
      <c r="EB78" s="749"/>
      <c r="EC78" s="749"/>
      <c r="ED78" s="749"/>
      <c r="EE78" s="749"/>
      <c r="EF78" s="749"/>
      <c r="EG78" s="749"/>
      <c r="EH78" s="749"/>
      <c r="EI78" s="749"/>
      <c r="EJ78" s="749"/>
      <c r="EK78" s="749"/>
      <c r="EL78" s="749"/>
      <c r="EM78" s="749"/>
      <c r="EN78" s="749"/>
      <c r="EO78" s="749"/>
      <c r="EP78" s="749"/>
      <c r="EQ78" s="749"/>
      <c r="ER78" s="749"/>
      <c r="ES78" s="749"/>
      <c r="ET78" s="749"/>
      <c r="EU78" s="749"/>
      <c r="EV78" s="749"/>
      <c r="EW78" s="749"/>
      <c r="EX78" s="749"/>
      <c r="EY78" s="749"/>
      <c r="EZ78" s="749"/>
      <c r="FA78" s="749"/>
      <c r="FB78" s="749"/>
      <c r="FC78" s="749"/>
      <c r="FD78" s="749"/>
      <c r="FE78" s="749"/>
      <c r="FF78" s="749"/>
      <c r="FG78" s="749"/>
      <c r="FH78" s="749"/>
      <c r="FI78" s="749"/>
      <c r="FJ78" s="749"/>
      <c r="FK78" s="749"/>
      <c r="FL78" s="749"/>
      <c r="FM78" s="749"/>
      <c r="FN78" s="749"/>
      <c r="FO78" s="749"/>
      <c r="FP78" s="749"/>
      <c r="FQ78" s="749"/>
      <c r="FR78" s="749"/>
      <c r="FS78" s="749"/>
      <c r="FT78" s="749"/>
      <c r="FU78" s="749"/>
      <c r="FV78" s="749"/>
      <c r="FW78" s="749"/>
      <c r="FX78" s="749"/>
      <c r="FY78" s="749"/>
      <c r="FZ78" s="749"/>
      <c r="GA78" s="749"/>
      <c r="GB78" s="749"/>
      <c r="GC78" s="749"/>
      <c r="GD78" s="749"/>
      <c r="GE78" s="749"/>
      <c r="GF78" s="749"/>
      <c r="GG78" s="749"/>
      <c r="GH78" s="749"/>
      <c r="GI78" s="749"/>
      <c r="GJ78" s="749"/>
      <c r="GK78" s="749"/>
      <c r="GL78" s="749"/>
      <c r="GM78" s="749"/>
      <c r="GN78" s="749"/>
      <c r="GO78" s="749"/>
      <c r="GP78" s="749"/>
      <c r="GQ78" s="749"/>
      <c r="GR78" s="749"/>
      <c r="GS78" s="749"/>
      <c r="GT78" s="749"/>
      <c r="GU78" s="749"/>
      <c r="GV78" s="749"/>
      <c r="GW78" s="749"/>
      <c r="GX78" s="749"/>
      <c r="GY78" s="749"/>
      <c r="GZ78" s="749"/>
      <c r="HA78" s="749"/>
      <c r="HB78" s="749"/>
      <c r="HC78" s="749"/>
      <c r="HD78" s="749"/>
      <c r="HE78" s="749"/>
      <c r="HF78" s="749"/>
      <c r="HG78" s="749"/>
      <c r="HH78" s="749"/>
      <c r="HI78" s="749"/>
      <c r="HJ78" s="749"/>
      <c r="HK78" s="749"/>
      <c r="HL78" s="749"/>
      <c r="HM78" s="749"/>
      <c r="HN78" s="749"/>
      <c r="HO78" s="749"/>
      <c r="HP78" s="749"/>
      <c r="HQ78" s="749"/>
      <c r="HR78" s="749"/>
      <c r="HS78" s="749"/>
      <c r="HT78" s="749"/>
      <c r="HU78" s="749"/>
      <c r="HV78" s="749"/>
      <c r="HW78" s="749"/>
      <c r="HX78" s="749"/>
      <c r="HY78" s="749"/>
      <c r="HZ78" s="749"/>
      <c r="IA78" s="749"/>
      <c r="IB78" s="749"/>
      <c r="IC78" s="749"/>
      <c r="ID78" s="749"/>
      <c r="IE78" s="749"/>
      <c r="IF78" s="749"/>
      <c r="IG78" s="749"/>
      <c r="IH78" s="749"/>
      <c r="II78" s="749"/>
      <c r="IJ78" s="749"/>
      <c r="IK78" s="749"/>
      <c r="IL78" s="749"/>
      <c r="IM78" s="749"/>
      <c r="IN78" s="749"/>
    </row>
    <row r="79" spans="1:248" ht="12.75">
      <c r="A79" s="3"/>
      <c r="B79" s="3"/>
      <c r="C79" s="3"/>
      <c r="D79" s="3"/>
      <c r="E79" s="3"/>
      <c r="F79" s="3" t="s">
        <v>7393</v>
      </c>
      <c r="G79" s="3"/>
      <c r="H79" s="789">
        <f>SUM(H78-H77)</f>
        <v>-50399999.999994799</v>
      </c>
      <c r="I79" s="3"/>
      <c r="J79" s="3"/>
      <c r="K79" s="3"/>
      <c r="L79" s="749"/>
      <c r="M79" s="3"/>
      <c r="N79" s="3"/>
      <c r="O79" s="3"/>
      <c r="P79" s="3"/>
      <c r="Q79" s="3" t="s">
        <v>7393</v>
      </c>
      <c r="R79" s="3"/>
      <c r="S79" s="3"/>
      <c r="T79" s="789">
        <f>SUM(T78-T77)</f>
        <v>-50399999.999994799</v>
      </c>
      <c r="U79" s="3"/>
      <c r="V79" s="3"/>
      <c r="W79" s="3"/>
      <c r="X79" s="3"/>
      <c r="Y79" s="3"/>
      <c r="Z79" s="3"/>
      <c r="AA79" s="3"/>
      <c r="AB79" s="3"/>
      <c r="AE79" s="854"/>
      <c r="AF79" s="946" t="s">
        <v>6703</v>
      </c>
      <c r="AG79" s="947">
        <f>'TAB 4 Project Funding'!F19</f>
        <v>0</v>
      </c>
      <c r="AH79" s="948"/>
      <c r="AI79" s="847"/>
      <c r="AJ79" s="949" t="str">
        <f>'TAB 4 Project Funding'!C11</f>
        <v>External - Gifts</v>
      </c>
      <c r="AK79" s="950">
        <f>'TAB 4 Project Funding'!F11</f>
        <v>0</v>
      </c>
      <c r="AL79" s="834"/>
      <c r="AM79" s="834"/>
      <c r="AN79" s="832"/>
      <c r="AO79" s="832"/>
      <c r="AP79" s="832"/>
      <c r="AQ79" s="831"/>
      <c r="AR79" s="831"/>
      <c r="AS79" s="831"/>
      <c r="AT79" s="832"/>
      <c r="AU79" s="832"/>
      <c r="AV79" s="832"/>
      <c r="AW79" s="832"/>
      <c r="AX79" s="749"/>
      <c r="AY79" s="749"/>
      <c r="AZ79" s="749"/>
      <c r="BA79" s="749"/>
      <c r="BB79" s="749"/>
      <c r="BC79" s="749"/>
      <c r="BD79" s="749"/>
      <c r="BE79" s="749"/>
      <c r="BF79" s="749"/>
      <c r="BG79" s="749"/>
      <c r="BH79" s="749"/>
      <c r="BI79" s="749"/>
      <c r="BJ79" s="749"/>
      <c r="BK79" s="749"/>
      <c r="BL79" s="749"/>
      <c r="BM79" s="749"/>
      <c r="BN79" s="749"/>
      <c r="BO79" s="749"/>
      <c r="BP79" s="749"/>
      <c r="BQ79" s="749"/>
      <c r="BR79" s="749"/>
      <c r="BS79" s="749"/>
      <c r="BT79" s="749"/>
      <c r="BU79" s="749"/>
      <c r="BV79" s="749"/>
      <c r="BW79" s="749"/>
      <c r="BX79" s="749"/>
      <c r="BY79" s="749"/>
      <c r="BZ79" s="749"/>
      <c r="CA79" s="749"/>
      <c r="CB79" s="749"/>
      <c r="CC79" s="749"/>
      <c r="CD79" s="749"/>
      <c r="CE79" s="749"/>
      <c r="CF79" s="749"/>
      <c r="CG79" s="749"/>
      <c r="CH79" s="749"/>
      <c r="CI79" s="749"/>
      <c r="CJ79" s="749"/>
      <c r="CK79" s="749"/>
      <c r="CL79" s="749"/>
      <c r="CM79" s="749"/>
      <c r="CN79" s="749"/>
      <c r="CO79" s="749"/>
      <c r="CP79" s="749"/>
      <c r="CQ79" s="749"/>
      <c r="CR79" s="749"/>
      <c r="CS79" s="749"/>
      <c r="CT79" s="749"/>
      <c r="CU79" s="749"/>
      <c r="CV79" s="749"/>
      <c r="CW79" s="749"/>
      <c r="CX79" s="749"/>
      <c r="CY79" s="749"/>
      <c r="CZ79" s="749"/>
      <c r="DA79" s="749"/>
      <c r="DB79" s="749"/>
      <c r="DC79" s="749"/>
      <c r="DD79" s="749"/>
      <c r="DE79" s="749"/>
      <c r="DF79" s="749"/>
      <c r="DG79" s="749"/>
      <c r="DH79" s="749"/>
      <c r="DI79" s="749"/>
      <c r="DJ79" s="749"/>
      <c r="DK79" s="749"/>
      <c r="DL79" s="749"/>
      <c r="DM79" s="749"/>
      <c r="DN79" s="749"/>
      <c r="DO79" s="749"/>
      <c r="DP79" s="749"/>
      <c r="DQ79" s="749"/>
      <c r="DR79" s="749"/>
      <c r="DS79" s="749"/>
      <c r="DT79" s="749"/>
      <c r="DU79" s="749"/>
      <c r="DV79" s="749"/>
      <c r="DW79" s="749"/>
      <c r="DX79" s="749"/>
      <c r="DY79" s="749"/>
      <c r="DZ79" s="749"/>
      <c r="EA79" s="749"/>
      <c r="EB79" s="749"/>
      <c r="EC79" s="749"/>
      <c r="ED79" s="749"/>
      <c r="EE79" s="749"/>
      <c r="EF79" s="749"/>
      <c r="EG79" s="749"/>
      <c r="EH79" s="749"/>
      <c r="EI79" s="749"/>
      <c r="EJ79" s="749"/>
      <c r="EK79" s="749"/>
      <c r="EL79" s="749"/>
      <c r="EM79" s="749"/>
      <c r="EN79" s="749"/>
      <c r="EO79" s="749"/>
      <c r="EP79" s="749"/>
      <c r="EQ79" s="749"/>
      <c r="ER79" s="749"/>
      <c r="ES79" s="749"/>
      <c r="ET79" s="749"/>
      <c r="EU79" s="749"/>
      <c r="EV79" s="749"/>
      <c r="EW79" s="749"/>
      <c r="EX79" s="749"/>
      <c r="EY79" s="749"/>
      <c r="EZ79" s="749"/>
      <c r="FA79" s="749"/>
      <c r="FB79" s="749"/>
      <c r="FC79" s="749"/>
      <c r="FD79" s="749"/>
      <c r="FE79" s="749"/>
      <c r="FF79" s="749"/>
      <c r="FG79" s="749"/>
      <c r="FH79" s="749"/>
      <c r="FI79" s="749"/>
      <c r="FJ79" s="749"/>
      <c r="FK79" s="749"/>
      <c r="FL79" s="749"/>
      <c r="FM79" s="749"/>
      <c r="FN79" s="749"/>
      <c r="FO79" s="749"/>
      <c r="FP79" s="749"/>
      <c r="FQ79" s="749"/>
      <c r="FR79" s="749"/>
      <c r="FS79" s="749"/>
      <c r="FT79" s="749"/>
      <c r="FU79" s="749"/>
      <c r="FV79" s="749"/>
      <c r="FW79" s="749"/>
      <c r="FX79" s="749"/>
      <c r="FY79" s="749"/>
      <c r="FZ79" s="749"/>
      <c r="GA79" s="749"/>
      <c r="GB79" s="749"/>
      <c r="GC79" s="749"/>
      <c r="GD79" s="749"/>
      <c r="GE79" s="749"/>
      <c r="GF79" s="749"/>
      <c r="GG79" s="749"/>
      <c r="GH79" s="749"/>
      <c r="GI79" s="749"/>
      <c r="GJ79" s="749"/>
      <c r="GK79" s="749"/>
      <c r="GL79" s="749"/>
      <c r="GM79" s="749"/>
      <c r="GN79" s="749"/>
      <c r="GO79" s="749"/>
      <c r="GP79" s="749"/>
      <c r="GQ79" s="749"/>
      <c r="GR79" s="749"/>
      <c r="GS79" s="749"/>
      <c r="GT79" s="749"/>
      <c r="GU79" s="749"/>
      <c r="GV79" s="749"/>
      <c r="GW79" s="749"/>
      <c r="GX79" s="749"/>
      <c r="GY79" s="749"/>
      <c r="GZ79" s="749"/>
      <c r="HA79" s="749"/>
      <c r="HB79" s="749"/>
      <c r="HC79" s="749"/>
      <c r="HD79" s="749"/>
      <c r="HE79" s="749"/>
      <c r="HF79" s="749"/>
      <c r="HG79" s="749"/>
      <c r="HH79" s="749"/>
      <c r="HI79" s="749"/>
      <c r="HJ79" s="749"/>
      <c r="HK79" s="749"/>
      <c r="HL79" s="749"/>
      <c r="HM79" s="749"/>
      <c r="HN79" s="749"/>
      <c r="HO79" s="749"/>
      <c r="HP79" s="749"/>
      <c r="HQ79" s="749"/>
      <c r="HR79" s="749"/>
      <c r="HS79" s="749"/>
      <c r="HT79" s="749"/>
      <c r="HU79" s="749"/>
      <c r="HV79" s="749"/>
      <c r="HW79" s="749"/>
      <c r="HX79" s="749"/>
      <c r="HY79" s="749"/>
      <c r="HZ79" s="749"/>
      <c r="IA79" s="749"/>
      <c r="IB79" s="749"/>
      <c r="IC79" s="749"/>
      <c r="ID79" s="749"/>
      <c r="IE79" s="749"/>
      <c r="IF79" s="749"/>
      <c r="IG79" s="749"/>
      <c r="IH79" s="749"/>
      <c r="II79" s="749"/>
      <c r="IJ79" s="749"/>
      <c r="IK79" s="749"/>
      <c r="IL79" s="749"/>
      <c r="IM79" s="749"/>
      <c r="IN79" s="749"/>
    </row>
    <row r="80" spans="1:248" ht="12.75" customHeight="1">
      <c r="A80" s="3"/>
      <c r="B80" s="3" t="s">
        <v>7394</v>
      </c>
      <c r="C80" s="3"/>
      <c r="D80" s="3"/>
      <c r="E80" s="3"/>
      <c r="F80" s="3"/>
      <c r="G80" s="3"/>
      <c r="H80" s="790"/>
      <c r="I80" s="3"/>
      <c r="J80" s="3"/>
      <c r="K80" s="3"/>
      <c r="L80" s="749"/>
      <c r="M80" s="3"/>
      <c r="N80" s="3" t="s">
        <v>7394</v>
      </c>
      <c r="O80" s="3"/>
      <c r="P80" s="3"/>
      <c r="Q80" s="3"/>
      <c r="R80" s="3"/>
      <c r="S80" s="3"/>
      <c r="T80" s="790"/>
      <c r="U80" s="790"/>
      <c r="V80" s="3"/>
      <c r="W80" s="3"/>
      <c r="X80" s="3"/>
      <c r="Y80" s="3"/>
      <c r="Z80" s="3"/>
      <c r="AA80" s="3"/>
      <c r="AB80" s="3"/>
      <c r="AE80" s="850"/>
      <c r="AF80" s="951" t="str">
        <f>_xlfn.CONCAT('TAB 4 Project Funding'!D28,'TAB 4 Project Funding'!E28," GO Bonds")</f>
        <v xml:space="preserve"> GO Bonds</v>
      </c>
      <c r="AG80" s="885" t="str">
        <f>'TAB 4 Project Funding'!F28</f>
        <v/>
      </c>
      <c r="AH80" s="952"/>
      <c r="AI80" s="830"/>
      <c r="AJ80" s="953" t="str">
        <f>'TAB 4 Project Funding'!C12</f>
        <v>External - Affiliate Organization</v>
      </c>
      <c r="AK80" s="954">
        <f>'TAB 4 Project Funding'!F12</f>
        <v>0</v>
      </c>
      <c r="AL80" s="832"/>
      <c r="AM80" s="832"/>
      <c r="AN80" s="832"/>
      <c r="AO80" s="832"/>
      <c r="AP80" s="832"/>
      <c r="AQ80" s="831"/>
      <c r="AR80" s="831"/>
      <c r="AS80" s="831"/>
      <c r="AT80" s="832"/>
      <c r="AU80" s="832"/>
      <c r="AV80" s="832"/>
      <c r="AW80" s="832"/>
      <c r="AX80" s="749"/>
      <c r="AY80" s="749"/>
      <c r="AZ80" s="749"/>
      <c r="BA80" s="749"/>
      <c r="BB80" s="749"/>
      <c r="BC80" s="749"/>
      <c r="BD80" s="749"/>
      <c r="BE80" s="749"/>
      <c r="BF80" s="749"/>
      <c r="BG80" s="749"/>
      <c r="BH80" s="749"/>
      <c r="BI80" s="749"/>
      <c r="BJ80" s="749"/>
      <c r="BK80" s="749"/>
      <c r="BL80" s="749"/>
      <c r="BM80" s="749"/>
      <c r="BN80" s="749"/>
      <c r="BO80" s="749"/>
      <c r="BP80" s="749"/>
      <c r="BQ80" s="749"/>
      <c r="BR80" s="749"/>
      <c r="BS80" s="749"/>
      <c r="BT80" s="749"/>
      <c r="BU80" s="749"/>
      <c r="BV80" s="749"/>
      <c r="BW80" s="749"/>
      <c r="BX80" s="749"/>
      <c r="BY80" s="749"/>
      <c r="BZ80" s="749"/>
      <c r="CA80" s="749"/>
      <c r="CB80" s="749"/>
      <c r="CC80" s="749"/>
      <c r="CD80" s="749"/>
      <c r="CE80" s="749"/>
      <c r="CF80" s="749"/>
      <c r="CG80" s="749"/>
      <c r="CH80" s="749"/>
      <c r="CI80" s="749"/>
      <c r="CJ80" s="749"/>
      <c r="CK80" s="749"/>
      <c r="CL80" s="749"/>
      <c r="CM80" s="749"/>
      <c r="CN80" s="749"/>
      <c r="CO80" s="749"/>
      <c r="CP80" s="749"/>
      <c r="CQ80" s="749"/>
      <c r="CR80" s="749"/>
      <c r="CS80" s="749"/>
      <c r="CT80" s="749"/>
      <c r="CU80" s="749"/>
      <c r="CV80" s="749"/>
      <c r="CW80" s="749"/>
      <c r="CX80" s="749"/>
      <c r="CY80" s="749"/>
      <c r="CZ80" s="749"/>
      <c r="DA80" s="749"/>
      <c r="DB80" s="749"/>
      <c r="DC80" s="749"/>
      <c r="DD80" s="749"/>
      <c r="DE80" s="749"/>
      <c r="DF80" s="749"/>
      <c r="DG80" s="749"/>
      <c r="DH80" s="749"/>
      <c r="DI80" s="749"/>
      <c r="DJ80" s="749"/>
      <c r="DK80" s="749"/>
      <c r="DL80" s="749"/>
      <c r="DM80" s="749"/>
      <c r="DN80" s="749"/>
      <c r="DO80" s="749"/>
      <c r="DP80" s="749"/>
      <c r="DQ80" s="749"/>
      <c r="DR80" s="749"/>
      <c r="DS80" s="749"/>
      <c r="DT80" s="749"/>
      <c r="DU80" s="749"/>
      <c r="DV80" s="749"/>
      <c r="DW80" s="749"/>
      <c r="DX80" s="749"/>
      <c r="DY80" s="749"/>
      <c r="DZ80" s="749"/>
      <c r="EA80" s="749"/>
      <c r="EB80" s="749"/>
      <c r="EC80" s="749"/>
      <c r="ED80" s="749"/>
      <c r="EE80" s="749"/>
      <c r="EF80" s="749"/>
      <c r="EG80" s="749"/>
      <c r="EH80" s="749"/>
      <c r="EI80" s="749"/>
      <c r="EJ80" s="749"/>
      <c r="EK80" s="749"/>
      <c r="EL80" s="749"/>
      <c r="EM80" s="749"/>
      <c r="EN80" s="749"/>
      <c r="EO80" s="749"/>
      <c r="EP80" s="749"/>
      <c r="EQ80" s="749"/>
      <c r="ER80" s="749"/>
      <c r="ES80" s="749"/>
      <c r="ET80" s="749"/>
      <c r="EU80" s="749"/>
      <c r="EV80" s="749"/>
      <c r="EW80" s="749"/>
      <c r="EX80" s="749"/>
      <c r="EY80" s="749"/>
      <c r="EZ80" s="749"/>
      <c r="FA80" s="749"/>
      <c r="FB80" s="749"/>
      <c r="FC80" s="749"/>
      <c r="FD80" s="749"/>
      <c r="FE80" s="749"/>
      <c r="FF80" s="749"/>
      <c r="FG80" s="749"/>
      <c r="FH80" s="749"/>
      <c r="FI80" s="749"/>
      <c r="FJ80" s="749"/>
      <c r="FK80" s="749"/>
      <c r="FL80" s="749"/>
      <c r="FM80" s="749"/>
      <c r="FN80" s="749"/>
      <c r="FO80" s="749"/>
      <c r="FP80" s="749"/>
      <c r="FQ80" s="749"/>
      <c r="FR80" s="749"/>
      <c r="FS80" s="749"/>
      <c r="FT80" s="749"/>
      <c r="FU80" s="749"/>
      <c r="FV80" s="749"/>
      <c r="FW80" s="749"/>
      <c r="FX80" s="749"/>
      <c r="FY80" s="749"/>
      <c r="FZ80" s="749"/>
      <c r="GA80" s="749"/>
      <c r="GB80" s="749"/>
      <c r="GC80" s="749"/>
      <c r="GD80" s="749"/>
      <c r="GE80" s="749"/>
      <c r="GF80" s="749"/>
      <c r="GG80" s="749"/>
      <c r="GH80" s="749"/>
      <c r="GI80" s="749"/>
      <c r="GJ80" s="749"/>
      <c r="GK80" s="749"/>
      <c r="GL80" s="749"/>
      <c r="GM80" s="749"/>
      <c r="GN80" s="749"/>
      <c r="GO80" s="749"/>
      <c r="GP80" s="749"/>
      <c r="GQ80" s="749"/>
      <c r="GR80" s="749"/>
      <c r="GS80" s="749"/>
      <c r="GT80" s="749"/>
      <c r="GU80" s="749"/>
      <c r="GV80" s="749"/>
      <c r="GW80" s="749"/>
      <c r="GX80" s="749"/>
      <c r="GY80" s="749"/>
      <c r="GZ80" s="749"/>
      <c r="HA80" s="749"/>
      <c r="HB80" s="749"/>
      <c r="HC80" s="749"/>
      <c r="HD80" s="749"/>
      <c r="HE80" s="749"/>
      <c r="HF80" s="749"/>
      <c r="HG80" s="749"/>
      <c r="HH80" s="749"/>
      <c r="HI80" s="749"/>
      <c r="HJ80" s="749"/>
      <c r="HK80" s="749"/>
      <c r="HL80" s="749"/>
      <c r="HM80" s="749"/>
      <c r="HN80" s="749"/>
      <c r="HO80" s="749"/>
      <c r="HP80" s="749"/>
      <c r="HQ80" s="749"/>
      <c r="HR80" s="749"/>
      <c r="HS80" s="749"/>
      <c r="HT80" s="749"/>
      <c r="HU80" s="749"/>
      <c r="HV80" s="749"/>
      <c r="HW80" s="749"/>
      <c r="HX80" s="749"/>
      <c r="HY80" s="749"/>
      <c r="HZ80" s="749"/>
      <c r="IA80" s="749"/>
      <c r="IB80" s="749"/>
      <c r="IC80" s="749"/>
      <c r="ID80" s="749"/>
      <c r="IE80" s="749"/>
      <c r="IF80" s="749"/>
      <c r="IG80" s="749"/>
      <c r="IH80" s="749"/>
      <c r="II80" s="749"/>
      <c r="IJ80" s="749"/>
      <c r="IK80" s="749"/>
      <c r="IL80" s="749"/>
      <c r="IM80" s="749"/>
      <c r="IN80" s="749"/>
    </row>
    <row r="81" spans="1:248" ht="12.75">
      <c r="A81"/>
      <c r="B81" s="2"/>
      <c r="C81" s="2"/>
      <c r="D81" s="3" t="s">
        <v>7395</v>
      </c>
      <c r="E81" s="767">
        <v>2200000</v>
      </c>
      <c r="F81" s="1"/>
      <c r="G81" s="2"/>
      <c r="H81" s="2"/>
      <c r="I81" s="3"/>
      <c r="J81" s="3"/>
      <c r="K81" s="3"/>
      <c r="L81" s="749"/>
      <c r="M81" s="3"/>
      <c r="N81" s="2"/>
      <c r="O81" s="2"/>
      <c r="P81" s="3" t="s">
        <v>7395</v>
      </c>
      <c r="Q81" s="767">
        <v>2200000</v>
      </c>
      <c r="R81" s="2"/>
      <c r="S81" s="2"/>
      <c r="T81" s="2"/>
      <c r="U81" s="790"/>
      <c r="V81" s="3"/>
      <c r="W81" s="3"/>
      <c r="AE81" s="861"/>
      <c r="AF81" s="951" t="str">
        <f>_xlfn.CONCAT('TAB 4 Project Funding'!D29,'TAB 4 Project Funding'!E29," GO Bonds")</f>
        <v xml:space="preserve"> GO Bonds</v>
      </c>
      <c r="AG81" s="885" t="str">
        <f>'TAB 4 Project Funding'!F29</f>
        <v/>
      </c>
      <c r="AH81" s="952"/>
      <c r="AI81" s="830"/>
      <c r="AJ81" s="953" t="str">
        <f>'TAB 4 Project Funding'!C13</f>
        <v>Institution - Appropriated Funds</v>
      </c>
      <c r="AK81" s="954">
        <f>'TAB 4 Project Funding'!F13</f>
        <v>0</v>
      </c>
      <c r="AL81" s="832"/>
      <c r="AM81" s="832"/>
      <c r="AN81" s="832"/>
      <c r="AO81" s="832"/>
      <c r="AP81" s="832"/>
      <c r="AQ81" s="831"/>
      <c r="AR81" s="831"/>
      <c r="AS81" s="831"/>
      <c r="AT81" s="832"/>
      <c r="AU81" s="832"/>
      <c r="AV81" s="832"/>
      <c r="AW81" s="832"/>
      <c r="AX81" s="749"/>
      <c r="AY81" s="749"/>
      <c r="AZ81" s="749"/>
      <c r="BA81" s="749"/>
      <c r="BB81" s="749"/>
      <c r="BC81" s="749"/>
      <c r="BD81" s="749"/>
      <c r="BE81" s="749"/>
      <c r="BF81" s="749"/>
      <c r="BG81" s="749"/>
      <c r="BH81" s="749"/>
      <c r="BI81" s="749"/>
      <c r="BJ81" s="749"/>
      <c r="BK81" s="749"/>
      <c r="BL81" s="749"/>
      <c r="BM81" s="749"/>
      <c r="BN81" s="749"/>
      <c r="BO81" s="749"/>
      <c r="BP81" s="749"/>
      <c r="BQ81" s="749"/>
      <c r="BR81" s="749"/>
      <c r="BS81" s="749"/>
      <c r="BT81" s="749"/>
      <c r="BU81" s="749"/>
      <c r="BV81" s="749"/>
      <c r="BW81" s="749"/>
      <c r="BX81" s="749"/>
      <c r="BY81" s="749"/>
      <c r="BZ81" s="749"/>
      <c r="CA81" s="749"/>
      <c r="CB81" s="749"/>
      <c r="CC81" s="749"/>
      <c r="CD81" s="749"/>
      <c r="CE81" s="749"/>
      <c r="CF81" s="749"/>
      <c r="CG81" s="749"/>
      <c r="CH81" s="749"/>
      <c r="CI81" s="749"/>
      <c r="CJ81" s="749"/>
      <c r="CK81" s="749"/>
      <c r="CL81" s="749"/>
      <c r="CM81" s="749"/>
      <c r="CN81" s="749"/>
      <c r="CO81" s="749"/>
      <c r="CP81" s="749"/>
      <c r="CQ81" s="749"/>
      <c r="CR81" s="749"/>
      <c r="CS81" s="749"/>
      <c r="CT81" s="749"/>
      <c r="CU81" s="749"/>
      <c r="CV81" s="749"/>
      <c r="CW81" s="749"/>
      <c r="CX81" s="749"/>
      <c r="CY81" s="749"/>
      <c r="CZ81" s="749"/>
      <c r="DA81" s="749"/>
      <c r="DB81" s="749"/>
      <c r="DC81" s="749"/>
      <c r="DD81" s="749"/>
      <c r="DE81" s="749"/>
      <c r="DF81" s="749"/>
      <c r="DG81" s="749"/>
      <c r="DH81" s="749"/>
      <c r="DI81" s="749"/>
      <c r="DJ81" s="749"/>
      <c r="DK81" s="749"/>
      <c r="DL81" s="749"/>
      <c r="DM81" s="749"/>
      <c r="DN81" s="749"/>
      <c r="DO81" s="749"/>
      <c r="DP81" s="749"/>
      <c r="DQ81" s="749"/>
      <c r="DR81" s="749"/>
      <c r="DS81" s="749"/>
      <c r="DT81" s="749"/>
      <c r="DU81" s="749"/>
      <c r="DV81" s="749"/>
      <c r="DW81" s="749"/>
      <c r="DX81" s="749"/>
      <c r="DY81" s="749"/>
      <c r="DZ81" s="749"/>
      <c r="EA81" s="749"/>
      <c r="EB81" s="749"/>
      <c r="EC81" s="749"/>
      <c r="ED81" s="749"/>
      <c r="EE81" s="749"/>
      <c r="EF81" s="749"/>
      <c r="EG81" s="749"/>
      <c r="EH81" s="749"/>
      <c r="EI81" s="749"/>
      <c r="EJ81" s="749"/>
      <c r="EK81" s="749"/>
      <c r="EL81" s="749"/>
      <c r="EM81" s="749"/>
      <c r="EN81" s="749"/>
      <c r="EO81" s="749"/>
      <c r="EP81" s="749"/>
      <c r="EQ81" s="749"/>
      <c r="ER81" s="749"/>
      <c r="ES81" s="749"/>
      <c r="ET81" s="749"/>
      <c r="EU81" s="749"/>
      <c r="EV81" s="749"/>
      <c r="EW81" s="749"/>
      <c r="EX81" s="749"/>
      <c r="EY81" s="749"/>
      <c r="EZ81" s="749"/>
      <c r="FA81" s="749"/>
      <c r="FB81" s="749"/>
      <c r="FC81" s="749"/>
      <c r="FD81" s="749"/>
      <c r="FE81" s="749"/>
      <c r="FF81" s="749"/>
      <c r="FG81" s="749"/>
      <c r="FH81" s="749"/>
      <c r="FI81" s="749"/>
      <c r="FJ81" s="749"/>
      <c r="FK81" s="749"/>
      <c r="FL81" s="749"/>
      <c r="FM81" s="749"/>
      <c r="FN81" s="749"/>
      <c r="FO81" s="749"/>
      <c r="FP81" s="749"/>
      <c r="FQ81" s="749"/>
      <c r="FR81" s="749"/>
      <c r="FS81" s="749"/>
      <c r="FT81" s="749"/>
      <c r="FU81" s="749"/>
      <c r="FV81" s="749"/>
      <c r="FW81" s="749"/>
      <c r="FX81" s="749"/>
      <c r="FY81" s="749"/>
      <c r="FZ81" s="749"/>
      <c r="GA81" s="749"/>
      <c r="GB81" s="749"/>
      <c r="GC81" s="749"/>
      <c r="GD81" s="749"/>
      <c r="GE81" s="749"/>
      <c r="GF81" s="749"/>
      <c r="GG81" s="749"/>
      <c r="GH81" s="749"/>
      <c r="GI81" s="749"/>
      <c r="GJ81" s="749"/>
      <c r="GK81" s="749"/>
      <c r="GL81" s="749"/>
      <c r="GM81" s="749"/>
      <c r="GN81" s="749"/>
      <c r="GO81" s="749"/>
      <c r="GP81" s="749"/>
      <c r="GQ81" s="749"/>
      <c r="GR81" s="749"/>
      <c r="GS81" s="749"/>
      <c r="GT81" s="749"/>
      <c r="GU81" s="749"/>
      <c r="GV81" s="749"/>
      <c r="GW81" s="749"/>
      <c r="GX81" s="749"/>
      <c r="GY81" s="749"/>
      <c r="GZ81" s="749"/>
      <c r="HA81" s="749"/>
      <c r="HB81" s="749"/>
      <c r="HC81" s="749"/>
      <c r="HD81" s="749"/>
      <c r="HE81" s="749"/>
      <c r="HF81" s="749"/>
      <c r="HG81" s="749"/>
      <c r="HH81" s="749"/>
      <c r="HI81" s="749"/>
      <c r="HJ81" s="749"/>
      <c r="HK81" s="749"/>
      <c r="HL81" s="749"/>
      <c r="HM81" s="749"/>
      <c r="HN81" s="749"/>
      <c r="HO81" s="749"/>
      <c r="HP81" s="749"/>
      <c r="HQ81" s="749"/>
      <c r="HR81" s="749"/>
      <c r="HS81" s="749"/>
      <c r="HT81" s="749"/>
      <c r="HU81" s="749"/>
      <c r="HV81" s="749"/>
      <c r="HW81" s="749"/>
      <c r="HX81" s="749"/>
      <c r="HY81" s="749"/>
      <c r="HZ81" s="749"/>
      <c r="IA81" s="749"/>
      <c r="IB81" s="749"/>
      <c r="IC81" s="749"/>
      <c r="ID81" s="749"/>
      <c r="IE81" s="749"/>
      <c r="IF81" s="749"/>
      <c r="IG81" s="749"/>
      <c r="IH81" s="749"/>
      <c r="II81" s="749"/>
      <c r="IJ81" s="749"/>
      <c r="IK81" s="749"/>
      <c r="IL81" s="749"/>
      <c r="IM81" s="749"/>
      <c r="IN81" s="749"/>
    </row>
    <row r="82" spans="1:248" ht="12.75">
      <c r="A82"/>
      <c r="B82" s="2"/>
      <c r="C82" s="2"/>
      <c r="D82" s="3" t="s">
        <v>7396</v>
      </c>
      <c r="E82" s="767">
        <v>21700000</v>
      </c>
      <c r="F82" s="1"/>
      <c r="G82" s="2"/>
      <c r="H82" s="2"/>
      <c r="I82" s="3"/>
      <c r="J82" s="3"/>
      <c r="K82" s="3"/>
      <c r="L82" s="749"/>
      <c r="M82"/>
      <c r="N82" s="2"/>
      <c r="O82" s="2"/>
      <c r="P82" s="3" t="s">
        <v>7396</v>
      </c>
      <c r="Q82" s="767">
        <v>21700000</v>
      </c>
      <c r="R82" s="2"/>
      <c r="S82" s="2"/>
      <c r="T82" s="2"/>
      <c r="U82" s="2"/>
      <c r="V82" s="3"/>
      <c r="AE82" s="861"/>
      <c r="AF82" s="951" t="str">
        <f>_xlfn.CONCAT('TAB 4 Project Funding'!D30,'TAB 4 Project Funding'!E30," GO Bonds")</f>
        <v xml:space="preserve"> GO Bonds</v>
      </c>
      <c r="AG82" s="885" t="str">
        <f>'TAB 4 Project Funding'!F30</f>
        <v/>
      </c>
      <c r="AH82" s="952"/>
      <c r="AI82" s="830"/>
      <c r="AJ82" s="953" t="str">
        <f>'TAB 4 Project Funding'!C14</f>
        <v>Institution - Tuition/Carry Forward</v>
      </c>
      <c r="AK82" s="954">
        <f>'TAB 4 Project Funding'!F14</f>
        <v>0</v>
      </c>
      <c r="AL82" s="832"/>
      <c r="AM82" s="832"/>
      <c r="AN82" s="832"/>
      <c r="AO82" s="832"/>
      <c r="AP82" s="832"/>
      <c r="AQ82" s="831"/>
      <c r="AR82" s="831"/>
      <c r="AS82" s="831"/>
      <c r="AT82" s="832"/>
      <c r="AU82" s="832"/>
      <c r="AV82" s="832"/>
      <c r="AW82" s="832"/>
      <c r="AX82" s="749"/>
      <c r="AY82" s="749"/>
      <c r="AZ82" s="749"/>
      <c r="BA82" s="749"/>
      <c r="BB82" s="749"/>
      <c r="BC82" s="749"/>
      <c r="BD82" s="749"/>
      <c r="BE82" s="749"/>
      <c r="BF82" s="749"/>
      <c r="BG82" s="749"/>
      <c r="BH82" s="749"/>
      <c r="BI82" s="749"/>
      <c r="BJ82" s="749"/>
      <c r="BK82" s="749"/>
      <c r="BL82" s="749"/>
      <c r="BM82" s="749"/>
      <c r="BN82" s="749"/>
      <c r="BO82" s="749"/>
      <c r="BP82" s="749"/>
      <c r="BQ82" s="749"/>
      <c r="BR82" s="749"/>
      <c r="BS82" s="749"/>
      <c r="BT82" s="749"/>
      <c r="BU82" s="749"/>
      <c r="BV82" s="749"/>
      <c r="BW82" s="749"/>
      <c r="BX82" s="749"/>
      <c r="BY82" s="749"/>
      <c r="BZ82" s="749"/>
      <c r="CA82" s="749"/>
      <c r="CB82" s="749"/>
      <c r="CC82" s="749"/>
      <c r="CD82" s="749"/>
      <c r="CE82" s="749"/>
      <c r="CF82" s="749"/>
      <c r="CG82" s="749"/>
      <c r="CH82" s="749"/>
      <c r="CI82" s="749"/>
      <c r="CJ82" s="749"/>
      <c r="CK82" s="749"/>
      <c r="CL82" s="749"/>
      <c r="CM82" s="749"/>
      <c r="CN82" s="749"/>
      <c r="CO82" s="749"/>
      <c r="CP82" s="749"/>
      <c r="CQ82" s="749"/>
      <c r="CR82" s="749"/>
      <c r="CS82" s="749"/>
      <c r="CT82" s="749"/>
      <c r="CU82" s="749"/>
      <c r="CV82" s="749"/>
      <c r="CW82" s="749"/>
      <c r="CX82" s="749"/>
      <c r="CY82" s="749"/>
      <c r="CZ82" s="749"/>
      <c r="DA82" s="749"/>
      <c r="DB82" s="749"/>
      <c r="DC82" s="749"/>
      <c r="DD82" s="749"/>
      <c r="DE82" s="749"/>
      <c r="DF82" s="749"/>
      <c r="DG82" s="749"/>
      <c r="DH82" s="749"/>
      <c r="DI82" s="749"/>
      <c r="DJ82" s="749"/>
      <c r="DK82" s="749"/>
      <c r="DL82" s="749"/>
      <c r="DM82" s="749"/>
      <c r="DN82" s="749"/>
      <c r="DO82" s="749"/>
      <c r="DP82" s="749"/>
      <c r="DQ82" s="749"/>
      <c r="DR82" s="749"/>
      <c r="DS82" s="749"/>
      <c r="DT82" s="749"/>
      <c r="DU82" s="749"/>
      <c r="DV82" s="749"/>
      <c r="DW82" s="749"/>
      <c r="DX82" s="749"/>
      <c r="DY82" s="749"/>
      <c r="DZ82" s="749"/>
      <c r="EA82" s="749"/>
      <c r="EB82" s="749"/>
      <c r="EC82" s="749"/>
      <c r="ED82" s="749"/>
      <c r="EE82" s="749"/>
      <c r="EF82" s="749"/>
      <c r="EG82" s="749"/>
      <c r="EH82" s="749"/>
      <c r="EI82" s="749"/>
      <c r="EJ82" s="749"/>
      <c r="EK82" s="749"/>
      <c r="EL82" s="749"/>
      <c r="EM82" s="749"/>
      <c r="EN82" s="749"/>
      <c r="EO82" s="749"/>
      <c r="EP82" s="749"/>
      <c r="EQ82" s="749"/>
      <c r="ER82" s="749"/>
      <c r="ES82" s="749"/>
      <c r="ET82" s="749"/>
      <c r="EU82" s="749"/>
      <c r="EV82" s="749"/>
      <c r="EW82" s="749"/>
      <c r="EX82" s="749"/>
      <c r="EY82" s="749"/>
      <c r="EZ82" s="749"/>
      <c r="FA82" s="749"/>
      <c r="FB82" s="749"/>
      <c r="FC82" s="749"/>
      <c r="FD82" s="749"/>
      <c r="FE82" s="749"/>
      <c r="FF82" s="749"/>
      <c r="FG82" s="749"/>
      <c r="FH82" s="749"/>
      <c r="FI82" s="749"/>
      <c r="FJ82" s="749"/>
      <c r="FK82" s="749"/>
      <c r="FL82" s="749"/>
      <c r="FM82" s="749"/>
      <c r="FN82" s="749"/>
      <c r="FO82" s="749"/>
      <c r="FP82" s="749"/>
      <c r="FQ82" s="749"/>
      <c r="FR82" s="749"/>
      <c r="FS82" s="749"/>
      <c r="FT82" s="749"/>
      <c r="FU82" s="749"/>
      <c r="FV82" s="749"/>
      <c r="FW82" s="749"/>
      <c r="FX82" s="749"/>
      <c r="FY82" s="749"/>
      <c r="FZ82" s="749"/>
      <c r="GA82" s="749"/>
      <c r="GB82" s="749"/>
      <c r="GC82" s="749"/>
      <c r="GD82" s="749"/>
      <c r="GE82" s="749"/>
      <c r="GF82" s="749"/>
      <c r="GG82" s="749"/>
      <c r="GH82" s="749"/>
      <c r="GI82" s="749"/>
      <c r="GJ82" s="749"/>
      <c r="GK82" s="749"/>
      <c r="GL82" s="749"/>
      <c r="GM82" s="749"/>
      <c r="GN82" s="749"/>
      <c r="GO82" s="749"/>
      <c r="GP82" s="749"/>
      <c r="GQ82" s="749"/>
      <c r="GR82" s="749"/>
      <c r="GS82" s="749"/>
      <c r="GT82" s="749"/>
      <c r="GU82" s="749"/>
      <c r="GV82" s="749"/>
      <c r="GW82" s="749"/>
      <c r="GX82" s="749"/>
      <c r="GY82" s="749"/>
      <c r="GZ82" s="749"/>
      <c r="HA82" s="749"/>
      <c r="HB82" s="749"/>
      <c r="HC82" s="749"/>
      <c r="HD82" s="749"/>
      <c r="HE82" s="749"/>
      <c r="HF82" s="749"/>
      <c r="HG82" s="749"/>
      <c r="HH82" s="749"/>
      <c r="HI82" s="749"/>
      <c r="HJ82" s="749"/>
      <c r="HK82" s="749"/>
      <c r="HL82" s="749"/>
      <c r="HM82" s="749"/>
      <c r="HN82" s="749"/>
      <c r="HO82" s="749"/>
      <c r="HP82" s="749"/>
      <c r="HQ82" s="749"/>
      <c r="HR82" s="749"/>
      <c r="HS82" s="749"/>
      <c r="HT82" s="749"/>
      <c r="HU82" s="749"/>
      <c r="HV82" s="749"/>
      <c r="HW82" s="749"/>
      <c r="HX82" s="749"/>
      <c r="HY82" s="749"/>
      <c r="HZ82" s="749"/>
      <c r="IA82" s="749"/>
      <c r="IB82" s="749"/>
      <c r="IC82" s="749"/>
      <c r="ID82" s="749"/>
      <c r="IE82" s="749"/>
      <c r="IF82" s="749"/>
      <c r="IG82" s="749"/>
      <c r="IH82" s="749"/>
      <c r="II82" s="749"/>
      <c r="IJ82" s="749"/>
      <c r="IK82" s="749"/>
      <c r="IL82" s="749"/>
      <c r="IM82" s="749"/>
      <c r="IN82" s="749"/>
    </row>
    <row r="83" spans="1:248" ht="12.75">
      <c r="A83"/>
      <c r="B83" s="2"/>
      <c r="C83" s="2"/>
      <c r="D83" s="3" t="s">
        <v>7397</v>
      </c>
      <c r="E83" s="767">
        <v>3200000</v>
      </c>
      <c r="F83" s="1"/>
      <c r="G83" s="2"/>
      <c r="H83" s="2"/>
      <c r="I83" s="3"/>
      <c r="J83" s="3"/>
      <c r="K83" s="3"/>
      <c r="L83" s="749"/>
      <c r="M83"/>
      <c r="N83" s="2"/>
      <c r="O83" s="2"/>
      <c r="P83" s="3" t="s">
        <v>7397</v>
      </c>
      <c r="Q83" s="767">
        <v>3200000</v>
      </c>
      <c r="R83" s="2"/>
      <c r="S83" s="2"/>
      <c r="T83" s="2"/>
      <c r="U83" s="2"/>
      <c r="V83" s="3"/>
      <c r="AE83" s="861"/>
      <c r="AF83" s="951" t="str">
        <f>_xlfn.CONCAT("Non GO Bonds (",'TAB 4 Project Funding'!D35,")")</f>
        <v>Non GO Bonds ()</v>
      </c>
      <c r="AG83" s="885">
        <f>'TAB 4 Project Funding'!F35</f>
        <v>0</v>
      </c>
      <c r="AH83" s="952"/>
      <c r="AI83" s="830"/>
      <c r="AJ83" s="953" t="str">
        <f>'TAB 4 Project Funding'!C15</f>
        <v>Institution - Auxiliary Reserves</v>
      </c>
      <c r="AK83" s="954">
        <f>'TAB 4 Project Funding'!F15</f>
        <v>0</v>
      </c>
      <c r="AL83" s="832"/>
      <c r="AM83" s="832"/>
      <c r="AN83" s="832"/>
      <c r="AO83" s="832"/>
      <c r="AP83" s="832"/>
      <c r="AQ83" s="831"/>
      <c r="AR83" s="831"/>
      <c r="AS83" s="831"/>
      <c r="AT83" s="832"/>
      <c r="AU83" s="832"/>
      <c r="AV83" s="832"/>
      <c r="AW83" s="832"/>
      <c r="AX83" s="749"/>
      <c r="AY83" s="749"/>
      <c r="AZ83" s="749"/>
      <c r="BA83" s="749"/>
      <c r="BB83" s="749"/>
      <c r="BC83" s="749"/>
      <c r="BD83" s="749"/>
      <c r="BE83" s="749"/>
      <c r="BF83" s="749"/>
      <c r="BG83" s="749"/>
      <c r="BH83" s="749"/>
      <c r="BI83" s="749"/>
      <c r="BJ83" s="749"/>
      <c r="BK83" s="749"/>
      <c r="BL83" s="749"/>
      <c r="BM83" s="749"/>
      <c r="BN83" s="749"/>
      <c r="BO83" s="749"/>
      <c r="BP83" s="749"/>
      <c r="BQ83" s="749"/>
      <c r="BR83" s="749"/>
      <c r="BS83" s="749"/>
      <c r="BT83" s="749"/>
      <c r="BU83" s="749"/>
      <c r="BV83" s="749"/>
      <c r="BW83" s="749"/>
      <c r="BX83" s="749"/>
      <c r="BY83" s="749"/>
      <c r="BZ83" s="749"/>
      <c r="CA83" s="749"/>
      <c r="CB83" s="749"/>
      <c r="CC83" s="749"/>
      <c r="CD83" s="749"/>
      <c r="CE83" s="749"/>
      <c r="CF83" s="749"/>
      <c r="CG83" s="749"/>
      <c r="CH83" s="749"/>
      <c r="CI83" s="749"/>
      <c r="CJ83" s="749"/>
      <c r="CK83" s="749"/>
      <c r="CL83" s="749"/>
      <c r="CM83" s="749"/>
      <c r="CN83" s="749"/>
      <c r="CO83" s="749"/>
      <c r="CP83" s="749"/>
      <c r="CQ83" s="749"/>
      <c r="CR83" s="749"/>
      <c r="CS83" s="749"/>
      <c r="CT83" s="749"/>
      <c r="CU83" s="749"/>
      <c r="CV83" s="749"/>
      <c r="CW83" s="749"/>
      <c r="CX83" s="749"/>
      <c r="CY83" s="749"/>
      <c r="CZ83" s="749"/>
      <c r="DA83" s="749"/>
      <c r="DB83" s="749"/>
      <c r="DC83" s="749"/>
      <c r="DD83" s="749"/>
      <c r="DE83" s="749"/>
      <c r="DF83" s="749"/>
      <c r="DG83" s="749"/>
      <c r="DH83" s="749"/>
      <c r="DI83" s="749"/>
      <c r="DJ83" s="749"/>
      <c r="DK83" s="749"/>
      <c r="DL83" s="749"/>
      <c r="DM83" s="749"/>
      <c r="DN83" s="749"/>
      <c r="DO83" s="749"/>
      <c r="DP83" s="749"/>
      <c r="DQ83" s="749"/>
      <c r="DR83" s="749"/>
      <c r="DS83" s="749"/>
      <c r="DT83" s="749"/>
      <c r="DU83" s="749"/>
      <c r="DV83" s="749"/>
      <c r="DW83" s="749"/>
      <c r="DX83" s="749"/>
      <c r="DY83" s="749"/>
      <c r="DZ83" s="749"/>
      <c r="EA83" s="749"/>
      <c r="EB83" s="749"/>
      <c r="EC83" s="749"/>
      <c r="ED83" s="749"/>
      <c r="EE83" s="749"/>
      <c r="EF83" s="749"/>
      <c r="EG83" s="749"/>
      <c r="EH83" s="749"/>
      <c r="EI83" s="749"/>
      <c r="EJ83" s="749"/>
      <c r="EK83" s="749"/>
      <c r="EL83" s="749"/>
      <c r="EM83" s="749"/>
      <c r="EN83" s="749"/>
      <c r="EO83" s="749"/>
      <c r="EP83" s="749"/>
      <c r="EQ83" s="749"/>
      <c r="ER83" s="749"/>
      <c r="ES83" s="749"/>
      <c r="ET83" s="749"/>
      <c r="EU83" s="749"/>
      <c r="EV83" s="749"/>
      <c r="EW83" s="749"/>
      <c r="EX83" s="749"/>
      <c r="EY83" s="749"/>
      <c r="EZ83" s="749"/>
      <c r="FA83" s="749"/>
      <c r="FB83" s="749"/>
      <c r="FC83" s="749"/>
      <c r="FD83" s="749"/>
      <c r="FE83" s="749"/>
      <c r="FF83" s="749"/>
      <c r="FG83" s="749"/>
      <c r="FH83" s="749"/>
      <c r="FI83" s="749"/>
      <c r="FJ83" s="749"/>
      <c r="FK83" s="749"/>
      <c r="FL83" s="749"/>
      <c r="FM83" s="749"/>
      <c r="FN83" s="749"/>
      <c r="FO83" s="749"/>
      <c r="FP83" s="749"/>
      <c r="FQ83" s="749"/>
      <c r="FR83" s="749"/>
      <c r="FS83" s="749"/>
      <c r="FT83" s="749"/>
      <c r="FU83" s="749"/>
      <c r="FV83" s="749"/>
      <c r="FW83" s="749"/>
      <c r="FX83" s="749"/>
      <c r="FY83" s="749"/>
      <c r="FZ83" s="749"/>
      <c r="GA83" s="749"/>
      <c r="GB83" s="749"/>
      <c r="GC83" s="749"/>
      <c r="GD83" s="749"/>
      <c r="GE83" s="749"/>
      <c r="GF83" s="749"/>
      <c r="GG83" s="749"/>
      <c r="GH83" s="749"/>
      <c r="GI83" s="749"/>
      <c r="GJ83" s="749"/>
      <c r="GK83" s="749"/>
      <c r="GL83" s="749"/>
      <c r="GM83" s="749"/>
      <c r="GN83" s="749"/>
      <c r="GO83" s="749"/>
      <c r="GP83" s="749"/>
      <c r="GQ83" s="749"/>
      <c r="GR83" s="749"/>
      <c r="GS83" s="749"/>
      <c r="GT83" s="749"/>
      <c r="GU83" s="749"/>
      <c r="GV83" s="749"/>
      <c r="GW83" s="749"/>
      <c r="GX83" s="749"/>
      <c r="GY83" s="749"/>
      <c r="GZ83" s="749"/>
      <c r="HA83" s="749"/>
      <c r="HB83" s="749"/>
      <c r="HC83" s="749"/>
      <c r="HD83" s="749"/>
      <c r="HE83" s="749"/>
      <c r="HF83" s="749"/>
      <c r="HG83" s="749"/>
      <c r="HH83" s="749"/>
      <c r="HI83" s="749"/>
      <c r="HJ83" s="749"/>
      <c r="HK83" s="749"/>
      <c r="HL83" s="749"/>
      <c r="HM83" s="749"/>
      <c r="HN83" s="749"/>
      <c r="HO83" s="749"/>
      <c r="HP83" s="749"/>
      <c r="HQ83" s="749"/>
      <c r="HR83" s="749"/>
      <c r="HS83" s="749"/>
      <c r="HT83" s="749"/>
      <c r="HU83" s="749"/>
      <c r="HV83" s="749"/>
      <c r="HW83" s="749"/>
      <c r="HX83" s="749"/>
      <c r="HY83" s="749"/>
      <c r="HZ83" s="749"/>
      <c r="IA83" s="749"/>
      <c r="IB83" s="749"/>
      <c r="IC83" s="749"/>
      <c r="ID83" s="749"/>
      <c r="IE83" s="749"/>
      <c r="IF83" s="749"/>
      <c r="IG83" s="749"/>
      <c r="IH83" s="749"/>
      <c r="II83" s="749"/>
      <c r="IJ83" s="749"/>
      <c r="IK83" s="749"/>
      <c r="IL83" s="749"/>
      <c r="IM83" s="749"/>
      <c r="IN83" s="749"/>
    </row>
    <row r="84" spans="1:248" ht="12.75">
      <c r="A84"/>
      <c r="B84" s="2"/>
      <c r="C84" s="2"/>
      <c r="D84" s="3" t="s">
        <v>7398</v>
      </c>
      <c r="E84" s="767">
        <v>1500000</v>
      </c>
      <c r="F84" s="1"/>
      <c r="G84" s="2"/>
      <c r="H84" s="2"/>
      <c r="I84" s="3"/>
      <c r="J84" s="3"/>
      <c r="K84" s="3"/>
      <c r="L84" s="749"/>
      <c r="M84"/>
      <c r="N84" s="2"/>
      <c r="O84" s="2"/>
      <c r="P84" s="3" t="s">
        <v>7398</v>
      </c>
      <c r="Q84" s="767">
        <v>1500000</v>
      </c>
      <c r="R84" s="2"/>
      <c r="S84" s="2"/>
      <c r="T84" s="2"/>
      <c r="U84" s="2"/>
      <c r="V84" s="3"/>
      <c r="AE84" s="861"/>
      <c r="AF84" s="951" t="str">
        <f>_xlfn.CONCAT("Non GO Bonds (",'TAB 4 Project Funding'!D36,")")</f>
        <v>Non GO Bonds ()</v>
      </c>
      <c r="AG84" s="885">
        <f>'TAB 4 Project Funding'!F36</f>
        <v>0</v>
      </c>
      <c r="AH84" s="952"/>
      <c r="AI84" s="830"/>
      <c r="AJ84" s="953" t="str">
        <f>'TAB 4 Project Funding'!C16</f>
        <v>Research Funds (ICR / F&amp;A)</v>
      </c>
      <c r="AK84" s="954">
        <f>'TAB 4 Project Funding'!F16</f>
        <v>0</v>
      </c>
      <c r="AL84" s="832"/>
      <c r="AM84" s="832"/>
      <c r="AN84" s="832"/>
      <c r="AO84" s="832"/>
      <c r="AP84" s="832"/>
      <c r="AQ84" s="831"/>
      <c r="AR84" s="831"/>
      <c r="AS84" s="831"/>
      <c r="AT84" s="832"/>
      <c r="AU84" s="832"/>
      <c r="AV84" s="832"/>
      <c r="AW84" s="832"/>
      <c r="AX84" s="749"/>
      <c r="AY84" s="749"/>
      <c r="AZ84" s="749"/>
      <c r="BA84" s="749"/>
      <c r="BB84" s="749"/>
      <c r="BC84" s="749"/>
      <c r="BD84" s="749"/>
      <c r="BE84" s="749"/>
      <c r="BF84" s="749"/>
      <c r="BG84" s="749"/>
      <c r="BH84" s="749"/>
      <c r="BI84" s="749"/>
      <c r="BJ84" s="749"/>
      <c r="BK84" s="749"/>
      <c r="BL84" s="749"/>
      <c r="BM84" s="749"/>
      <c r="BN84" s="749"/>
      <c r="BO84" s="749"/>
      <c r="BP84" s="749"/>
      <c r="BQ84" s="749"/>
      <c r="BR84" s="749"/>
      <c r="BS84" s="749"/>
      <c r="BT84" s="749"/>
      <c r="BU84" s="749"/>
      <c r="BV84" s="749"/>
      <c r="BW84" s="749"/>
      <c r="BX84" s="749"/>
      <c r="BY84" s="749"/>
      <c r="BZ84" s="749"/>
      <c r="CA84" s="749"/>
      <c r="CB84" s="749"/>
      <c r="CC84" s="749"/>
      <c r="CD84" s="749"/>
      <c r="CE84" s="749"/>
      <c r="CF84" s="749"/>
      <c r="CG84" s="749"/>
      <c r="CH84" s="749"/>
      <c r="CI84" s="749"/>
      <c r="CJ84" s="749"/>
      <c r="CK84" s="749"/>
      <c r="CL84" s="749"/>
      <c r="CM84" s="749"/>
      <c r="CN84" s="749"/>
      <c r="CO84" s="749"/>
      <c r="CP84" s="749"/>
      <c r="CQ84" s="749"/>
      <c r="CR84" s="749"/>
      <c r="CS84" s="749"/>
      <c r="CT84" s="749"/>
      <c r="CU84" s="749"/>
      <c r="CV84" s="749"/>
      <c r="CW84" s="749"/>
      <c r="CX84" s="749"/>
      <c r="CY84" s="749"/>
      <c r="CZ84" s="749"/>
      <c r="DA84" s="749"/>
      <c r="DB84" s="749"/>
      <c r="DC84" s="749"/>
      <c r="DD84" s="749"/>
      <c r="DE84" s="749"/>
      <c r="DF84" s="749"/>
      <c r="DG84" s="749"/>
      <c r="DH84" s="749"/>
      <c r="DI84" s="749"/>
      <c r="DJ84" s="749"/>
      <c r="DK84" s="749"/>
      <c r="DL84" s="749"/>
      <c r="DM84" s="749"/>
      <c r="DN84" s="749"/>
      <c r="DO84" s="749"/>
      <c r="DP84" s="749"/>
      <c r="DQ84" s="749"/>
      <c r="DR84" s="749"/>
      <c r="DS84" s="749"/>
      <c r="DT84" s="749"/>
      <c r="DU84" s="749"/>
      <c r="DV84" s="749"/>
      <c r="DW84" s="749"/>
      <c r="DX84" s="749"/>
      <c r="DY84" s="749"/>
      <c r="DZ84" s="749"/>
      <c r="EA84" s="749"/>
      <c r="EB84" s="749"/>
      <c r="EC84" s="749"/>
      <c r="ED84" s="749"/>
      <c r="EE84" s="749"/>
      <c r="EF84" s="749"/>
      <c r="EG84" s="749"/>
      <c r="EH84" s="749"/>
      <c r="EI84" s="749"/>
      <c r="EJ84" s="749"/>
      <c r="EK84" s="749"/>
      <c r="EL84" s="749"/>
      <c r="EM84" s="749"/>
      <c r="EN84" s="749"/>
      <c r="EO84" s="749"/>
      <c r="EP84" s="749"/>
      <c r="EQ84" s="749"/>
      <c r="ER84" s="749"/>
      <c r="ES84" s="749"/>
      <c r="ET84" s="749"/>
      <c r="EU84" s="749"/>
      <c r="EV84" s="749"/>
      <c r="EW84" s="749"/>
      <c r="EX84" s="749"/>
      <c r="EY84" s="749"/>
      <c r="EZ84" s="749"/>
      <c r="FA84" s="749"/>
      <c r="FB84" s="749"/>
      <c r="FC84" s="749"/>
      <c r="FD84" s="749"/>
      <c r="FE84" s="749"/>
      <c r="FF84" s="749"/>
      <c r="FG84" s="749"/>
      <c r="FH84" s="749"/>
      <c r="FI84" s="749"/>
      <c r="FJ84" s="749"/>
      <c r="FK84" s="749"/>
      <c r="FL84" s="749"/>
      <c r="FM84" s="749"/>
      <c r="FN84" s="749"/>
      <c r="FO84" s="749"/>
      <c r="FP84" s="749"/>
      <c r="FQ84" s="749"/>
      <c r="FR84" s="749"/>
      <c r="FS84" s="749"/>
      <c r="FT84" s="749"/>
      <c r="FU84" s="749"/>
      <c r="FV84" s="749"/>
      <c r="FW84" s="749"/>
      <c r="FX84" s="749"/>
      <c r="FY84" s="749"/>
      <c r="FZ84" s="749"/>
      <c r="GA84" s="749"/>
      <c r="GB84" s="749"/>
      <c r="GC84" s="749"/>
      <c r="GD84" s="749"/>
      <c r="GE84" s="749"/>
      <c r="GF84" s="749"/>
      <c r="GG84" s="749"/>
      <c r="GH84" s="749"/>
      <c r="GI84" s="749"/>
      <c r="GJ84" s="749"/>
      <c r="GK84" s="749"/>
      <c r="GL84" s="749"/>
      <c r="GM84" s="749"/>
      <c r="GN84" s="749"/>
      <c r="GO84" s="749"/>
      <c r="GP84" s="749"/>
      <c r="GQ84" s="749"/>
      <c r="GR84" s="749"/>
      <c r="GS84" s="749"/>
      <c r="GT84" s="749"/>
      <c r="GU84" s="749"/>
      <c r="GV84" s="749"/>
      <c r="GW84" s="749"/>
      <c r="GX84" s="749"/>
      <c r="GY84" s="749"/>
      <c r="GZ84" s="749"/>
      <c r="HA84" s="749"/>
      <c r="HB84" s="749"/>
      <c r="HC84" s="749"/>
      <c r="HD84" s="749"/>
      <c r="HE84" s="749"/>
      <c r="HF84" s="749"/>
      <c r="HG84" s="749"/>
      <c r="HH84" s="749"/>
      <c r="HI84" s="749"/>
      <c r="HJ84" s="749"/>
      <c r="HK84" s="749"/>
      <c r="HL84" s="749"/>
      <c r="HM84" s="749"/>
      <c r="HN84" s="749"/>
      <c r="HO84" s="749"/>
      <c r="HP84" s="749"/>
      <c r="HQ84" s="749"/>
      <c r="HR84" s="749"/>
      <c r="HS84" s="749"/>
      <c r="HT84" s="749"/>
      <c r="HU84" s="749"/>
      <c r="HV84" s="749"/>
      <c r="HW84" s="749"/>
      <c r="HX84" s="749"/>
      <c r="HY84" s="749"/>
      <c r="HZ84" s="749"/>
      <c r="IA84" s="749"/>
      <c r="IB84" s="749"/>
      <c r="IC84" s="749"/>
      <c r="ID84" s="749"/>
      <c r="IE84" s="749"/>
      <c r="IF84" s="749"/>
      <c r="IG84" s="749"/>
      <c r="IH84" s="749"/>
      <c r="II84" s="749"/>
      <c r="IJ84" s="749"/>
      <c r="IK84" s="749"/>
      <c r="IL84" s="749"/>
      <c r="IM84" s="749"/>
      <c r="IN84" s="749"/>
    </row>
    <row r="85" spans="1:248" ht="12.75">
      <c r="A85"/>
      <c r="B85" s="2"/>
      <c r="C85" s="2"/>
      <c r="D85" s="3" t="s">
        <v>7399</v>
      </c>
      <c r="E85" s="767">
        <v>25500000</v>
      </c>
      <c r="F85" s="1"/>
      <c r="G85" s="2"/>
      <c r="H85" s="2"/>
      <c r="I85" s="3"/>
      <c r="J85" s="3"/>
      <c r="K85" s="3"/>
      <c r="L85" s="749"/>
      <c r="M85"/>
      <c r="N85" s="2"/>
      <c r="O85" s="2"/>
      <c r="P85" s="3" t="s">
        <v>7399</v>
      </c>
      <c r="Q85" s="767">
        <v>25500000</v>
      </c>
      <c r="R85" s="2"/>
      <c r="S85" s="2"/>
      <c r="T85" s="2"/>
      <c r="U85" s="2"/>
      <c r="V85" s="3"/>
      <c r="AE85" s="861"/>
      <c r="AF85" s="951" t="str">
        <f>_xlfn.CONCAT("Non GO Bonds (",'TAB 4 Project Funding'!D37,")")</f>
        <v>Non GO Bonds ()</v>
      </c>
      <c r="AG85" s="885">
        <f>'TAB 4 Project Funding'!F37</f>
        <v>0</v>
      </c>
      <c r="AH85" s="952"/>
      <c r="AI85" s="830"/>
      <c r="AJ85" s="953" t="str">
        <f>'TAB 4 Project Funding'!C17</f>
        <v>Grants/Other (describe)</v>
      </c>
      <c r="AK85" s="954">
        <f>'TAB 4 Project Funding'!F17</f>
        <v>0</v>
      </c>
      <c r="AL85" s="832"/>
      <c r="AM85" s="832"/>
      <c r="AN85" s="832"/>
      <c r="AO85" s="832"/>
      <c r="AP85" s="832"/>
      <c r="AQ85" s="832"/>
      <c r="AR85" s="832"/>
      <c r="AS85" s="832"/>
      <c r="AT85" s="832"/>
      <c r="AU85" s="832"/>
      <c r="AV85" s="832"/>
      <c r="AW85" s="832"/>
      <c r="AX85" s="749"/>
    </row>
    <row r="86" spans="1:248" ht="12.75">
      <c r="A86" s="2"/>
      <c r="B86" s="2"/>
      <c r="C86" s="2"/>
      <c r="D86" s="791" t="s">
        <v>7400</v>
      </c>
      <c r="E86" s="780">
        <f>SUM(E81:E85)</f>
        <v>54100000</v>
      </c>
      <c r="F86" s="2"/>
      <c r="G86" s="792" t="s">
        <v>7401</v>
      </c>
      <c r="H86" s="793"/>
      <c r="I86" s="2"/>
      <c r="J86" s="3"/>
      <c r="K86" s="3"/>
      <c r="L86" s="749"/>
      <c r="M86"/>
      <c r="N86" s="2"/>
      <c r="O86" s="2"/>
      <c r="P86" s="791" t="s">
        <v>7400</v>
      </c>
      <c r="Q86" s="780">
        <f>SUM(Q81:Q85)</f>
        <v>54100000</v>
      </c>
      <c r="U86" s="2"/>
      <c r="V86" s="3"/>
      <c r="AE86" s="861"/>
      <c r="AF86" s="951" t="str">
        <f>'TAB 4 Project Funding'!B20</f>
        <v>Funding Sources Total</v>
      </c>
      <c r="AG86" s="885">
        <f>'TAB 4 Project Funding'!F20</f>
        <v>0</v>
      </c>
      <c r="AH86" s="952"/>
      <c r="AI86" s="830"/>
      <c r="AJ86" s="953" t="str">
        <f>'TAB 4 Project Funding'!C18</f>
        <v>RE Ventures Financing</v>
      </c>
      <c r="AK86" s="954">
        <f>'TAB 4 Project Funding'!F18</f>
        <v>0</v>
      </c>
      <c r="AL86" s="832"/>
      <c r="AM86" s="832"/>
      <c r="AN86" s="832"/>
      <c r="AO86" s="832"/>
      <c r="AP86" s="832"/>
      <c r="AQ86" s="832"/>
      <c r="AR86" s="832"/>
      <c r="AS86" s="832"/>
      <c r="AT86" s="832"/>
      <c r="AU86" s="832"/>
      <c r="AV86" s="832"/>
      <c r="AW86" s="832"/>
      <c r="AX86" s="749"/>
    </row>
    <row r="87" spans="1:248" ht="12.75">
      <c r="A87" s="3"/>
      <c r="B87" s="3"/>
      <c r="C87" s="3"/>
      <c r="D87" s="3"/>
      <c r="E87" s="3"/>
      <c r="F87" s="3"/>
      <c r="G87" s="792"/>
      <c r="H87" s="783"/>
      <c r="I87" s="2"/>
      <c r="J87" s="3"/>
      <c r="K87" s="3"/>
      <c r="L87" s="749"/>
      <c r="M87" s="2"/>
      <c r="N87" s="3"/>
      <c r="O87" s="3"/>
      <c r="P87" s="3"/>
      <c r="Q87" s="3"/>
      <c r="V87" s="2"/>
      <c r="AE87" s="955"/>
      <c r="AF87" s="956"/>
      <c r="AG87" s="957"/>
      <c r="AH87" s="958"/>
      <c r="AI87" s="959"/>
      <c r="AJ87" s="960" t="s">
        <v>7554</v>
      </c>
      <c r="AK87" s="961">
        <f>SUM(AK79:AK86)</f>
        <v>0</v>
      </c>
      <c r="AL87" s="832"/>
      <c r="AM87" s="832"/>
      <c r="AN87" s="832"/>
      <c r="AO87" s="832"/>
      <c r="AP87" s="832"/>
      <c r="AQ87" s="832"/>
      <c r="AR87" s="832"/>
      <c r="AS87" s="832"/>
      <c r="AT87" s="832"/>
      <c r="AU87" s="832"/>
      <c r="AV87" s="832"/>
      <c r="AW87" s="832"/>
      <c r="AX87" s="749"/>
    </row>
    <row r="88" spans="1:248" ht="13.5" thickBot="1">
      <c r="A88" s="1"/>
      <c r="B88" s="1785" t="s">
        <v>7402</v>
      </c>
      <c r="C88" s="1785"/>
      <c r="D88" s="1785"/>
      <c r="E88" s="1785"/>
      <c r="F88" s="1785"/>
      <c r="G88" s="792" t="s">
        <v>7403</v>
      </c>
      <c r="H88" s="794"/>
      <c r="I88" s="2"/>
      <c r="J88" s="771"/>
      <c r="K88" s="771"/>
      <c r="L88" s="749"/>
      <c r="M88" s="3"/>
      <c r="N88" s="797" t="s">
        <v>7402</v>
      </c>
      <c r="O88" s="797"/>
      <c r="P88" s="797"/>
      <c r="Q88" s="797"/>
      <c r="V88" s="2"/>
      <c r="X88" s="771"/>
      <c r="Y88" s="771"/>
      <c r="Z88" s="771"/>
      <c r="AA88" s="771"/>
      <c r="AB88" s="771"/>
      <c r="AC88" s="771"/>
      <c r="AD88" s="771"/>
      <c r="AE88" s="939"/>
      <c r="AF88" s="940"/>
      <c r="AG88" s="944"/>
      <c r="AH88" s="943"/>
      <c r="AI88" s="941"/>
      <c r="AJ88" s="945"/>
      <c r="AK88" s="942"/>
      <c r="AL88" s="832"/>
      <c r="AM88" s="832"/>
      <c r="AN88" s="832"/>
      <c r="AO88" s="832"/>
      <c r="AP88" s="832"/>
      <c r="AQ88" s="832"/>
      <c r="AR88" s="832"/>
      <c r="AS88" s="832"/>
      <c r="AT88" s="832"/>
      <c r="AU88" s="832"/>
      <c r="AV88" s="832"/>
      <c r="AW88" s="832"/>
      <c r="AX88" s="749"/>
    </row>
    <row r="89" spans="1:248" ht="12.75">
      <c r="A89" s="750"/>
      <c r="B89" s="1782" t="s">
        <v>7402</v>
      </c>
      <c r="C89" s="1782"/>
      <c r="D89" s="1782"/>
      <c r="E89" s="1782"/>
      <c r="F89" s="1782"/>
      <c r="G89" s="754" t="s">
        <v>7403</v>
      </c>
      <c r="H89" s="755"/>
      <c r="J89" s="752"/>
      <c r="K89" s="752"/>
      <c r="L89" s="749"/>
      <c r="M89" s="1"/>
      <c r="N89" s="798" t="s">
        <v>7402</v>
      </c>
      <c r="O89" s="798"/>
      <c r="P89" s="798"/>
      <c r="Q89" s="798"/>
      <c r="R89" s="792" t="s">
        <v>7401</v>
      </c>
      <c r="S89" s="792"/>
      <c r="T89" s="793"/>
      <c r="V89" s="2"/>
      <c r="W89" s="771"/>
      <c r="X89" s="752"/>
      <c r="Y89" s="752"/>
      <c r="Z89" s="752"/>
      <c r="AA89" s="752"/>
      <c r="AB89" s="752"/>
      <c r="AC89" s="752"/>
      <c r="AD89" s="752"/>
      <c r="AE89" s="752"/>
      <c r="AF89" s="835"/>
      <c r="AG89" s="752"/>
      <c r="AH89" s="749"/>
      <c r="AI89" s="749"/>
      <c r="AJ89" s="749"/>
      <c r="AK89" s="749"/>
      <c r="AL89" s="749"/>
      <c r="AM89" s="749"/>
      <c r="AN89" s="749"/>
      <c r="AO89" s="749"/>
      <c r="AP89" s="749"/>
      <c r="AQ89" s="749"/>
      <c r="AR89" s="749"/>
      <c r="AS89" s="749"/>
      <c r="AT89" s="749"/>
      <c r="AU89" s="749"/>
      <c r="AV89" s="749"/>
      <c r="AW89" s="749"/>
      <c r="AX89" s="749"/>
    </row>
    <row r="90" spans="1:248" ht="12.75">
      <c r="A90" s="749"/>
      <c r="B90" s="749"/>
      <c r="C90" s="749"/>
      <c r="E90" s="749"/>
      <c r="F90" s="749"/>
      <c r="G90" s="749"/>
      <c r="H90" s="752"/>
      <c r="I90" s="749"/>
      <c r="J90" s="749"/>
      <c r="K90" s="749"/>
      <c r="L90" s="749"/>
      <c r="M90" s="750"/>
      <c r="N90" s="749"/>
      <c r="O90" s="749"/>
      <c r="P90" s="749"/>
      <c r="Q90" s="749"/>
      <c r="R90" s="792"/>
      <c r="S90" s="792"/>
      <c r="T90" s="783"/>
      <c r="U90" s="3"/>
      <c r="W90" s="752"/>
      <c r="X90" s="749"/>
      <c r="Y90" s="749"/>
      <c r="Z90" s="749"/>
      <c r="AA90" s="749"/>
      <c r="AB90" s="749"/>
      <c r="AC90" s="749"/>
      <c r="AD90" s="749"/>
      <c r="AE90" s="749"/>
      <c r="AF90" s="835"/>
      <c r="AG90" s="749"/>
      <c r="AH90" s="749"/>
      <c r="AI90" s="749"/>
      <c r="AJ90" s="749"/>
      <c r="AK90" s="749"/>
      <c r="AL90" s="749"/>
      <c r="AM90" s="749"/>
      <c r="AN90" s="749"/>
      <c r="AO90" s="749"/>
      <c r="AP90" s="749"/>
      <c r="AQ90" s="749"/>
      <c r="AR90" s="749"/>
      <c r="AS90" s="749"/>
      <c r="AT90" s="749"/>
      <c r="AU90" s="749"/>
      <c r="AV90" s="749"/>
      <c r="AW90" s="749"/>
      <c r="AX90" s="749"/>
    </row>
    <row r="91" spans="1:248" ht="12.75">
      <c r="A91" s="749"/>
      <c r="B91" s="749"/>
      <c r="C91" s="749"/>
      <c r="D91" s="749"/>
      <c r="E91" s="749"/>
      <c r="F91" s="749"/>
      <c r="G91" s="749"/>
      <c r="H91" s="751"/>
      <c r="I91" s="749"/>
      <c r="J91" s="749"/>
      <c r="K91" s="749"/>
      <c r="L91" s="749"/>
      <c r="M91" s="749"/>
      <c r="N91" s="749"/>
      <c r="O91" s="749"/>
      <c r="P91" s="749"/>
      <c r="Q91" s="749"/>
      <c r="R91" s="792" t="s">
        <v>7403</v>
      </c>
      <c r="S91" s="792"/>
      <c r="T91" s="794"/>
      <c r="U91" s="3"/>
      <c r="V91" s="749"/>
      <c r="W91" s="749"/>
      <c r="X91" s="749"/>
      <c r="Y91" s="749"/>
      <c r="Z91" s="749"/>
      <c r="AA91" s="749"/>
      <c r="AB91" s="749"/>
      <c r="AC91" s="749"/>
      <c r="AD91" s="749"/>
      <c r="AE91" s="749"/>
      <c r="AF91" s="749"/>
      <c r="AG91" s="749"/>
      <c r="AH91" s="749"/>
      <c r="AI91" s="749"/>
      <c r="AJ91" s="749"/>
      <c r="AK91" s="749"/>
      <c r="AL91" s="749"/>
      <c r="AM91" s="749"/>
      <c r="AN91" s="749"/>
      <c r="AO91" s="749"/>
      <c r="AP91" s="749"/>
      <c r="AQ91" s="749"/>
      <c r="AR91" s="749"/>
      <c r="AS91" s="749"/>
    </row>
    <row r="92" spans="1:248" ht="12.75">
      <c r="A92" s="747"/>
      <c r="D92" s="749"/>
      <c r="E92" s="751"/>
      <c r="F92" s="750"/>
      <c r="I92" s="747"/>
      <c r="M92" s="749"/>
      <c r="R92" s="754" t="s">
        <v>7403</v>
      </c>
      <c r="S92" s="754"/>
      <c r="T92" s="755"/>
      <c r="U92" s="3"/>
      <c r="V92" s="749"/>
      <c r="W92" s="749"/>
    </row>
    <row r="93" spans="1:248" ht="12.75">
      <c r="A93" s="747"/>
      <c r="D93" s="752"/>
      <c r="E93" s="751"/>
      <c r="I93" s="747"/>
      <c r="U93" s="749"/>
    </row>
    <row r="94" spans="1:248" ht="12.75">
      <c r="A94" s="747"/>
      <c r="D94" s="752"/>
      <c r="E94" s="751"/>
      <c r="G94" s="756"/>
      <c r="I94" s="747"/>
      <c r="AD94" s="829"/>
      <c r="AE94" s="829"/>
      <c r="AF94" s="829"/>
      <c r="AG94" s="829"/>
    </row>
    <row r="96" spans="1:248">
      <c r="A96" s="747"/>
      <c r="E96" s="757"/>
      <c r="I96" s="747"/>
    </row>
    <row r="97" spans="5:33">
      <c r="E97" s="757"/>
    </row>
    <row r="98" spans="5:33">
      <c r="E98" s="757"/>
    </row>
    <row r="99" spans="5:33">
      <c r="E99" s="757"/>
    </row>
    <row r="100" spans="5:33">
      <c r="AC100" s="806"/>
    </row>
    <row r="101" spans="5:33">
      <c r="AC101" s="806"/>
    </row>
    <row r="106" spans="5:33" ht="12.75">
      <c r="AC106" s="2"/>
      <c r="AD106" s="2"/>
      <c r="AE106" s="2"/>
      <c r="AF106" s="2"/>
      <c r="AG106" s="2"/>
    </row>
  </sheetData>
  <mergeCells count="6">
    <mergeCell ref="B89:F89"/>
    <mergeCell ref="A2:H2"/>
    <mergeCell ref="M2:T2"/>
    <mergeCell ref="A3:H3"/>
    <mergeCell ref="M3:T3"/>
    <mergeCell ref="B88:F88"/>
  </mergeCells>
  <dataValidations count="1">
    <dataValidation type="list" allowBlank="1" showInputMessage="1" showErrorMessage="1" sqref="AD95:AG96 AD103:AG105 AD98:AG101" xr:uid="{7AFA0390-A488-42D2-A7CA-7FF699316C83}">
      <formula1>#REF!</formula1>
    </dataValidation>
  </dataValidations>
  <printOptions horizontalCentered="1"/>
  <pageMargins left="0.7" right="0.7" top="0.75" bottom="0.75" header="0.3" footer="0.3"/>
  <pageSetup scale="62"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42"/>
    <pageSetUpPr fitToPage="1"/>
  </sheetPr>
  <dimension ref="A1:BA126"/>
  <sheetViews>
    <sheetView tabSelected="1" workbookViewId="0">
      <selection activeCell="B7" sqref="B7:C7"/>
    </sheetView>
  </sheetViews>
  <sheetFormatPr defaultColWidth="0" defaultRowHeight="12.75" zeroHeight="1"/>
  <cols>
    <col min="1" max="1" width="3" customWidth="1"/>
    <col min="2" max="2" width="5.28515625" customWidth="1"/>
    <col min="3" max="3" width="11" customWidth="1"/>
    <col min="4" max="4" width="8.85546875" customWidth="1"/>
    <col min="5" max="5" width="6.28515625" customWidth="1"/>
    <col min="6" max="6" width="14.85546875" customWidth="1"/>
    <col min="7" max="7" width="11.42578125" customWidth="1"/>
    <col min="8" max="8" width="4.140625" customWidth="1"/>
    <col min="9" max="9" width="7.28515625" customWidth="1"/>
    <col min="10" max="10" width="10.85546875" customWidth="1"/>
    <col min="11" max="11" width="11.28515625" customWidth="1"/>
    <col min="12" max="12" width="12.7109375" customWidth="1"/>
    <col min="13" max="13" width="21.7109375" customWidth="1"/>
    <col min="14" max="14" width="5.7109375" customWidth="1"/>
    <col min="15" max="15" width="3.140625" customWidth="1"/>
    <col min="16" max="17" width="11.7109375" hidden="1" customWidth="1"/>
    <col min="18" max="18" width="12.5703125" hidden="1" customWidth="1"/>
    <col min="19" max="19" width="27.5703125" hidden="1" customWidth="1"/>
    <col min="20" max="20" width="15.42578125" hidden="1" customWidth="1"/>
    <col min="21" max="21" width="11.7109375" hidden="1" customWidth="1"/>
    <col min="22" max="22" width="14.5703125" hidden="1" customWidth="1"/>
    <col min="23" max="26" width="11.7109375" hidden="1" customWidth="1"/>
    <col min="27" max="27" width="35" hidden="1" customWidth="1"/>
    <col min="28" max="28" width="5" hidden="1" customWidth="1"/>
    <col min="29" max="30" width="11.7109375" hidden="1" customWidth="1"/>
    <col min="31" max="31" width="34" hidden="1" customWidth="1"/>
    <col min="32" max="40" width="11.7109375" hidden="1" customWidth="1"/>
    <col min="41" max="41" width="16.140625" hidden="1" customWidth="1"/>
    <col min="42" max="53" width="0" hidden="1" customWidth="1"/>
    <col min="54" max="16384" width="9.140625" hidden="1"/>
  </cols>
  <sheetData>
    <row r="1" spans="1:44" ht="25.5" customHeight="1">
      <c r="A1" s="276" t="s">
        <v>6980</v>
      </c>
      <c r="B1" s="7"/>
      <c r="C1" s="7"/>
      <c r="D1" s="7"/>
      <c r="E1" s="7"/>
      <c r="F1" s="7"/>
      <c r="G1" s="7"/>
      <c r="H1" s="7"/>
      <c r="I1" s="7"/>
      <c r="J1" s="7"/>
      <c r="K1" s="7"/>
      <c r="M1" s="22" t="s">
        <v>7842</v>
      </c>
      <c r="O1" s="1333" t="s">
        <v>7837</v>
      </c>
      <c r="P1" s="168"/>
      <c r="Q1" s="168"/>
      <c r="R1" s="168"/>
      <c r="S1" s="702"/>
      <c r="T1" s="702"/>
      <c r="U1" s="168"/>
      <c r="V1" s="168"/>
      <c r="W1" s="168"/>
      <c r="X1" s="168"/>
      <c r="Y1" s="168"/>
      <c r="Z1" s="168"/>
      <c r="AA1" s="168"/>
      <c r="AB1" s="168"/>
      <c r="AC1" s="168"/>
      <c r="AD1" s="168"/>
      <c r="AE1" s="168"/>
      <c r="AF1" s="168"/>
      <c r="AG1" s="168"/>
      <c r="AH1" s="168"/>
      <c r="AI1" s="168"/>
      <c r="AJ1" s="168"/>
      <c r="AK1" s="168"/>
    </row>
    <row r="2" spans="1:44" ht="24.75" customHeight="1">
      <c r="A2" s="7"/>
      <c r="B2" s="7"/>
      <c r="C2" s="7"/>
      <c r="D2" s="7"/>
      <c r="E2" s="7"/>
      <c r="F2" s="7"/>
      <c r="G2" s="7"/>
      <c r="H2" s="7"/>
      <c r="I2" s="7"/>
      <c r="J2" s="7"/>
      <c r="K2" s="7"/>
      <c r="L2" s="7"/>
      <c r="N2" s="7"/>
      <c r="O2" s="7"/>
      <c r="R2" s="3" t="s">
        <v>6702</v>
      </c>
      <c r="S2" s="3" t="s">
        <v>6702</v>
      </c>
      <c r="T2" s="3" t="s">
        <v>7241</v>
      </c>
      <c r="X2" t="str" cm="1">
        <f t="array" ref="X2">IF(U13=AA2,_xlfn._xlws.FILTER($AC$3:$AC$6,O1=$AA$3:$AA$6),IF(U13=AE2,_xlfn._xlws.FILTER($AG$3:$AG$7,O1=$AE$3:$AE$7),IF(U13=AI2,_xlfn._xlws.FILTER($AK$3:$AK$7,O1=$AI$3:$AI$7),"")))</f>
        <v/>
      </c>
      <c r="Y2" t="e" cm="1">
        <f t="array" ref="Y2">_xlfn._xlws.FILTER($Y$5:$Y$9,Q5=$T$3:$T$8,"")</f>
        <v>#VALUE!</v>
      </c>
      <c r="AA2" s="3" t="s">
        <v>7839</v>
      </c>
      <c r="AE2" s="3" t="s">
        <v>7840</v>
      </c>
      <c r="AI2" s="3" t="s">
        <v>152</v>
      </c>
      <c r="AP2" s="96"/>
    </row>
    <row r="3" spans="1:44" ht="20.25" customHeight="1">
      <c r="A3" s="7"/>
      <c r="B3" s="7"/>
      <c r="C3" s="7"/>
      <c r="D3" s="7"/>
      <c r="E3" s="7"/>
      <c r="F3" s="7"/>
      <c r="G3" s="7"/>
      <c r="H3" s="7"/>
      <c r="I3" s="7"/>
      <c r="J3" s="7"/>
      <c r="K3" s="7"/>
      <c r="L3" s="7"/>
      <c r="M3" s="7"/>
      <c r="N3" s="7"/>
      <c r="O3" s="7"/>
      <c r="R3" s="3" t="s">
        <v>151</v>
      </c>
      <c r="S3" s="3" t="s">
        <v>7839</v>
      </c>
      <c r="T3" s="3" t="s">
        <v>8110</v>
      </c>
      <c r="AA3" s="3" t="s">
        <v>8110</v>
      </c>
      <c r="AC3" s="3" t="s">
        <v>6883</v>
      </c>
      <c r="AE3" s="3" t="s">
        <v>8110</v>
      </c>
      <c r="AG3" s="3" t="s">
        <v>359</v>
      </c>
      <c r="AI3" s="3" t="s">
        <v>8110</v>
      </c>
      <c r="AK3" s="3" t="s">
        <v>359</v>
      </c>
      <c r="AP3" s="96"/>
    </row>
    <row r="4" spans="1:44" ht="9" customHeight="1" thickBot="1">
      <c r="A4" s="7"/>
      <c r="B4" s="7"/>
      <c r="C4" s="7"/>
      <c r="D4" s="7"/>
      <c r="E4" s="7"/>
      <c r="F4" s="7"/>
      <c r="G4" s="7"/>
      <c r="H4" s="7"/>
      <c r="I4" s="7"/>
      <c r="J4" s="7"/>
      <c r="K4" s="7"/>
      <c r="L4" s="7"/>
      <c r="M4" s="7"/>
      <c r="N4" s="7"/>
      <c r="O4" s="7"/>
      <c r="R4" s="3" t="s">
        <v>152</v>
      </c>
      <c r="S4" s="3" t="s">
        <v>7840</v>
      </c>
      <c r="T4" s="3" t="s">
        <v>7837</v>
      </c>
      <c r="AA4" s="3" t="s">
        <v>7837</v>
      </c>
      <c r="AC4" s="3" t="s">
        <v>7173</v>
      </c>
      <c r="AE4" s="3" t="s">
        <v>7837</v>
      </c>
      <c r="AG4" s="3" t="s">
        <v>6883</v>
      </c>
      <c r="AI4" s="3" t="s">
        <v>7838</v>
      </c>
      <c r="AK4" s="3" t="s">
        <v>6883</v>
      </c>
      <c r="AP4" s="96"/>
    </row>
    <row r="5" spans="1:44" ht="24.75" customHeight="1" thickBot="1">
      <c r="A5" s="16" t="s">
        <v>6979</v>
      </c>
      <c r="B5" s="16"/>
      <c r="C5" s="7"/>
      <c r="D5" s="7"/>
      <c r="E5" s="7"/>
      <c r="F5" s="7"/>
      <c r="G5" s="7"/>
      <c r="H5" s="7"/>
      <c r="I5" s="7"/>
      <c r="J5" s="7"/>
      <c r="K5" s="7"/>
      <c r="L5" s="7"/>
      <c r="M5" s="7"/>
      <c r="N5" s="7"/>
      <c r="O5" s="7"/>
      <c r="Q5" s="1331" t="s">
        <v>7838</v>
      </c>
      <c r="S5" s="3" t="s">
        <v>152</v>
      </c>
      <c r="T5" s="3"/>
      <c r="AA5" s="3" t="s">
        <v>7837</v>
      </c>
      <c r="AC5" s="3" t="s">
        <v>7595</v>
      </c>
      <c r="AE5" s="3" t="s">
        <v>7837</v>
      </c>
      <c r="AG5" s="3" t="s">
        <v>7173</v>
      </c>
      <c r="AI5" s="3" t="s">
        <v>7838</v>
      </c>
      <c r="AK5" s="3" t="s">
        <v>7173</v>
      </c>
      <c r="AP5" s="96"/>
    </row>
    <row r="6" spans="1:44" ht="24.75" customHeight="1" thickBot="1">
      <c r="A6" s="7"/>
      <c r="B6" s="124" t="s">
        <v>6701</v>
      </c>
      <c r="C6" s="124"/>
      <c r="D6" s="124"/>
      <c r="E6" s="124"/>
      <c r="F6" s="124" t="s">
        <v>100</v>
      </c>
      <c r="G6" s="124"/>
      <c r="H6" s="5"/>
      <c r="I6" s="656" t="s">
        <v>180</v>
      </c>
      <c r="J6" s="12"/>
      <c r="K6" s="13"/>
      <c r="L6" s="12"/>
      <c r="M6" s="7"/>
      <c r="N6" s="7"/>
      <c r="O6" s="7"/>
      <c r="S6" s="3"/>
      <c r="T6" s="3"/>
      <c r="AA6" s="3" t="s">
        <v>7837</v>
      </c>
      <c r="AC6" s="3" t="s">
        <v>7835</v>
      </c>
      <c r="AE6" s="3" t="s">
        <v>7837</v>
      </c>
      <c r="AG6" s="3" t="s">
        <v>7595</v>
      </c>
      <c r="AI6" s="3" t="s">
        <v>7838</v>
      </c>
      <c r="AK6" s="3" t="s">
        <v>7595</v>
      </c>
      <c r="AP6" s="96"/>
    </row>
    <row r="7" spans="1:44" ht="20.25" customHeight="1" thickBot="1">
      <c r="A7" s="7"/>
      <c r="B7" s="1423"/>
      <c r="C7" s="1424"/>
      <c r="D7" s="7"/>
      <c r="E7" s="7"/>
      <c r="F7" s="1423"/>
      <c r="G7" s="1425"/>
      <c r="H7" s="7"/>
      <c r="I7" s="1426"/>
      <c r="J7" s="1427"/>
      <c r="K7" s="1428"/>
      <c r="L7" s="7"/>
      <c r="M7" s="7"/>
      <c r="N7" s="7"/>
      <c r="O7" s="7"/>
      <c r="S7" s="3"/>
      <c r="T7" s="3"/>
      <c r="AC7" s="3"/>
      <c r="AE7" s="3" t="s">
        <v>7837</v>
      </c>
      <c r="AG7" s="3" t="s">
        <v>7835</v>
      </c>
      <c r="AI7" s="3" t="s">
        <v>7838</v>
      </c>
      <c r="AK7" s="3" t="s">
        <v>7835</v>
      </c>
      <c r="AP7" s="96"/>
    </row>
    <row r="8" spans="1:44" ht="7.5" customHeight="1">
      <c r="A8" s="7"/>
      <c r="C8" s="124"/>
      <c r="D8" s="7"/>
      <c r="E8" s="7"/>
      <c r="F8" s="7"/>
      <c r="G8" s="7"/>
      <c r="H8" s="7"/>
      <c r="I8" s="7"/>
      <c r="J8" s="128"/>
      <c r="K8" s="9"/>
      <c r="L8" s="7"/>
      <c r="M8" s="7"/>
      <c r="N8" s="7"/>
      <c r="O8" s="7"/>
      <c r="S8" s="3"/>
      <c r="T8" s="3"/>
      <c r="AC8" s="3"/>
      <c r="AE8" s="3"/>
      <c r="AG8" s="3"/>
      <c r="AI8" s="3"/>
      <c r="AK8" s="3"/>
      <c r="AP8" s="96"/>
    </row>
    <row r="9" spans="1:44" ht="12" customHeight="1" thickBot="1">
      <c r="A9" s="7"/>
      <c r="B9" s="125"/>
      <c r="C9" s="125"/>
      <c r="D9" s="7"/>
      <c r="E9" s="7"/>
      <c r="F9" s="125"/>
      <c r="G9" s="125"/>
      <c r="H9" s="125"/>
      <c r="I9" s="7"/>
      <c r="J9" s="7"/>
      <c r="K9" s="7"/>
      <c r="L9" s="7"/>
      <c r="M9" s="7"/>
      <c r="N9" s="7"/>
      <c r="O9" s="7"/>
      <c r="AA9" s="3"/>
      <c r="AC9" s="3"/>
      <c r="AP9" s="174"/>
      <c r="AQ9" s="174"/>
      <c r="AR9" s="96"/>
    </row>
    <row r="10" spans="1:44" ht="36.75" customHeight="1" thickBot="1">
      <c r="A10" s="7"/>
      <c r="B10" s="1467" t="s">
        <v>6981</v>
      </c>
      <c r="C10" s="1468"/>
      <c r="D10" s="1464"/>
      <c r="E10" s="1465"/>
      <c r="F10" s="1465"/>
      <c r="G10" s="1465"/>
      <c r="H10" s="1465"/>
      <c r="I10" s="1465"/>
      <c r="J10" s="1465"/>
      <c r="K10" s="1465"/>
      <c r="L10" s="1465"/>
      <c r="M10" s="1465"/>
      <c r="N10" s="1466"/>
      <c r="O10" s="7"/>
      <c r="S10" s="3" t="s">
        <v>7849</v>
      </c>
      <c r="T10" s="3"/>
      <c r="AA10" s="3"/>
      <c r="AC10" s="3"/>
      <c r="AP10" s="174"/>
      <c r="AQ10" s="174"/>
      <c r="AR10" s="96"/>
    </row>
    <row r="11" spans="1:44" ht="9" customHeight="1">
      <c r="A11" s="7"/>
      <c r="B11" s="126"/>
      <c r="C11" s="124"/>
      <c r="D11" s="7"/>
      <c r="E11" s="7"/>
      <c r="F11" s="7"/>
      <c r="G11" s="7"/>
      <c r="H11" s="7"/>
      <c r="I11" s="7"/>
      <c r="J11" s="7"/>
      <c r="K11" s="7"/>
      <c r="L11" s="7"/>
      <c r="M11" s="7"/>
      <c r="N11" s="7"/>
      <c r="O11" s="7"/>
      <c r="T11" s="3"/>
      <c r="U11" s="3" t="s">
        <v>8070</v>
      </c>
      <c r="AA11" s="3"/>
      <c r="AC11" s="3"/>
    </row>
    <row r="12" spans="1:44" ht="18.75" customHeight="1" thickBot="1">
      <c r="A12" s="7"/>
      <c r="B12" s="20" t="s">
        <v>6701</v>
      </c>
      <c r="C12" s="124"/>
      <c r="D12" s="274" t="s">
        <v>16</v>
      </c>
      <c r="E12" s="7"/>
      <c r="F12" s="7"/>
      <c r="G12" s="7"/>
      <c r="H12" s="7"/>
      <c r="I12" s="274" t="s">
        <v>208</v>
      </c>
      <c r="J12" s="7"/>
      <c r="K12" s="7"/>
      <c r="L12" s="274" t="s">
        <v>17</v>
      </c>
      <c r="M12" s="7"/>
      <c r="N12" s="7"/>
      <c r="O12" s="7"/>
      <c r="S12" s="20" t="s">
        <v>7834</v>
      </c>
      <c r="U12" s="3" t="s">
        <v>8069</v>
      </c>
      <c r="AA12" s="3"/>
      <c r="AC12" s="3"/>
    </row>
    <row r="13" spans="1:44" ht="14.25" customHeight="1" thickBot="1">
      <c r="A13" s="7"/>
      <c r="B13" s="124" t="s">
        <v>6978</v>
      </c>
      <c r="C13" s="7"/>
      <c r="D13" s="1452"/>
      <c r="E13" s="1453"/>
      <c r="F13" s="1453"/>
      <c r="G13" s="1454"/>
      <c r="H13" s="665"/>
      <c r="I13" s="1451"/>
      <c r="J13" s="1428"/>
      <c r="K13" s="665"/>
      <c r="L13" s="1448"/>
      <c r="M13" s="1449"/>
      <c r="N13" s="1450"/>
      <c r="O13" s="7"/>
      <c r="U13" s="1321" t="str">
        <f>IF(B17="","",IF(AND(B17=R3,F17='TAB 4 Project Funding'!P35),AD117,IF(AND(B17=R3,F17='TAB 4 Project Funding'!P36),AE117,IF(B17=R4,AF117,""))))</f>
        <v/>
      </c>
      <c r="AA13" s="3"/>
      <c r="AC13" s="3"/>
    </row>
    <row r="14" spans="1:44" ht="12.75" customHeight="1">
      <c r="A14" s="7"/>
      <c r="B14" s="9"/>
      <c r="C14" s="127"/>
      <c r="D14" s="7"/>
      <c r="E14" s="7"/>
      <c r="F14" s="7"/>
      <c r="G14" s="7"/>
      <c r="H14" s="7"/>
      <c r="I14" s="7"/>
      <c r="J14" s="7"/>
      <c r="K14" s="7"/>
      <c r="L14" s="7"/>
      <c r="M14" s="7"/>
      <c r="N14" s="7"/>
      <c r="O14" s="7"/>
      <c r="AA14" s="3"/>
      <c r="AC14" s="3"/>
    </row>
    <row r="15" spans="1:44" ht="17.25" customHeight="1">
      <c r="A15" s="7"/>
      <c r="B15" s="124" t="s">
        <v>6872</v>
      </c>
      <c r="C15" s="7"/>
      <c r="D15" s="7"/>
      <c r="E15" s="7"/>
      <c r="F15" s="124" t="str">
        <f>IF(B17=R3,"Large Cap Funding Method","")</f>
        <v/>
      </c>
      <c r="G15" s="277"/>
      <c r="H15" s="307"/>
      <c r="I15" s="7"/>
      <c r="J15" s="7"/>
      <c r="K15" s="22"/>
      <c r="L15" s="124" t="s">
        <v>393</v>
      </c>
      <c r="M15" s="7"/>
      <c r="N15" s="7"/>
      <c r="O15" s="7"/>
      <c r="R15" s="3" t="s">
        <v>6881</v>
      </c>
      <c r="AA15" s="3"/>
      <c r="AC15" s="3"/>
    </row>
    <row r="16" spans="1:44" ht="6" customHeight="1" thickBot="1">
      <c r="A16" s="7"/>
      <c r="B16" s="485"/>
      <c r="C16" s="7"/>
      <c r="D16" s="7"/>
      <c r="E16" s="7"/>
      <c r="F16" s="485"/>
      <c r="G16" s="482"/>
      <c r="H16" s="1320"/>
      <c r="I16" s="277"/>
      <c r="J16" s="485"/>
      <c r="K16" s="130"/>
      <c r="L16" s="7"/>
      <c r="M16" s="7"/>
      <c r="N16" s="7"/>
      <c r="O16" s="7"/>
      <c r="R16" s="3" t="s">
        <v>6878</v>
      </c>
      <c r="AA16" s="3"/>
      <c r="AC16" s="3"/>
    </row>
    <row r="17" spans="1:26" ht="20.25" customHeight="1" thickBot="1">
      <c r="A17" s="7"/>
      <c r="B17" s="1423"/>
      <c r="C17" s="1459"/>
      <c r="D17" s="1460"/>
      <c r="E17" s="7"/>
      <c r="F17" s="1423" t="s">
        <v>6904</v>
      </c>
      <c r="G17" s="1462"/>
      <c r="H17" s="1462"/>
      <c r="I17" s="1462"/>
      <c r="J17" s="1463"/>
      <c r="K17" s="7"/>
      <c r="L17" s="1423"/>
      <c r="M17" s="1428"/>
      <c r="N17" s="7"/>
      <c r="O17" s="7"/>
      <c r="R17" s="3" t="s">
        <v>6879</v>
      </c>
    </row>
    <row r="18" spans="1:26" ht="19.5" customHeight="1">
      <c r="A18" s="7"/>
      <c r="B18" s="1323" t="str">
        <f>IF($U$13="","",IF($U$13&lt;&gt;AD106,"",IF($J$27&gt;5000000,AD113,"")))</f>
        <v/>
      </c>
      <c r="C18" s="7"/>
      <c r="D18" s="7"/>
      <c r="E18" s="7"/>
      <c r="F18" s="1461" t="str">
        <f>IF(U13='TAB 4 Project Funding'!N20,W25,"")</f>
        <v/>
      </c>
      <c r="G18" s="1414"/>
      <c r="H18" s="1414"/>
      <c r="I18" s="1414"/>
      <c r="J18" s="1414"/>
      <c r="K18" s="1414"/>
      <c r="L18" s="7"/>
      <c r="M18" s="7"/>
      <c r="N18" s="7"/>
      <c r="O18" s="7"/>
      <c r="R18" s="3" t="s">
        <v>6880</v>
      </c>
      <c r="W18" s="496" t="s">
        <v>6899</v>
      </c>
      <c r="X18" s="494"/>
      <c r="Y18" s="494"/>
      <c r="Z18" s="7"/>
    </row>
    <row r="19" spans="1:26" ht="19.5" customHeight="1">
      <c r="A19" s="7"/>
      <c r="B19" s="1322" t="str">
        <f>IF($U$13="","",IF(J27=0,"",IF($U$13=AD106,"",IF($J$27&lt;5000001,AD114,""))))</f>
        <v/>
      </c>
      <c r="C19" s="7"/>
      <c r="D19" s="7"/>
      <c r="E19" s="7"/>
      <c r="F19" s="1414"/>
      <c r="G19" s="1414"/>
      <c r="H19" s="1414"/>
      <c r="I19" s="1414"/>
      <c r="J19" s="1414"/>
      <c r="K19" s="1414"/>
      <c r="L19" s="7"/>
      <c r="M19" s="7"/>
      <c r="N19" s="7"/>
      <c r="O19" s="7"/>
      <c r="W19" s="495" t="s">
        <v>6900</v>
      </c>
      <c r="X19" s="494"/>
      <c r="Y19" s="494"/>
      <c r="Z19" s="7"/>
    </row>
    <row r="20" spans="1:26" ht="4.5" customHeight="1">
      <c r="A20" s="7"/>
      <c r="B20" s="129"/>
      <c r="C20" s="124"/>
      <c r="D20" s="7"/>
      <c r="E20" s="7"/>
      <c r="F20" s="328"/>
      <c r="G20" s="328"/>
      <c r="H20" s="124"/>
      <c r="I20" s="7"/>
      <c r="J20" s="7"/>
      <c r="K20" s="7"/>
      <c r="L20" s="7"/>
      <c r="M20" s="7"/>
      <c r="N20" s="7"/>
      <c r="O20" s="7"/>
      <c r="W20" s="493" t="s">
        <v>6901</v>
      </c>
      <c r="X20" s="494"/>
      <c r="Y20" s="494"/>
      <c r="Z20" s="7"/>
    </row>
    <row r="21" spans="1:26" ht="16.5" customHeight="1">
      <c r="A21" s="16" t="s">
        <v>8075</v>
      </c>
      <c r="B21" s="498"/>
      <c r="C21" s="7"/>
      <c r="D21" s="7"/>
      <c r="E21" s="7"/>
      <c r="F21" s="7"/>
      <c r="G21" s="7"/>
      <c r="H21" s="7"/>
      <c r="I21" s="7"/>
      <c r="J21" s="7"/>
      <c r="K21" s="7"/>
      <c r="L21" s="7"/>
      <c r="M21" s="7"/>
      <c r="N21" s="7"/>
      <c r="O21" s="7"/>
      <c r="Q21" s="169"/>
    </row>
    <row r="22" spans="1:26" ht="14.25" customHeight="1" thickBot="1">
      <c r="A22" s="7"/>
      <c r="B22" s="7"/>
      <c r="C22" s="7"/>
      <c r="D22" s="7"/>
      <c r="E22" s="7"/>
      <c r="F22" s="7"/>
      <c r="G22" s="7"/>
      <c r="H22" s="1456" t="str">
        <f>IF(U13&lt;&gt;"",AC110,"")</f>
        <v/>
      </c>
      <c r="I22" s="1457"/>
      <c r="J22" s="1457"/>
      <c r="K22" s="1457"/>
      <c r="L22" s="1457"/>
      <c r="M22" s="1457"/>
      <c r="N22" s="1458"/>
      <c r="O22" s="1458"/>
      <c r="S22" s="3" t="s">
        <v>151</v>
      </c>
      <c r="T22" s="3" t="s">
        <v>6885</v>
      </c>
    </row>
    <row r="23" spans="1:26" ht="44.25" customHeight="1" thickBot="1">
      <c r="A23" s="7"/>
      <c r="B23" s="1443" t="str">
        <f>IF(U13=AD104,AG105,IF(U13=AD105,AG105,IF(U13=AE106,AH105,IF(U13=AC121,AI105,""))))</f>
        <v/>
      </c>
      <c r="C23" s="1445"/>
      <c r="D23" s="1378"/>
      <c r="E23" s="1443" t="str">
        <f>IF(U13=AD105,AG106,IF(U13=AE106,AG106,IF(U13=AD104,AF106,"")))</f>
        <v/>
      </c>
      <c r="F23" s="1444"/>
      <c r="G23" s="1379"/>
      <c r="H23" s="1457"/>
      <c r="I23" s="1457"/>
      <c r="J23" s="1457"/>
      <c r="K23" s="1457"/>
      <c r="L23" s="1457"/>
      <c r="M23" s="1457"/>
      <c r="N23" s="1458"/>
      <c r="O23" s="1458"/>
      <c r="S23" s="3" t="s">
        <v>152</v>
      </c>
      <c r="T23" s="3" t="s">
        <v>6886</v>
      </c>
    </row>
    <row r="24" spans="1:26" ht="15" customHeight="1">
      <c r="B24" s="328"/>
      <c r="D24" s="7"/>
      <c r="E24" s="7"/>
      <c r="F24" s="735"/>
      <c r="G24" s="1332" t="str">
        <f>IF(AND(O1=T4,U13=S4,G23=AG3),S24,IF(AND(O1=T4,U13=S3,G23=AG3),S24,IF(AND(O1=T4,U13=S3,G23=AG4),S24,IF(AND(O1=T4,U13=S5,G23=AK3),S24,""))))</f>
        <v/>
      </c>
      <c r="H24" s="1457"/>
      <c r="I24" s="1457"/>
      <c r="J24" s="1457"/>
      <c r="K24" s="1457"/>
      <c r="L24" s="1457"/>
      <c r="M24" s="1457"/>
      <c r="N24" s="1458"/>
      <c r="O24" s="1458"/>
      <c r="S24" s="3" t="s">
        <v>8074</v>
      </c>
    </row>
    <row r="25" spans="1:26" ht="25.5" customHeight="1">
      <c r="A25" s="16" t="s">
        <v>6984</v>
      </c>
      <c r="B25" s="20"/>
      <c r="C25" s="327"/>
      <c r="D25" s="7"/>
      <c r="E25" s="7"/>
      <c r="F25" s="7"/>
      <c r="G25" s="7"/>
      <c r="H25" s="7"/>
      <c r="I25" s="7"/>
      <c r="J25" s="7"/>
      <c r="K25" s="7"/>
      <c r="L25" s="7"/>
      <c r="M25" s="7"/>
      <c r="N25" s="7"/>
      <c r="O25" s="7"/>
      <c r="W25" s="504" t="s">
        <v>8071</v>
      </c>
    </row>
    <row r="26" spans="1:26" ht="17.25" customHeight="1" thickBot="1">
      <c r="A26" s="7"/>
      <c r="B26" s="304" t="s">
        <v>400</v>
      </c>
      <c r="C26" s="327"/>
      <c r="D26" s="7"/>
      <c r="E26" s="7"/>
      <c r="F26" s="304" t="s">
        <v>7003</v>
      </c>
      <c r="G26" s="657"/>
      <c r="H26" s="657"/>
      <c r="I26" s="8"/>
      <c r="J26" s="304" t="s">
        <v>401</v>
      </c>
      <c r="K26" s="658"/>
      <c r="L26" s="3"/>
      <c r="M26" s="655" t="s">
        <v>402</v>
      </c>
      <c r="N26" s="7"/>
      <c r="O26" s="7"/>
    </row>
    <row r="27" spans="1:26" ht="19.5" customHeight="1" thickBot="1">
      <c r="A27" s="7"/>
      <c r="B27" s="1446">
        <f>'TAB 3 Project Cost'!F5</f>
        <v>0</v>
      </c>
      <c r="C27" s="1478"/>
      <c r="D27" s="1447"/>
      <c r="E27" s="7"/>
      <c r="F27" s="1446">
        <f>'TAB 3 Project Cost'!G20+'TAB 3 Project Cost'!G51+'TAB 3 Project Cost'!G96</f>
        <v>0</v>
      </c>
      <c r="G27" s="1447"/>
      <c r="H27" s="7"/>
      <c r="I27" s="7"/>
      <c r="J27" s="1446">
        <f>'TAB 4 Project Funding'!F19</f>
        <v>0</v>
      </c>
      <c r="K27" s="1447"/>
      <c r="L27" s="7"/>
      <c r="M27" s="1455">
        <f>B27-J27</f>
        <v>0</v>
      </c>
      <c r="N27" s="1440"/>
      <c r="O27" s="7"/>
      <c r="Q27" s="3" t="s">
        <v>8095</v>
      </c>
    </row>
    <row r="28" spans="1:26" ht="19.5" customHeight="1" thickBot="1">
      <c r="A28" s="7"/>
      <c r="B28" s="124"/>
      <c r="C28" s="124"/>
      <c r="D28" s="7"/>
      <c r="E28" s="7"/>
      <c r="F28" s="729"/>
      <c r="G28" s="729"/>
      <c r="H28" s="129"/>
      <c r="I28" s="7"/>
      <c r="J28" s="8"/>
      <c r="K28" s="7"/>
      <c r="L28" s="7"/>
      <c r="M28" s="7"/>
      <c r="N28" s="7"/>
      <c r="O28" s="7"/>
      <c r="Q28" s="484" t="s">
        <v>6875</v>
      </c>
      <c r="R28" t="b">
        <f>J27=0</f>
        <v>1</v>
      </c>
    </row>
    <row r="29" spans="1:26" ht="31.5" customHeight="1" thickBot="1">
      <c r="A29" s="7"/>
      <c r="B29" s="1493" t="s">
        <v>6982</v>
      </c>
      <c r="C29" s="1494"/>
      <c r="D29" s="1495"/>
      <c r="E29" s="1496"/>
      <c r="F29" s="15" t="s">
        <v>214</v>
      </c>
      <c r="G29" s="483" t="s">
        <v>278</v>
      </c>
      <c r="H29" s="1441" t="s">
        <v>6898</v>
      </c>
      <c r="I29" s="1442"/>
      <c r="J29" s="15" t="s">
        <v>6983</v>
      </c>
      <c r="K29" s="15" t="s">
        <v>199</v>
      </c>
      <c r="L29" s="15" t="s">
        <v>181</v>
      </c>
      <c r="M29" s="1481" t="s">
        <v>204</v>
      </c>
      <c r="N29" s="1447"/>
      <c r="O29" s="7"/>
      <c r="Q29" s="3" t="s">
        <v>6873</v>
      </c>
      <c r="R29" t="b">
        <f>AND(U13=AE106,J27&lt;5000000)</f>
        <v>0</v>
      </c>
    </row>
    <row r="30" spans="1:26" ht="15" customHeight="1" thickBot="1">
      <c r="A30" s="7"/>
      <c r="B30" s="500" t="s">
        <v>0</v>
      </c>
      <c r="C30" s="534"/>
      <c r="D30" s="535"/>
      <c r="E30" s="536"/>
      <c r="F30" s="525" t="str">
        <f>IF('TAB 3 Project Cost'!G34=0,"",'TAB 3 Project Cost'!G34)</f>
        <v/>
      </c>
      <c r="G30" s="526" t="str">
        <f>IF('TAB 3 Project Cost'!G10=0,"",'TAB 3 Project Cost'!G10)</f>
        <v/>
      </c>
      <c r="H30" s="1490" t="str">
        <f>IF('TAB 3 Project Cost'!G34=0,"",'TAB 3 Project Cost'!H12)</f>
        <v/>
      </c>
      <c r="I30" s="1434"/>
      <c r="J30" s="525">
        <f>'TAB 3 Project Cost'!H20</f>
        <v>0</v>
      </c>
      <c r="K30" s="525" t="str">
        <f>IF('TAB 3 Project Cost'!H34=0,"",'TAB 3 Project Cost'!H34)</f>
        <v/>
      </c>
      <c r="L30" s="527" t="str">
        <f>IF('TAB 3 Project Cost'!F21=0,"",'TAB 3 Project Cost'!F21)</f>
        <v/>
      </c>
      <c r="M30" s="1482" t="str">
        <f>IF('TAB 2 Project Specs'!J7="","",'TAB 2 Project Specs'!J7)</f>
        <v/>
      </c>
      <c r="N30" s="1483"/>
      <c r="O30" s="7"/>
      <c r="Q30" s="3" t="s">
        <v>6874</v>
      </c>
      <c r="R30" s="3" t="b">
        <f>AND(U13=AD105,J27&gt;5000000)</f>
        <v>0</v>
      </c>
      <c r="S30" s="169" t="s">
        <v>6876</v>
      </c>
    </row>
    <row r="31" spans="1:26" ht="15" customHeight="1" thickBot="1">
      <c r="A31" s="7"/>
      <c r="B31" s="500" t="s">
        <v>1</v>
      </c>
      <c r="C31" s="534"/>
      <c r="D31" s="535"/>
      <c r="E31" s="536"/>
      <c r="F31" s="525" t="str">
        <f>IF('TAB 3 Project Cost'!G65=0,"",'TAB 3 Project Cost'!G65)</f>
        <v/>
      </c>
      <c r="G31" s="526" t="str">
        <f>IF('TAB 3 Project Cost'!G36=0,"",'TAB 3 Project Cost'!G36)</f>
        <v/>
      </c>
      <c r="H31" s="1490" t="str">
        <f>IF('TAB 3 Project Cost'!G65=0,"",'TAB 3 Project Cost'!H39)</f>
        <v/>
      </c>
      <c r="I31" s="1434"/>
      <c r="J31" s="525">
        <f>'TAB 3 Project Cost'!H51</f>
        <v>0</v>
      </c>
      <c r="K31" s="525" t="str">
        <f>IF('TAB 3 Project Cost'!H65=0,"",'TAB 3 Project Cost'!H65)</f>
        <v/>
      </c>
      <c r="L31" s="527" t="str">
        <f>IF('TAB 3 Project Cost'!F52=0,"",'TAB 3 Project Cost'!F52)</f>
        <v/>
      </c>
      <c r="M31" s="539"/>
      <c r="N31" s="659"/>
      <c r="O31" s="7"/>
      <c r="R31" s="3" t="b">
        <f>R28=TRUE</f>
        <v>1</v>
      </c>
    </row>
    <row r="32" spans="1:26" ht="15" customHeight="1">
      <c r="A32" s="7"/>
      <c r="B32" s="1190" t="str">
        <f>IF('TAB 2 Project Specs'!I19="","",'TAB 2 Project Specs'!I19)</f>
        <v/>
      </c>
      <c r="C32" s="1128"/>
      <c r="D32" s="1129"/>
      <c r="E32" s="1130"/>
      <c r="F32" s="660" t="str">
        <f>IF('TAB 3 Project Cost'!AC65=0,"",'TAB 3 Project Cost'!AC65)</f>
        <v/>
      </c>
      <c r="G32" s="1193" t="str">
        <f>IF('TAB 2 Project Specs'!D26="","",'TAB 2 Project Specs'!D26)</f>
        <v/>
      </c>
      <c r="H32" s="1491" t="str">
        <f>IF('TAB 3 Project Cost'!H39=0,"",'TAB 3 Project Cost'!H39)</f>
        <v/>
      </c>
      <c r="I32" s="1492"/>
      <c r="J32" s="660">
        <f>IFERROR('TAB 3 Project Cost'!AC51/'TAB 3 Project Cost'!F39,0)</f>
        <v>0</v>
      </c>
      <c r="K32" s="660">
        <f>IFERROR('TAB 3 Project Cost'!AC65/'TAB 3 Project Cost'!F39,0)</f>
        <v>0</v>
      </c>
      <c r="L32" s="528"/>
      <c r="M32" s="1484" t="str">
        <f>IF('TAB 2 Project Specs'!M20="","",'TAB 2 Project Specs'!M20)</f>
        <v/>
      </c>
      <c r="N32" s="1485"/>
      <c r="O32" s="7"/>
      <c r="Q32" t="s">
        <v>6877</v>
      </c>
      <c r="R32" t="b">
        <f>AND(U13="",J27&gt;0)</f>
        <v>0</v>
      </c>
    </row>
    <row r="33" spans="1:41" ht="15" customHeight="1">
      <c r="A33" s="7"/>
      <c r="B33" s="1191" t="str">
        <f>IF('TAB 2 Project Specs'!I36="","",'TAB 2 Project Specs'!I36)</f>
        <v/>
      </c>
      <c r="C33" s="1123"/>
      <c r="D33" s="1124"/>
      <c r="E33" s="1125"/>
      <c r="F33" s="661" t="str">
        <f>IF('TAB 3 Project Cost'!AD65=0,"",'TAB 3 Project Cost'!AD65)</f>
        <v/>
      </c>
      <c r="G33" s="1194" t="str">
        <f>IF('TAB 2 Project Specs'!D43="","",'TAB 2 Project Specs'!D43)</f>
        <v/>
      </c>
      <c r="H33" s="1437" t="str">
        <f>IF('TAB 3 Project Cost'!H40=0,"",'TAB 3 Project Cost'!H40)</f>
        <v/>
      </c>
      <c r="I33" s="1438"/>
      <c r="J33" s="661">
        <f>IFERROR('TAB 3 Project Cost'!AD51/'TAB 3 Project Cost'!F40,0)</f>
        <v>0</v>
      </c>
      <c r="K33" s="661">
        <f>IFERROR('TAB 3 Project Cost'!AD65/'TAB 3 Project Cost'!F40,0)</f>
        <v>0</v>
      </c>
      <c r="L33" s="529"/>
      <c r="M33" s="1486" t="str">
        <f>IF('TAB 2 Project Specs'!M37="","",'TAB 2 Project Specs'!M37)</f>
        <v/>
      </c>
      <c r="N33" s="1487"/>
      <c r="O33" s="7"/>
    </row>
    <row r="34" spans="1:41" ht="15" customHeight="1" thickBot="1">
      <c r="A34" s="7"/>
      <c r="B34" s="1192" t="str">
        <f>IF('TAB 2 Project Specs'!I53="","",'TAB 2 Project Specs'!I53)</f>
        <v/>
      </c>
      <c r="C34" s="1126"/>
      <c r="D34" s="1016"/>
      <c r="E34" s="1127"/>
      <c r="F34" s="662" t="str">
        <f>IF('TAB 3 Project Cost'!AE65=0,"",'TAB 3 Project Cost'!AE65)</f>
        <v/>
      </c>
      <c r="G34" s="1195" t="str">
        <f>IF('TAB 2 Project Specs'!D56="","",'TAB 2 Project Specs'!D56)</f>
        <v/>
      </c>
      <c r="H34" s="1435" t="str">
        <f>IF('TAB 3 Project Cost'!H41=0,"",'TAB 3 Project Cost'!H41)</f>
        <v/>
      </c>
      <c r="I34" s="1436"/>
      <c r="J34" s="662">
        <f>IFERROR('TAB 3 Project Cost'!AE51/'TAB 3 Project Cost'!F41,0)</f>
        <v>0</v>
      </c>
      <c r="K34" s="662">
        <f>IFERROR('TAB 3 Project Cost'!AE65/'TAB 3 Project Cost'!F41,0)</f>
        <v>0</v>
      </c>
      <c r="L34" s="530"/>
      <c r="M34" s="1488" t="str">
        <f>IF('TAB 2 Project Specs'!M54="","",'TAB 2 Project Specs'!M54)</f>
        <v/>
      </c>
      <c r="N34" s="1489"/>
      <c r="O34" s="7"/>
    </row>
    <row r="35" spans="1:41" ht="15" customHeight="1" thickBot="1">
      <c r="A35" s="7"/>
      <c r="B35" s="500" t="s">
        <v>2</v>
      </c>
      <c r="C35" s="534"/>
      <c r="D35" s="535"/>
      <c r="E35" s="536"/>
      <c r="F35" s="525" t="str">
        <f>IF('TAB 3 Project Cost'!G80=0,"",'TAB 3 Project Cost'!G80)</f>
        <v/>
      </c>
      <c r="G35" s="526" t="str">
        <f>IF('TAB 3 Project Cost'!F80=0,"",'TAB 3 Project Cost'!F80)</f>
        <v/>
      </c>
      <c r="H35" s="1433"/>
      <c r="I35" s="1434"/>
      <c r="J35" s="533"/>
      <c r="K35" s="525" t="str">
        <f>IF('TAB 3 Project Cost'!H80=0,"",'TAB 3 Project Cost'!H80)</f>
        <v/>
      </c>
      <c r="L35" s="531"/>
      <c r="M35" s="539"/>
      <c r="N35" s="659"/>
      <c r="O35" s="7"/>
    </row>
    <row r="36" spans="1:41" ht="15" customHeight="1" thickBot="1">
      <c r="A36" s="7"/>
      <c r="B36" s="500" t="s">
        <v>3</v>
      </c>
      <c r="C36" s="534"/>
      <c r="D36" s="535"/>
      <c r="E36" s="536"/>
      <c r="F36" s="525" t="str">
        <f>IF('TAB 3 Project Cost'!G104=0,"",'TAB 3 Project Cost'!G104)</f>
        <v/>
      </c>
      <c r="G36" s="532"/>
      <c r="H36" s="1433"/>
      <c r="I36" s="1434"/>
      <c r="J36" s="533"/>
      <c r="K36" s="533"/>
      <c r="L36" s="531"/>
      <c r="M36" s="539"/>
      <c r="N36" s="659"/>
      <c r="O36" s="7"/>
    </row>
    <row r="37" spans="1:41" ht="15" customHeight="1" thickBot="1">
      <c r="A37" s="7"/>
      <c r="B37" s="500" t="s">
        <v>146</v>
      </c>
      <c r="C37" s="534"/>
      <c r="D37" s="535"/>
      <c r="E37" s="536"/>
      <c r="F37" s="525" t="str">
        <f>IF('TAB 3 Project Cost'!G112=0,"",'TAB 3 Project Cost'!G112)</f>
        <v/>
      </c>
      <c r="G37" s="526" t="str">
        <f>IF('TAB 3 Project Cost'!H108=0,"",'TAB 3 Project Cost'!H108)</f>
        <v/>
      </c>
      <c r="H37" s="1490" t="str">
        <f>IF('TAB 3 Project Cost'!F111=0,"",'TAB 3 Project Cost'!F111)</f>
        <v/>
      </c>
      <c r="I37" s="1434"/>
      <c r="J37" s="525"/>
      <c r="K37" s="525" t="str">
        <f>IF('TAB 3 Project Cost'!G111=0,"",'TAB 3 Project Cost'!G111)</f>
        <v/>
      </c>
      <c r="L37" s="531"/>
      <c r="M37" s="539"/>
      <c r="N37" s="659"/>
      <c r="O37" s="7"/>
    </row>
    <row r="38" spans="1:41" ht="9.75" customHeight="1">
      <c r="A38" s="7"/>
      <c r="B38" s="7"/>
      <c r="C38" s="7"/>
      <c r="D38" s="7"/>
      <c r="E38" s="7"/>
      <c r="F38" s="7"/>
      <c r="G38" s="7"/>
      <c r="H38" s="7"/>
      <c r="I38" s="135"/>
      <c r="J38" s="135"/>
      <c r="K38" s="135"/>
      <c r="L38" s="135"/>
      <c r="M38" s="135"/>
      <c r="N38" s="7"/>
      <c r="O38" s="7"/>
    </row>
    <row r="39" spans="1:41" ht="6.75" customHeight="1">
      <c r="A39" s="16"/>
      <c r="C39" s="7"/>
      <c r="D39" s="7"/>
      <c r="E39" s="7"/>
      <c r="F39" s="7"/>
      <c r="G39" s="7"/>
      <c r="H39" s="7"/>
      <c r="I39" s="135"/>
      <c r="J39" s="135"/>
      <c r="K39" s="135"/>
      <c r="L39" s="135"/>
      <c r="M39" s="135"/>
      <c r="N39" s="7"/>
      <c r="O39" s="7"/>
    </row>
    <row r="40" spans="1:41" ht="21.75" customHeight="1">
      <c r="A40" s="16" t="s">
        <v>6985</v>
      </c>
      <c r="B40" s="16"/>
      <c r="C40" s="7"/>
      <c r="D40" s="7"/>
      <c r="E40" s="7"/>
      <c r="F40" s="7"/>
      <c r="G40" s="7"/>
      <c r="H40" s="7"/>
      <c r="I40" s="135"/>
      <c r="J40" s="135"/>
      <c r="K40" s="135"/>
      <c r="L40" s="135"/>
      <c r="M40" s="135"/>
      <c r="N40" s="7"/>
      <c r="O40" s="7"/>
    </row>
    <row r="41" spans="1:41" ht="16.5" customHeight="1" thickBot="1">
      <c r="A41" s="7"/>
      <c r="B41" s="524" t="s">
        <v>7174</v>
      </c>
      <c r="C41" s="7"/>
      <c r="D41" s="7"/>
      <c r="E41" s="7"/>
      <c r="F41" s="7"/>
      <c r="G41" s="7"/>
      <c r="H41" s="7"/>
      <c r="I41" s="135"/>
      <c r="J41" s="135"/>
      <c r="K41" s="135"/>
      <c r="L41" s="135"/>
      <c r="M41" s="135"/>
      <c r="N41" s="7"/>
      <c r="O41" s="7"/>
    </row>
    <row r="42" spans="1:41" ht="180.75" customHeight="1" thickBot="1">
      <c r="A42" s="7"/>
      <c r="B42" s="1480" t="s">
        <v>8139</v>
      </c>
      <c r="C42" s="1473"/>
      <c r="D42" s="1473"/>
      <c r="E42" s="1473"/>
      <c r="F42" s="1473"/>
      <c r="G42" s="1473"/>
      <c r="H42" s="1473"/>
      <c r="I42" s="1473"/>
      <c r="J42" s="1473"/>
      <c r="K42" s="1473"/>
      <c r="L42" s="1473"/>
      <c r="M42" s="1473"/>
      <c r="N42" s="1474"/>
      <c r="O42" s="7"/>
    </row>
    <row r="43" spans="1:41" ht="8.25" customHeight="1">
      <c r="A43" s="7"/>
      <c r="B43" s="7"/>
      <c r="C43" s="7"/>
      <c r="D43" s="7"/>
      <c r="E43" s="7"/>
      <c r="F43" s="7"/>
      <c r="G43" s="7"/>
      <c r="H43" s="7"/>
      <c r="I43" s="7"/>
      <c r="J43" s="7"/>
      <c r="K43" s="7"/>
      <c r="L43" s="7"/>
      <c r="M43" s="7"/>
      <c r="N43" s="7"/>
      <c r="O43" s="7"/>
      <c r="AI43" s="169"/>
      <c r="AJ43" s="169"/>
      <c r="AK43" s="169"/>
    </row>
    <row r="44" spans="1:41" ht="22.5" customHeight="1">
      <c r="A44" s="16" t="s">
        <v>6986</v>
      </c>
      <c r="B44" s="16"/>
      <c r="C44" s="7"/>
      <c r="D44" s="7"/>
      <c r="E44" s="7"/>
      <c r="F44" s="7"/>
      <c r="G44" s="7"/>
      <c r="H44" s="25"/>
      <c r="I44" s="12"/>
      <c r="J44" s="12"/>
      <c r="K44" s="12"/>
      <c r="L44" s="12"/>
      <c r="M44" s="12"/>
      <c r="N44" s="12"/>
      <c r="O44" s="497"/>
      <c r="P44" s="174"/>
      <c r="Q44" s="174"/>
      <c r="V44" s="169"/>
      <c r="W44" s="169"/>
      <c r="X44" s="169"/>
      <c r="Y44" s="169"/>
      <c r="Z44" s="169"/>
      <c r="AD44" s="169"/>
      <c r="AE44" s="169"/>
      <c r="AF44" s="169"/>
      <c r="AG44" s="169"/>
      <c r="AH44" s="169"/>
      <c r="AI44" s="169"/>
      <c r="AJ44" s="169"/>
      <c r="AK44" s="169"/>
      <c r="AL44" s="169"/>
      <c r="AM44" s="169"/>
      <c r="AN44" s="169"/>
      <c r="AO44" s="169"/>
    </row>
    <row r="45" spans="1:41" ht="18.75" customHeight="1" thickBot="1">
      <c r="A45" s="7"/>
      <c r="B45" s="524" t="s">
        <v>6914</v>
      </c>
      <c r="C45" s="26"/>
      <c r="D45" s="7"/>
      <c r="E45" s="7"/>
      <c r="F45" s="26"/>
      <c r="G45" s="26"/>
      <c r="H45" s="27"/>
      <c r="I45" s="27"/>
      <c r="J45" s="12"/>
      <c r="K45" s="12"/>
      <c r="L45" s="12"/>
      <c r="M45" s="12"/>
      <c r="N45" s="12"/>
      <c r="O45" s="497"/>
      <c r="P45" s="174"/>
      <c r="Q45" s="174"/>
      <c r="R45" s="169"/>
      <c r="U45" s="169"/>
      <c r="V45" s="169"/>
      <c r="W45" s="169"/>
      <c r="X45" s="169"/>
      <c r="Y45" s="169"/>
      <c r="Z45" s="169"/>
      <c r="AD45" s="169"/>
      <c r="AE45" s="169"/>
      <c r="AF45" s="169"/>
      <c r="AG45" s="169"/>
      <c r="AH45" s="169"/>
      <c r="AI45" s="169"/>
      <c r="AJ45" s="169"/>
      <c r="AK45" s="169"/>
      <c r="AL45" s="169"/>
      <c r="AM45" s="169"/>
      <c r="AN45" s="169"/>
      <c r="AO45" s="169"/>
    </row>
    <row r="46" spans="1:41" ht="203.25" customHeight="1" thickBot="1">
      <c r="A46" s="7"/>
      <c r="B46" s="1480" t="s">
        <v>8140</v>
      </c>
      <c r="C46" s="1473"/>
      <c r="D46" s="1473"/>
      <c r="E46" s="1473"/>
      <c r="F46" s="1473"/>
      <c r="G46" s="1473"/>
      <c r="H46" s="1473"/>
      <c r="I46" s="1473"/>
      <c r="J46" s="1473"/>
      <c r="K46" s="1473"/>
      <c r="L46" s="1473"/>
      <c r="M46" s="1473"/>
      <c r="N46" s="1474"/>
      <c r="O46" s="497"/>
      <c r="P46" s="174"/>
      <c r="Q46" s="174"/>
      <c r="R46" s="169"/>
      <c r="S46" s="169"/>
      <c r="T46" s="169"/>
      <c r="U46" s="169"/>
      <c r="V46" s="169"/>
      <c r="W46" s="169"/>
      <c r="X46" s="169"/>
      <c r="Y46" s="169"/>
      <c r="Z46" s="169"/>
      <c r="AD46" s="169"/>
      <c r="AE46" s="169"/>
      <c r="AF46" s="169"/>
      <c r="AG46" s="169"/>
      <c r="AH46" s="169"/>
      <c r="AI46" s="169"/>
      <c r="AJ46" s="169"/>
      <c r="AK46" s="169"/>
      <c r="AL46" s="169"/>
      <c r="AM46" s="169"/>
      <c r="AN46" s="169"/>
      <c r="AO46" s="169"/>
    </row>
    <row r="47" spans="1:41" ht="9" customHeight="1">
      <c r="A47" s="7"/>
      <c r="B47" s="7"/>
      <c r="C47" s="7"/>
      <c r="D47" s="7"/>
      <c r="E47" s="7"/>
      <c r="F47" s="7"/>
      <c r="G47" s="7"/>
      <c r="H47" s="7"/>
      <c r="I47" s="7"/>
      <c r="J47" s="7"/>
      <c r="K47" s="7"/>
      <c r="L47" s="7"/>
      <c r="M47" s="7"/>
      <c r="N47" s="7"/>
      <c r="O47" s="497"/>
      <c r="P47" s="174"/>
      <c r="Q47" s="174"/>
      <c r="R47" s="169"/>
      <c r="S47" s="169"/>
      <c r="T47" s="169"/>
      <c r="U47" s="169"/>
      <c r="V47" s="169"/>
      <c r="W47" s="169"/>
      <c r="X47" s="169"/>
      <c r="Y47" s="169"/>
      <c r="Z47" s="169"/>
      <c r="AD47" s="169"/>
      <c r="AE47" s="169"/>
      <c r="AF47" s="169"/>
      <c r="AG47" s="169"/>
      <c r="AH47" s="169"/>
      <c r="AI47" s="169"/>
      <c r="AJ47" s="169"/>
      <c r="AK47" s="169"/>
      <c r="AL47" s="169"/>
      <c r="AM47" s="169"/>
      <c r="AN47" s="169"/>
      <c r="AO47" s="169"/>
    </row>
    <row r="48" spans="1:41" ht="22.5" customHeight="1">
      <c r="A48" s="16" t="s">
        <v>6987</v>
      </c>
      <c r="B48" s="7"/>
      <c r="C48" s="7"/>
      <c r="D48" s="7"/>
      <c r="E48" s="7"/>
      <c r="F48" s="7"/>
      <c r="G48" s="7"/>
      <c r="H48" s="7"/>
      <c r="I48" s="7"/>
      <c r="J48" s="7"/>
      <c r="K48" s="7"/>
      <c r="L48" s="7"/>
      <c r="M48" s="7"/>
      <c r="N48" s="7"/>
      <c r="O48" s="497"/>
      <c r="P48" s="174"/>
      <c r="Q48" s="174"/>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row>
    <row r="49" spans="1:41" ht="19.5" customHeight="1" thickBot="1">
      <c r="A49" s="7"/>
      <c r="B49" s="663" t="s">
        <v>6988</v>
      </c>
      <c r="C49" s="7"/>
      <c r="D49" s="7"/>
      <c r="E49" s="7"/>
      <c r="F49" s="7"/>
      <c r="G49" s="7"/>
      <c r="H49" s="25"/>
      <c r="I49" s="12"/>
      <c r="J49" s="12"/>
      <c r="K49" s="12"/>
      <c r="L49" s="12"/>
      <c r="M49" s="12"/>
      <c r="N49" s="12"/>
      <c r="O49" s="497"/>
      <c r="P49" s="174"/>
      <c r="R49" s="169"/>
      <c r="S49" s="169"/>
      <c r="T49" s="169"/>
      <c r="U49" s="169"/>
      <c r="V49" s="169"/>
      <c r="W49" s="169"/>
      <c r="X49" s="169"/>
      <c r="Y49" s="169"/>
      <c r="Z49" s="169"/>
      <c r="AA49" s="169"/>
      <c r="AB49" s="169"/>
      <c r="AC49" s="169"/>
      <c r="AD49" s="169"/>
      <c r="AE49" s="169"/>
      <c r="AF49" s="169"/>
      <c r="AG49" s="169"/>
      <c r="AH49" s="169"/>
      <c r="AI49" s="169"/>
      <c r="AJ49" s="169"/>
      <c r="AK49" s="169"/>
      <c r="AL49" s="169"/>
      <c r="AM49" s="169"/>
      <c r="AN49" s="169"/>
      <c r="AO49" s="169"/>
    </row>
    <row r="50" spans="1:41" ht="18" customHeight="1" thickBot="1">
      <c r="A50" s="7"/>
      <c r="B50" s="67"/>
      <c r="C50" s="1419" t="s">
        <v>227</v>
      </c>
      <c r="D50" s="1439"/>
      <c r="E50" s="1440"/>
      <c r="F50" s="1419" t="s">
        <v>228</v>
      </c>
      <c r="G50" s="1420"/>
      <c r="H50" s="1421"/>
      <c r="I50" s="1422"/>
      <c r="J50" s="1419" t="s">
        <v>232</v>
      </c>
      <c r="K50" s="1421"/>
      <c r="L50" s="1421"/>
      <c r="M50" s="1421"/>
      <c r="N50" s="1447"/>
      <c r="O50" s="497"/>
      <c r="P50" s="174"/>
      <c r="R50" s="169"/>
      <c r="S50" s="169"/>
      <c r="T50" s="169"/>
      <c r="U50" s="169"/>
      <c r="V50" s="169"/>
      <c r="W50" s="169"/>
      <c r="X50" s="169"/>
      <c r="Y50" s="169"/>
      <c r="Z50" s="169"/>
      <c r="AA50" s="169"/>
      <c r="AB50" s="169"/>
      <c r="AC50" s="169"/>
      <c r="AD50" s="169"/>
      <c r="AE50" s="169"/>
      <c r="AF50" s="169"/>
      <c r="AG50" s="169"/>
      <c r="AH50" s="169"/>
      <c r="AI50" s="169"/>
      <c r="AJ50" s="169"/>
      <c r="AK50" s="169"/>
      <c r="AL50" s="169"/>
      <c r="AM50" s="169"/>
      <c r="AN50" s="169"/>
      <c r="AO50" s="169"/>
    </row>
    <row r="51" spans="1:41" ht="18" customHeight="1" thickBot="1">
      <c r="A51" s="7"/>
      <c r="B51" s="308" t="s">
        <v>219</v>
      </c>
      <c r="C51" s="1472"/>
      <c r="D51" s="1473"/>
      <c r="E51" s="1474"/>
      <c r="F51" s="1429"/>
      <c r="G51" s="1430"/>
      <c r="H51" s="1431"/>
      <c r="I51" s="1431"/>
      <c r="J51" s="1479"/>
      <c r="K51" s="1470"/>
      <c r="L51" s="1470"/>
      <c r="M51" s="1471"/>
      <c r="N51" s="1466"/>
      <c r="O51" s="7"/>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row>
    <row r="52" spans="1:41" ht="18" customHeight="1" thickBot="1">
      <c r="A52" s="7"/>
      <c r="B52" s="308" t="s">
        <v>220</v>
      </c>
      <c r="C52" s="1472"/>
      <c r="D52" s="1473"/>
      <c r="E52" s="1474"/>
      <c r="F52" s="1432"/>
      <c r="G52" s="1430"/>
      <c r="H52" s="1431"/>
      <c r="I52" s="1431"/>
      <c r="J52" s="1469"/>
      <c r="K52" s="1470"/>
      <c r="L52" s="1470"/>
      <c r="M52" s="1471"/>
      <c r="N52" s="1466"/>
      <c r="O52" s="7"/>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69"/>
    </row>
    <row r="53" spans="1:41" ht="18" customHeight="1" thickBot="1">
      <c r="A53" s="7"/>
      <c r="B53" s="308" t="s">
        <v>221</v>
      </c>
      <c r="C53" s="1475"/>
      <c r="D53" s="1476"/>
      <c r="E53" s="1477"/>
      <c r="F53" s="1432"/>
      <c r="G53" s="1430"/>
      <c r="H53" s="1431"/>
      <c r="I53" s="1431"/>
      <c r="J53" s="1469"/>
      <c r="K53" s="1470"/>
      <c r="L53" s="1470"/>
      <c r="M53" s="1471"/>
      <c r="N53" s="1466"/>
      <c r="O53" s="7"/>
      <c r="R53" s="169"/>
      <c r="S53" s="169"/>
      <c r="T53" s="169"/>
      <c r="U53" s="169"/>
      <c r="V53" s="169"/>
      <c r="W53" s="169"/>
      <c r="X53" s="169"/>
      <c r="Y53" s="169"/>
      <c r="Z53" s="169"/>
      <c r="AA53" s="169"/>
      <c r="AB53" s="169"/>
      <c r="AC53" s="169"/>
      <c r="AD53" s="169"/>
      <c r="AE53" s="169"/>
      <c r="AF53" s="169"/>
      <c r="AG53" s="169"/>
      <c r="AH53" s="169"/>
      <c r="AI53" s="169"/>
      <c r="AJ53" s="169"/>
      <c r="AK53" s="169"/>
      <c r="AL53" s="169"/>
      <c r="AM53" s="169"/>
      <c r="AN53" s="169"/>
      <c r="AO53" s="169"/>
    </row>
    <row r="54" spans="1:41" ht="18" customHeight="1" thickBot="1">
      <c r="A54" s="7"/>
      <c r="B54" s="308" t="s">
        <v>222</v>
      </c>
      <c r="C54" s="1475"/>
      <c r="D54" s="1476"/>
      <c r="E54" s="1477"/>
      <c r="F54" s="1432"/>
      <c r="G54" s="1430"/>
      <c r="H54" s="1431"/>
      <c r="I54" s="1431"/>
      <c r="J54" s="1469"/>
      <c r="K54" s="1470"/>
      <c r="L54" s="1470"/>
      <c r="M54" s="1471"/>
      <c r="N54" s="1466"/>
      <c r="O54" s="7"/>
      <c r="R54" s="169"/>
      <c r="S54" s="169"/>
      <c r="T54" s="169"/>
      <c r="U54" s="169"/>
      <c r="V54" s="169"/>
      <c r="W54" s="169"/>
      <c r="X54" s="169"/>
      <c r="Y54" s="169"/>
      <c r="Z54" s="169"/>
      <c r="AA54" s="169"/>
      <c r="AB54" s="169"/>
      <c r="AC54" s="169"/>
      <c r="AD54" s="169"/>
      <c r="AE54" s="169"/>
      <c r="AF54" s="169"/>
      <c r="AG54" s="169"/>
      <c r="AH54" s="169"/>
      <c r="AI54" s="169"/>
      <c r="AJ54" s="169"/>
      <c r="AK54" s="169"/>
      <c r="AL54" s="169"/>
      <c r="AM54" s="169"/>
      <c r="AN54" s="169"/>
      <c r="AO54" s="169"/>
    </row>
    <row r="55" spans="1:41" ht="18" customHeight="1" thickBot="1">
      <c r="A55" s="7"/>
      <c r="B55" s="308" t="s">
        <v>223</v>
      </c>
      <c r="C55" s="1475"/>
      <c r="D55" s="1476"/>
      <c r="E55" s="1477"/>
      <c r="F55" s="1432"/>
      <c r="G55" s="1430"/>
      <c r="H55" s="1431"/>
      <c r="I55" s="1431"/>
      <c r="J55" s="1469"/>
      <c r="K55" s="1470"/>
      <c r="L55" s="1470"/>
      <c r="M55" s="1471"/>
      <c r="N55" s="1466"/>
      <c r="O55" s="7"/>
      <c r="R55" s="169"/>
      <c r="S55" s="169"/>
      <c r="T55" s="169"/>
      <c r="U55" s="169"/>
      <c r="V55" s="169"/>
      <c r="W55" s="169"/>
      <c r="X55" s="169"/>
      <c r="Y55" s="169"/>
      <c r="Z55" s="169"/>
      <c r="AA55" s="169"/>
      <c r="AB55" s="169"/>
      <c r="AC55" s="169"/>
      <c r="AD55" s="169"/>
      <c r="AE55" s="169"/>
      <c r="AF55" s="169"/>
      <c r="AG55" s="169"/>
      <c r="AH55" s="169"/>
      <c r="AI55" s="169"/>
      <c r="AJ55" s="169"/>
      <c r="AK55" s="169"/>
      <c r="AL55" s="169"/>
      <c r="AM55" s="169"/>
      <c r="AN55" s="169"/>
      <c r="AO55" s="169"/>
    </row>
    <row r="56" spans="1:41" ht="12" customHeight="1">
      <c r="A56" s="7"/>
      <c r="B56" s="7"/>
      <c r="C56" s="7"/>
      <c r="D56" s="7"/>
      <c r="E56" s="7"/>
      <c r="F56" s="7"/>
      <c r="G56" s="7"/>
      <c r="H56" s="7"/>
      <c r="I56" s="7"/>
      <c r="J56" s="7"/>
      <c r="K56" s="7"/>
      <c r="L56" s="7"/>
      <c r="M56" s="7"/>
      <c r="N56" s="7"/>
      <c r="O56" s="7"/>
      <c r="P56" s="7"/>
      <c r="R56" s="169"/>
      <c r="S56" s="169"/>
      <c r="T56" s="169"/>
      <c r="U56" s="169"/>
      <c r="V56" s="169"/>
      <c r="W56" s="169"/>
      <c r="X56" s="169"/>
      <c r="Y56" s="169"/>
      <c r="Z56" s="169"/>
      <c r="AA56" s="169"/>
      <c r="AB56" s="169"/>
      <c r="AC56" s="169"/>
      <c r="AD56" s="169"/>
      <c r="AE56" s="169"/>
      <c r="AF56" s="169"/>
      <c r="AG56" s="169"/>
      <c r="AH56" s="169"/>
      <c r="AI56" s="169"/>
      <c r="AJ56" s="169"/>
      <c r="AK56" s="169"/>
      <c r="AL56" s="169"/>
      <c r="AM56" s="169"/>
      <c r="AN56" s="169"/>
      <c r="AO56" s="169"/>
    </row>
    <row r="57" spans="1:41" ht="23.25" hidden="1" customHeight="1">
      <c r="B57" s="666"/>
      <c r="C57" s="732"/>
      <c r="F57" s="733"/>
      <c r="G57" s="733"/>
      <c r="H57" s="734"/>
      <c r="I57" s="734"/>
      <c r="J57" s="733"/>
      <c r="K57" s="734"/>
      <c r="L57" s="734"/>
      <c r="M57" s="734"/>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row>
    <row r="58" spans="1:41" ht="23.25" hidden="1" customHeight="1">
      <c r="B58" s="666"/>
      <c r="C58" s="732"/>
      <c r="D58" s="732"/>
      <c r="E58" s="732"/>
      <c r="F58" s="733"/>
      <c r="G58" s="733"/>
      <c r="H58" s="734"/>
      <c r="I58" s="734"/>
      <c r="J58" s="733"/>
      <c r="K58" s="734"/>
      <c r="L58" s="734"/>
      <c r="M58" s="734"/>
      <c r="R58" s="169"/>
      <c r="S58" s="169"/>
      <c r="T58" s="169"/>
      <c r="U58" s="169"/>
      <c r="V58" s="169"/>
      <c r="W58" s="169"/>
      <c r="X58" s="169"/>
      <c r="Y58" s="169"/>
      <c r="Z58" s="169"/>
      <c r="AA58" s="169"/>
      <c r="AB58" s="169"/>
      <c r="AC58" s="169"/>
      <c r="AD58" s="169"/>
      <c r="AE58" s="169"/>
      <c r="AF58" s="169"/>
      <c r="AG58" s="169"/>
      <c r="AH58" s="169"/>
      <c r="AI58" s="420"/>
      <c r="AJ58" s="420"/>
      <c r="AK58" s="420"/>
      <c r="AL58" s="169"/>
      <c r="AM58" s="169"/>
      <c r="AN58" s="169"/>
      <c r="AO58" s="169"/>
    </row>
    <row r="59" spans="1:41" s="418" customFormat="1" hidden="1">
      <c r="Q59" s="419"/>
      <c r="R59" s="420"/>
      <c r="S59" s="169"/>
      <c r="T59" s="169"/>
      <c r="U59" s="169"/>
      <c r="V59" s="420"/>
      <c r="W59" s="420"/>
      <c r="X59" s="420"/>
      <c r="Y59" s="420"/>
      <c r="Z59" s="420"/>
      <c r="AA59" s="169"/>
      <c r="AB59" s="169"/>
      <c r="AC59" s="169"/>
      <c r="AD59" s="420"/>
      <c r="AE59" s="420"/>
      <c r="AF59" s="420"/>
      <c r="AG59" s="420"/>
      <c r="AH59" s="420"/>
      <c r="AI59" s="169"/>
      <c r="AJ59" s="169"/>
      <c r="AK59" s="169"/>
      <c r="AL59" s="420"/>
      <c r="AM59" s="420"/>
      <c r="AN59" s="420"/>
      <c r="AO59" s="420"/>
    </row>
    <row r="60" spans="1:41" hidden="1">
      <c r="O60" s="169"/>
      <c r="P60" s="169"/>
      <c r="Q60" s="169"/>
      <c r="R60" s="169"/>
      <c r="S60" s="420"/>
      <c r="T60" s="420"/>
      <c r="U60" s="420"/>
      <c r="V60" s="169"/>
      <c r="W60" s="169"/>
      <c r="X60" s="169"/>
      <c r="Y60" s="169"/>
      <c r="Z60" s="169"/>
      <c r="AA60" s="169"/>
      <c r="AB60" s="169"/>
      <c r="AC60" s="169"/>
      <c r="AD60" s="169"/>
      <c r="AE60" s="169"/>
      <c r="AF60" s="169"/>
      <c r="AG60" s="169"/>
      <c r="AH60" s="169"/>
      <c r="AI60" s="169"/>
      <c r="AJ60" s="169"/>
      <c r="AK60" s="169"/>
      <c r="AL60" s="169"/>
      <c r="AM60" s="169"/>
      <c r="AN60" s="169"/>
      <c r="AO60" s="169"/>
    </row>
    <row r="61" spans="1:41" hidden="1">
      <c r="D61" s="7"/>
      <c r="E61" s="7"/>
      <c r="O61" s="169"/>
      <c r="P61" s="169"/>
      <c r="Q61" s="169"/>
      <c r="R61" s="169"/>
      <c r="S61" s="169"/>
      <c r="T61" s="169"/>
      <c r="U61" s="169"/>
      <c r="V61" s="169"/>
      <c r="W61" s="169"/>
      <c r="X61" s="169"/>
      <c r="Y61" s="169"/>
      <c r="Z61" s="169"/>
      <c r="AA61" s="169"/>
      <c r="AB61" s="169"/>
      <c r="AC61" s="169"/>
      <c r="AD61" s="169"/>
      <c r="AE61" s="169"/>
      <c r="AF61" s="169"/>
      <c r="AG61" s="169"/>
      <c r="AH61" s="169"/>
      <c r="AL61" s="169"/>
      <c r="AM61" s="169"/>
      <c r="AN61" s="169"/>
      <c r="AO61" s="169"/>
    </row>
    <row r="62" spans="1:41" hidden="1">
      <c r="D62" s="7"/>
      <c r="E62" s="7"/>
      <c r="S62" s="169"/>
      <c r="T62" s="169"/>
      <c r="U62" s="169"/>
      <c r="AA62" s="169"/>
      <c r="AB62" s="169"/>
      <c r="AC62" s="169"/>
      <c r="AD62" s="169"/>
    </row>
    <row r="63" spans="1:41" hidden="1">
      <c r="S63" s="169"/>
      <c r="AA63" s="420"/>
      <c r="AB63" s="420"/>
      <c r="AC63" s="420"/>
      <c r="AD63" s="169"/>
    </row>
    <row r="64" spans="1:41" hidden="1">
      <c r="AA64" s="169"/>
      <c r="AB64" s="169"/>
      <c r="AC64" s="169"/>
    </row>
    <row r="65" spans="27:29" hidden="1">
      <c r="AA65" s="169"/>
      <c r="AB65" s="169"/>
      <c r="AC65" s="169"/>
    </row>
    <row r="75" spans="27:29" hidden="1">
      <c r="AB75" s="174" t="s">
        <v>226</v>
      </c>
    </row>
    <row r="76" spans="27:29" hidden="1">
      <c r="AB76" s="174" t="s">
        <v>234</v>
      </c>
    </row>
    <row r="77" spans="27:29" hidden="1">
      <c r="AB77" s="174" t="s">
        <v>225</v>
      </c>
    </row>
    <row r="78" spans="27:29" hidden="1">
      <c r="AB78" s="174" t="s">
        <v>224</v>
      </c>
    </row>
    <row r="79" spans="27:29" hidden="1">
      <c r="AB79" s="174" t="s">
        <v>229</v>
      </c>
    </row>
    <row r="80" spans="27:29" hidden="1">
      <c r="AB80" s="174" t="s">
        <v>230</v>
      </c>
    </row>
    <row r="81" spans="28:53" hidden="1">
      <c r="AB81" s="174" t="s">
        <v>231</v>
      </c>
    </row>
    <row r="82" spans="28:53" hidden="1">
      <c r="AB82" s="174" t="s">
        <v>244</v>
      </c>
    </row>
    <row r="83" spans="28:53" hidden="1">
      <c r="AB83" s="174" t="s">
        <v>4</v>
      </c>
    </row>
    <row r="84" spans="28:53" hidden="1">
      <c r="AB84" s="329" t="s">
        <v>22</v>
      </c>
      <c r="AC84" s="329" t="s">
        <v>18</v>
      </c>
      <c r="AD84" s="329" t="s">
        <v>55</v>
      </c>
      <c r="AE84" s="329" t="s">
        <v>61</v>
      </c>
      <c r="AF84" s="329" t="s">
        <v>19</v>
      </c>
      <c r="AG84" s="329" t="s">
        <v>435</v>
      </c>
      <c r="AH84" s="329" t="s">
        <v>20</v>
      </c>
      <c r="AI84" s="329" t="s">
        <v>21</v>
      </c>
      <c r="AJ84" s="330" t="s">
        <v>347</v>
      </c>
      <c r="AK84" s="330" t="s">
        <v>23</v>
      </c>
      <c r="AL84" s="329" t="s">
        <v>26</v>
      </c>
      <c r="AM84" s="329" t="s">
        <v>25</v>
      </c>
      <c r="AN84" s="329" t="s">
        <v>27</v>
      </c>
      <c r="AO84" s="329" t="s">
        <v>28</v>
      </c>
      <c r="AP84" s="329" t="s">
        <v>30</v>
      </c>
      <c r="AQ84" s="329" t="s">
        <v>117</v>
      </c>
      <c r="AR84" s="329" t="s">
        <v>29</v>
      </c>
      <c r="AS84" s="329" t="s">
        <v>24</v>
      </c>
      <c r="AT84" s="329" t="s">
        <v>31</v>
      </c>
      <c r="AU84" s="329" t="s">
        <v>60</v>
      </c>
      <c r="AV84" s="329" t="s">
        <v>32</v>
      </c>
      <c r="AW84" s="330" t="s">
        <v>346</v>
      </c>
      <c r="AX84" s="329" t="s">
        <v>51</v>
      </c>
      <c r="AY84" s="329" t="s">
        <v>64</v>
      </c>
      <c r="AZ84" s="329" t="s">
        <v>33</v>
      </c>
      <c r="BA84" s="329" t="s">
        <v>34</v>
      </c>
    </row>
    <row r="85" spans="28:53" hidden="1">
      <c r="AB85" s="174" t="s">
        <v>71</v>
      </c>
      <c r="AC85" s="174" t="s">
        <v>70</v>
      </c>
      <c r="AD85" s="174" t="s">
        <v>68</v>
      </c>
      <c r="AE85" s="174" t="s">
        <v>73</v>
      </c>
      <c r="AF85" s="174" t="s">
        <v>75</v>
      </c>
      <c r="AG85" s="174" t="s">
        <v>76</v>
      </c>
      <c r="AH85" s="174" t="s">
        <v>115</v>
      </c>
      <c r="AI85" s="174" t="s">
        <v>78</v>
      </c>
      <c r="AJ85" s="174" t="s">
        <v>79</v>
      </c>
      <c r="AK85" s="174" t="s">
        <v>68</v>
      </c>
      <c r="AL85" s="174" t="s">
        <v>82</v>
      </c>
      <c r="AM85" s="174" t="s">
        <v>83</v>
      </c>
      <c r="AN85" s="174" t="s">
        <v>85</v>
      </c>
      <c r="AO85" s="174" t="s">
        <v>86</v>
      </c>
      <c r="AP85" s="174" t="s">
        <v>80</v>
      </c>
      <c r="AQ85" s="174" t="s">
        <v>87</v>
      </c>
      <c r="AR85" s="174" t="s">
        <v>88</v>
      </c>
      <c r="AS85" s="174" t="s">
        <v>93</v>
      </c>
      <c r="AT85" s="174" t="s">
        <v>94</v>
      </c>
      <c r="AU85" s="174" t="s">
        <v>81</v>
      </c>
      <c r="AV85" s="174" t="s">
        <v>72</v>
      </c>
      <c r="AW85" s="174" t="s">
        <v>101</v>
      </c>
      <c r="AX85" s="174" t="s">
        <v>103</v>
      </c>
      <c r="AY85" s="174" t="s">
        <v>107</v>
      </c>
      <c r="AZ85" s="174" t="s">
        <v>111</v>
      </c>
      <c r="BA85" s="174" t="s">
        <v>113</v>
      </c>
    </row>
    <row r="86" spans="28:53" hidden="1">
      <c r="AB86" s="174" t="s">
        <v>4</v>
      </c>
      <c r="AC86" s="174" t="s">
        <v>69</v>
      </c>
      <c r="AD86" s="174" t="s">
        <v>4</v>
      </c>
      <c r="AE86" s="174" t="s">
        <v>74</v>
      </c>
      <c r="AF86" s="174" t="s">
        <v>4</v>
      </c>
      <c r="AG86" s="174" t="s">
        <v>77</v>
      </c>
      <c r="AH86" s="174" t="s">
        <v>7822</v>
      </c>
      <c r="AI86" s="174" t="s">
        <v>4</v>
      </c>
      <c r="AJ86" s="174" t="s">
        <v>80</v>
      </c>
      <c r="AK86" s="174" t="s">
        <v>96</v>
      </c>
      <c r="AL86" s="174" t="s">
        <v>4</v>
      </c>
      <c r="AM86" s="174" t="s">
        <v>4</v>
      </c>
      <c r="AN86" s="174" t="s">
        <v>84</v>
      </c>
      <c r="AO86" s="174" t="s">
        <v>436</v>
      </c>
      <c r="AP86" s="174" t="s">
        <v>348</v>
      </c>
      <c r="AQ86" s="174" t="s">
        <v>4</v>
      </c>
      <c r="AR86" s="174" t="s">
        <v>89</v>
      </c>
      <c r="AS86" s="174" t="s">
        <v>4</v>
      </c>
      <c r="AT86" s="174" t="s">
        <v>95</v>
      </c>
      <c r="AU86" s="174" t="s">
        <v>96</v>
      </c>
      <c r="AV86" s="174" t="s">
        <v>6870</v>
      </c>
      <c r="AW86" s="174" t="s">
        <v>102</v>
      </c>
      <c r="AX86" s="174" t="s">
        <v>116</v>
      </c>
      <c r="AY86" s="174" t="s">
        <v>108</v>
      </c>
      <c r="AZ86" s="174" t="s">
        <v>112</v>
      </c>
      <c r="BA86" s="174" t="s">
        <v>114</v>
      </c>
    </row>
    <row r="87" spans="28:53" hidden="1">
      <c r="AB87" s="174"/>
      <c r="AC87" s="174" t="s">
        <v>4</v>
      </c>
      <c r="AD87" s="174"/>
      <c r="AE87" s="174" t="s">
        <v>329</v>
      </c>
      <c r="AF87" s="174"/>
      <c r="AG87" s="174" t="s">
        <v>4</v>
      </c>
      <c r="AH87" s="174" t="s">
        <v>4</v>
      </c>
      <c r="AI87" s="174"/>
      <c r="AJ87" s="174" t="s">
        <v>4</v>
      </c>
      <c r="AK87" s="174" t="s">
        <v>4</v>
      </c>
      <c r="AL87" s="174"/>
      <c r="AM87" s="174"/>
      <c r="AN87" s="174" t="s">
        <v>7832</v>
      </c>
      <c r="AO87" s="174" t="s">
        <v>7815</v>
      </c>
      <c r="AP87" s="174" t="s">
        <v>7824</v>
      </c>
      <c r="AQ87" s="174"/>
      <c r="AR87" s="174" t="s">
        <v>90</v>
      </c>
      <c r="AS87" s="174"/>
      <c r="AT87" s="174" t="s">
        <v>4</v>
      </c>
      <c r="AU87" s="174" t="s">
        <v>97</v>
      </c>
      <c r="AV87" s="174" t="s">
        <v>4</v>
      </c>
      <c r="AW87" s="174" t="s">
        <v>4</v>
      </c>
      <c r="AX87" s="174" t="s">
        <v>104</v>
      </c>
      <c r="AY87" s="174" t="s">
        <v>109</v>
      </c>
      <c r="AZ87" s="174" t="s">
        <v>4</v>
      </c>
      <c r="BA87" s="174" t="s">
        <v>4</v>
      </c>
    </row>
    <row r="88" spans="28:53" hidden="1">
      <c r="AB88" s="174"/>
      <c r="AC88" s="174"/>
      <c r="AD88" s="174"/>
      <c r="AE88" s="174" t="s">
        <v>7817</v>
      </c>
      <c r="AF88" s="174"/>
      <c r="AG88" s="174"/>
      <c r="AH88" s="174"/>
      <c r="AI88" s="174"/>
      <c r="AJ88" s="174"/>
      <c r="AK88" s="174"/>
      <c r="AL88" s="174"/>
      <c r="AM88" s="174"/>
      <c r="AN88" s="174" t="s">
        <v>6470</v>
      </c>
      <c r="AO88" s="174" t="s">
        <v>4</v>
      </c>
      <c r="AP88" s="174" t="s">
        <v>4</v>
      </c>
      <c r="AQ88" s="174"/>
      <c r="AR88" s="174" t="s">
        <v>91</v>
      </c>
      <c r="AS88" s="174"/>
      <c r="AT88" s="174"/>
      <c r="AU88" s="174" t="s">
        <v>98</v>
      </c>
      <c r="AV88" s="174"/>
      <c r="AW88" s="174"/>
      <c r="AX88" s="174" t="s">
        <v>67</v>
      </c>
      <c r="AY88" s="174" t="s">
        <v>110</v>
      </c>
      <c r="AZ88" s="174"/>
      <c r="BA88" s="174"/>
    </row>
    <row r="89" spans="28:53" hidden="1">
      <c r="AD89" s="174"/>
      <c r="AE89" s="174" t="s">
        <v>349</v>
      </c>
      <c r="AF89" s="174"/>
      <c r="AG89" s="174"/>
      <c r="AH89" s="174"/>
      <c r="AI89" s="174"/>
      <c r="AJ89" s="174"/>
      <c r="AK89" s="174"/>
      <c r="AL89" s="174"/>
      <c r="AM89" s="174"/>
      <c r="AN89" s="174" t="s">
        <v>4</v>
      </c>
      <c r="AO89" s="174"/>
      <c r="AP89" s="174"/>
      <c r="AQ89" s="174"/>
      <c r="AR89" s="174" t="s">
        <v>92</v>
      </c>
      <c r="AS89" s="174"/>
      <c r="AT89" s="174"/>
      <c r="AU89" s="174" t="s">
        <v>99</v>
      </c>
      <c r="AV89" s="174"/>
      <c r="AW89" s="174"/>
      <c r="AX89" s="174" t="s">
        <v>105</v>
      </c>
      <c r="AY89" s="174" t="s">
        <v>183</v>
      </c>
      <c r="AZ89" s="174"/>
      <c r="BA89" s="174"/>
    </row>
    <row r="90" spans="28:53" hidden="1">
      <c r="AB90" s="174"/>
      <c r="AC90" s="174"/>
      <c r="AD90" s="174"/>
      <c r="AE90" s="174" t="s">
        <v>4</v>
      </c>
      <c r="AF90" s="174"/>
      <c r="AG90" s="174"/>
      <c r="AH90" s="174"/>
      <c r="AI90" s="174"/>
      <c r="AJ90" s="174"/>
      <c r="AK90" s="174"/>
      <c r="AL90" s="174"/>
      <c r="AM90" s="174"/>
      <c r="AN90" s="174"/>
      <c r="AO90" s="174"/>
      <c r="AP90" s="174"/>
      <c r="AQ90" s="174"/>
      <c r="AR90" s="174" t="s">
        <v>7816</v>
      </c>
      <c r="AS90" s="174"/>
      <c r="AT90" s="174"/>
      <c r="AU90" s="174" t="s">
        <v>4</v>
      </c>
      <c r="AV90" s="174"/>
      <c r="AW90" s="174"/>
      <c r="AX90" s="174" t="s">
        <v>106</v>
      </c>
      <c r="AY90" s="174" t="s">
        <v>4</v>
      </c>
      <c r="AZ90" s="174"/>
      <c r="BA90" s="174"/>
    </row>
    <row r="91" spans="28:53" hidden="1">
      <c r="AB91" s="174"/>
      <c r="AC91" s="174"/>
      <c r="AE91" s="174"/>
      <c r="AF91" s="174"/>
      <c r="AG91" s="174"/>
      <c r="AH91" s="174"/>
      <c r="AI91" s="174"/>
      <c r="AJ91" s="174"/>
      <c r="AK91" s="174"/>
      <c r="AL91" s="174"/>
      <c r="AM91" s="174"/>
      <c r="AN91" s="174"/>
      <c r="AO91" s="174"/>
      <c r="AP91" s="174"/>
      <c r="AQ91" s="174"/>
      <c r="AR91" s="174" t="s">
        <v>4</v>
      </c>
      <c r="AS91" s="174"/>
      <c r="AT91" s="174"/>
      <c r="AU91" s="174"/>
      <c r="AV91" s="174"/>
      <c r="AW91" s="174"/>
      <c r="AX91" s="174" t="s">
        <v>4</v>
      </c>
      <c r="AY91" s="174"/>
      <c r="AZ91" s="174"/>
      <c r="BA91" s="174"/>
    </row>
    <row r="92" spans="28:53" hidden="1">
      <c r="AE92" s="174"/>
      <c r="AF92" s="174"/>
      <c r="AG92" s="174"/>
      <c r="AH92" s="174"/>
      <c r="AI92" s="174"/>
      <c r="AJ92" s="174"/>
      <c r="AK92" s="174"/>
      <c r="AL92" s="174"/>
      <c r="AM92" s="174"/>
      <c r="AN92" s="174"/>
      <c r="AO92" s="174"/>
      <c r="AP92" s="174"/>
      <c r="AQ92" s="174"/>
      <c r="AR92" s="174"/>
      <c r="AS92" s="174"/>
      <c r="AT92" s="174"/>
      <c r="AU92" s="174"/>
      <c r="AV92" s="174"/>
      <c r="AW92" s="174"/>
      <c r="AX92" s="174"/>
      <c r="AY92" s="174"/>
      <c r="AZ92" s="174"/>
      <c r="BA92" s="174"/>
    </row>
    <row r="93" spans="28:53" hidden="1">
      <c r="AD93" s="174"/>
      <c r="AE93" s="174"/>
      <c r="AF93" s="174"/>
      <c r="AG93" s="174"/>
      <c r="AH93" s="174"/>
      <c r="AI93" s="174"/>
      <c r="AJ93" s="174"/>
      <c r="AK93" s="174"/>
      <c r="AL93" s="174"/>
      <c r="AM93" s="174"/>
      <c r="AN93" s="174"/>
      <c r="AO93" s="174"/>
      <c r="AP93" s="174"/>
      <c r="AQ93" s="174"/>
      <c r="AR93" s="174"/>
      <c r="AS93" s="174"/>
      <c r="AT93" s="174"/>
      <c r="AU93" s="174"/>
      <c r="AV93" s="174"/>
      <c r="AW93" s="174"/>
      <c r="AX93" s="174"/>
      <c r="AY93" s="174"/>
      <c r="AZ93" s="174"/>
      <c r="BA93" s="174"/>
    </row>
    <row r="94" spans="28:53" hidden="1">
      <c r="AB94" s="174"/>
      <c r="AC94" s="174"/>
      <c r="AD94" s="174"/>
      <c r="AE94" s="174"/>
      <c r="AF94" s="174"/>
      <c r="AG94" s="174"/>
      <c r="AH94" s="174"/>
      <c r="AI94" s="174"/>
      <c r="AJ94" s="174"/>
      <c r="AK94" s="174"/>
      <c r="AL94" s="174"/>
      <c r="AM94" s="174"/>
      <c r="AN94" s="174"/>
      <c r="AO94" s="174"/>
      <c r="AP94" s="174"/>
      <c r="AQ94" s="174"/>
      <c r="AR94" s="174"/>
      <c r="AS94" s="174"/>
      <c r="AT94" s="174"/>
      <c r="AU94" s="174"/>
      <c r="AV94" s="174"/>
      <c r="AW94" s="174"/>
      <c r="AX94" s="174"/>
      <c r="AY94" s="174"/>
      <c r="AZ94" s="174"/>
      <c r="BA94" s="174"/>
    </row>
    <row r="95" spans="28:53" hidden="1">
      <c r="AB95" s="279" t="str">
        <f>IF(U13="Large (1 YR $)","L",IF(U13="Small Cap","S",IF(U13="Large (3 YR $)","L","")))</f>
        <v/>
      </c>
      <c r="AC95" s="319" t="str">
        <f>IF(U13="","",CONCATENATE(AB95," - ",AB97))</f>
        <v/>
      </c>
      <c r="AD95" s="319" t="str">
        <f>IF(U13="","",CONCATENATE(AB95," - ",AB97," (26)"))</f>
        <v/>
      </c>
      <c r="AE95" s="174"/>
      <c r="AF95" s="174"/>
      <c r="AG95" s="174"/>
      <c r="AH95" s="174"/>
      <c r="AI95" s="174"/>
      <c r="AJ95" s="174"/>
      <c r="AK95" s="174"/>
      <c r="AL95" s="174"/>
      <c r="AM95" s="174"/>
      <c r="AN95" s="174"/>
      <c r="AO95" s="174"/>
      <c r="AP95" s="174"/>
      <c r="AQ95" s="174"/>
      <c r="AR95" s="174"/>
      <c r="AS95" s="174"/>
      <c r="AT95" s="174"/>
      <c r="AU95" s="174"/>
      <c r="AV95" s="174"/>
      <c r="AW95" s="174"/>
      <c r="AX95" s="174"/>
      <c r="AY95" s="174"/>
      <c r="AZ95" s="174"/>
      <c r="BA95" s="174"/>
    </row>
    <row r="96" spans="28:53" hidden="1">
      <c r="AB96" s="174"/>
      <c r="AC96" s="174"/>
      <c r="AD96" s="174" t="s">
        <v>360</v>
      </c>
      <c r="AE96" s="174"/>
      <c r="AF96" s="174"/>
      <c r="AG96" s="174"/>
      <c r="AH96" s="174"/>
      <c r="AI96" s="174"/>
      <c r="AJ96" s="174"/>
      <c r="AK96" s="174"/>
      <c r="AL96" s="174"/>
      <c r="AM96" s="174"/>
      <c r="AN96" s="174"/>
      <c r="AO96" s="174"/>
      <c r="AP96" s="174"/>
      <c r="AQ96" s="174"/>
      <c r="AR96" s="174"/>
      <c r="AS96" s="174"/>
      <c r="AT96" s="174"/>
      <c r="AU96" s="174"/>
      <c r="AV96" s="174"/>
      <c r="AW96" s="174"/>
      <c r="AX96" s="174"/>
      <c r="AY96" s="174"/>
      <c r="AZ96" s="174"/>
      <c r="BA96" s="174"/>
    </row>
    <row r="97" spans="28:53" ht="15.75" hidden="1">
      <c r="AB97" s="278" t="str">
        <f>IF(D23&lt;&gt;"",D23,"")</f>
        <v/>
      </c>
      <c r="AC97" s="175"/>
      <c r="AD97" s="331" t="s">
        <v>6660</v>
      </c>
      <c r="AE97" s="174"/>
      <c r="AF97" s="169"/>
      <c r="AG97" s="169"/>
      <c r="AH97" s="169"/>
      <c r="AI97" s="169"/>
      <c r="AJ97" s="169"/>
      <c r="AK97" s="169"/>
      <c r="AL97" s="169"/>
      <c r="AM97" s="169"/>
      <c r="AN97" s="169"/>
      <c r="AO97" s="169"/>
      <c r="AP97" s="174"/>
      <c r="AQ97" s="169"/>
      <c r="AR97" s="169"/>
      <c r="AS97" s="169"/>
      <c r="AT97" s="169"/>
      <c r="AU97" s="169"/>
      <c r="AV97" s="169"/>
      <c r="AW97" s="169"/>
      <c r="AX97" s="169"/>
      <c r="AY97" s="169"/>
      <c r="AZ97" s="169"/>
      <c r="BA97" s="169"/>
    </row>
    <row r="98" spans="28:53" hidden="1">
      <c r="AB98" s="176"/>
      <c r="AC98" s="174">
        <f>B7</f>
        <v>0</v>
      </c>
      <c r="AD98" s="169"/>
      <c r="AE98" s="279" t="str">
        <f>CONCATENATE(AC98,AD97)</f>
        <v>0BLDG</v>
      </c>
      <c r="AF98" s="169"/>
      <c r="AG98" s="169"/>
      <c r="AH98" s="169"/>
      <c r="AI98" s="169"/>
      <c r="AJ98" s="169"/>
      <c r="AK98" s="169"/>
      <c r="AL98" s="169"/>
      <c r="AM98" s="169"/>
      <c r="AN98" s="169"/>
      <c r="AO98" s="169"/>
      <c r="AP98" s="174"/>
      <c r="AQ98" s="169"/>
      <c r="AR98" s="169"/>
      <c r="AS98" s="169"/>
      <c r="AT98" s="169"/>
      <c r="AU98" s="169"/>
      <c r="AV98" s="169"/>
      <c r="AW98" s="169"/>
      <c r="AX98" s="169"/>
      <c r="AY98" s="169"/>
      <c r="AZ98" s="169"/>
      <c r="BA98" s="169"/>
    </row>
    <row r="99" spans="28:53" hidden="1">
      <c r="AB99" s="176"/>
      <c r="AC99" s="169"/>
      <c r="AD99" s="169"/>
      <c r="AE99" s="169"/>
      <c r="AF99" s="169"/>
      <c r="AG99" s="169"/>
      <c r="AH99" s="169"/>
      <c r="AI99" s="169"/>
      <c r="AJ99" s="169"/>
      <c r="AK99" s="169"/>
      <c r="AL99" s="169"/>
      <c r="AM99" s="169"/>
      <c r="AN99" s="169"/>
      <c r="AO99" s="169"/>
      <c r="AP99" s="169"/>
      <c r="AQ99" s="169"/>
      <c r="AR99" s="169"/>
      <c r="AS99" s="169"/>
      <c r="AT99" s="169"/>
      <c r="AU99" s="169"/>
      <c r="AV99" s="169"/>
      <c r="AW99" s="169"/>
      <c r="AX99" s="169"/>
      <c r="AY99" s="169"/>
      <c r="AZ99" s="169"/>
      <c r="BA99" s="169"/>
    </row>
    <row r="100" spans="28:53" hidden="1">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row>
    <row r="101" spans="28:53" hidden="1">
      <c r="AB101" s="174"/>
      <c r="AC101" s="174"/>
      <c r="AD101" s="174"/>
      <c r="AE101" s="169"/>
      <c r="AF101" s="169"/>
      <c r="AG101" s="174" t="s">
        <v>390</v>
      </c>
      <c r="AH101" s="174" t="s">
        <v>391</v>
      </c>
      <c r="AI101" s="174" t="s">
        <v>392</v>
      </c>
      <c r="AJ101" s="169"/>
      <c r="AK101" s="169"/>
      <c r="AL101" s="169"/>
      <c r="AM101" s="169"/>
      <c r="AN101" s="169"/>
      <c r="AO101" s="169"/>
      <c r="AP101" s="169"/>
      <c r="AQ101" s="169"/>
      <c r="AR101" s="169"/>
      <c r="AS101" s="169"/>
      <c r="AT101" s="169"/>
      <c r="AU101" s="169"/>
      <c r="AV101" s="169"/>
      <c r="AW101" s="169"/>
      <c r="AX101" s="169"/>
      <c r="AY101" s="169"/>
      <c r="AZ101" s="169"/>
      <c r="BA101" s="169"/>
    </row>
    <row r="102" spans="28:53" hidden="1">
      <c r="AB102" s="174"/>
      <c r="AC102" s="174"/>
      <c r="AD102" s="169"/>
      <c r="AE102" s="174"/>
      <c r="AF102" s="169"/>
      <c r="AG102" s="169"/>
      <c r="AH102" s="169"/>
      <c r="AI102" s="169"/>
      <c r="AJ102" s="169"/>
      <c r="AK102" s="169"/>
      <c r="AL102" s="169"/>
      <c r="AM102" s="169"/>
      <c r="AN102" s="169"/>
      <c r="AO102" s="169"/>
      <c r="AP102" s="169"/>
      <c r="AQ102" s="169"/>
      <c r="AR102" s="169"/>
      <c r="AS102" s="169"/>
      <c r="AT102" s="169"/>
      <c r="AU102" s="169"/>
      <c r="AV102" s="169"/>
      <c r="AW102" s="169"/>
      <c r="AX102" s="169"/>
      <c r="AY102" s="169"/>
      <c r="AZ102" s="169"/>
      <c r="BA102" s="169"/>
    </row>
    <row r="103" spans="28:53" hidden="1">
      <c r="AB103" s="174"/>
      <c r="AC103" s="174"/>
      <c r="AD103" s="169" t="s">
        <v>427</v>
      </c>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row>
    <row r="104" spans="28:53" hidden="1">
      <c r="AB104" s="174"/>
      <c r="AC104" s="174" t="s">
        <v>426</v>
      </c>
      <c r="AD104" s="658" t="s">
        <v>7839</v>
      </c>
      <c r="AE104" s="169"/>
      <c r="AF104" s="169"/>
      <c r="AG104" s="169"/>
      <c r="AH104" s="169"/>
      <c r="AI104" s="169"/>
      <c r="AJ104" s="169"/>
      <c r="AK104" s="169"/>
      <c r="AL104" s="169"/>
      <c r="AM104" s="169"/>
      <c r="AN104" s="169"/>
      <c r="AO104" s="169"/>
      <c r="AP104" s="169"/>
      <c r="AQ104" s="169"/>
      <c r="AR104" s="169"/>
      <c r="AS104" s="169"/>
      <c r="AT104" s="169"/>
      <c r="AU104" s="169"/>
      <c r="AV104" s="169"/>
      <c r="AW104" s="169"/>
      <c r="AX104" s="169"/>
      <c r="AY104" s="169"/>
      <c r="AZ104" s="169"/>
      <c r="BA104" s="169"/>
    </row>
    <row r="105" spans="28:53" ht="15.75" hidden="1">
      <c r="AB105" s="174"/>
      <c r="AC105" s="174"/>
      <c r="AD105" s="169" t="s">
        <v>7840</v>
      </c>
      <c r="AE105" s="169"/>
      <c r="AF105" s="169" t="s">
        <v>6708</v>
      </c>
      <c r="AG105" s="169" t="s">
        <v>6882</v>
      </c>
      <c r="AH105" s="169" t="s">
        <v>428</v>
      </c>
      <c r="AI105" s="169" t="s">
        <v>403</v>
      </c>
      <c r="AJ105" s="169"/>
      <c r="AK105" s="305" t="s">
        <v>396</v>
      </c>
      <c r="AL105" s="305" t="s">
        <v>397</v>
      </c>
      <c r="AM105" s="169"/>
      <c r="AN105" s="169"/>
      <c r="AO105" s="169"/>
      <c r="AP105" s="169"/>
      <c r="AQ105" s="169"/>
      <c r="AR105" s="169"/>
      <c r="AS105" s="169"/>
      <c r="AT105" s="169"/>
      <c r="AU105" s="169"/>
      <c r="AV105" s="169"/>
      <c r="AW105" s="169"/>
      <c r="AX105" s="169"/>
      <c r="AY105" s="169"/>
      <c r="AZ105" s="169"/>
      <c r="BA105" s="169"/>
    </row>
    <row r="106" spans="28:53" hidden="1">
      <c r="AC106" s="174"/>
      <c r="AD106" s="169" t="s">
        <v>152</v>
      </c>
      <c r="AE106" s="169" t="s">
        <v>152</v>
      </c>
      <c r="AF106" s="169" t="s">
        <v>6884</v>
      </c>
      <c r="AG106" s="169" t="s">
        <v>399</v>
      </c>
      <c r="AH106" s="169" t="s">
        <v>394</v>
      </c>
      <c r="AI106" s="169"/>
      <c r="AJ106" s="169"/>
      <c r="AK106" s="169"/>
      <c r="AL106" s="169"/>
      <c r="AM106" s="169"/>
      <c r="AN106" s="169"/>
      <c r="AO106" s="169"/>
      <c r="AP106" s="169"/>
      <c r="AQ106" s="169"/>
      <c r="AR106" s="169"/>
      <c r="AS106" s="169"/>
      <c r="AT106" s="169"/>
      <c r="AU106" s="169"/>
      <c r="AV106" s="169"/>
      <c r="AW106" s="169"/>
      <c r="AX106" s="169"/>
      <c r="AY106" s="169"/>
      <c r="AZ106" s="169"/>
      <c r="BA106" s="169"/>
    </row>
    <row r="107" spans="28:53" ht="15.75" hidden="1">
      <c r="AC107" s="306" t="str">
        <f>IF(U13=AC119,AK105,IF(U13=AC120,AK105,IF(U13=AC121,AL105,"")))</f>
        <v/>
      </c>
      <c r="AD107" s="169"/>
      <c r="AE107" s="169"/>
      <c r="AF107" s="169" t="s">
        <v>357</v>
      </c>
      <c r="AG107" s="169" t="s">
        <v>358</v>
      </c>
      <c r="AH107" s="169" t="s">
        <v>359</v>
      </c>
      <c r="AI107" s="317" t="s">
        <v>433</v>
      </c>
      <c r="AK107" s="169"/>
      <c r="AL107" s="169"/>
      <c r="AM107" s="169"/>
      <c r="AN107" s="169"/>
      <c r="AO107" s="169"/>
      <c r="AP107" s="169"/>
      <c r="AQ107" s="169"/>
      <c r="AR107" s="169"/>
      <c r="AS107" s="169"/>
      <c r="AT107" s="169"/>
      <c r="AU107" s="169"/>
      <c r="AV107" s="169"/>
      <c r="AW107" s="169"/>
      <c r="AX107" s="169"/>
      <c r="AY107" s="169"/>
      <c r="AZ107" s="169"/>
      <c r="BA107" s="169"/>
    </row>
    <row r="108" spans="28:53" ht="15" hidden="1">
      <c r="AC108" s="174"/>
      <c r="AD108" s="169"/>
      <c r="AE108" s="169"/>
      <c r="AF108" s="169"/>
      <c r="AG108" s="169"/>
      <c r="AH108" s="169"/>
      <c r="AI108" s="317" t="s">
        <v>433</v>
      </c>
      <c r="AK108" s="169"/>
      <c r="AL108" s="169"/>
      <c r="AM108" s="169"/>
      <c r="AN108" s="169"/>
      <c r="AO108" s="169"/>
      <c r="AP108" s="169"/>
      <c r="AQ108" s="169"/>
      <c r="AR108" s="169"/>
      <c r="AS108" s="169"/>
      <c r="AT108" s="169"/>
      <c r="AU108" s="169"/>
      <c r="AV108" s="169"/>
      <c r="AW108" s="169"/>
      <c r="AX108" s="169"/>
      <c r="AY108" s="169"/>
      <c r="AZ108" s="169"/>
      <c r="BA108" s="169"/>
    </row>
    <row r="109" spans="28:53" hidden="1">
      <c r="AC109" s="174"/>
      <c r="AE109" s="169"/>
      <c r="AF109" s="169" t="s">
        <v>341</v>
      </c>
      <c r="AG109" s="169" t="s">
        <v>357</v>
      </c>
      <c r="AH109" s="169" t="s">
        <v>358</v>
      </c>
      <c r="AI109" s="169" t="s">
        <v>359</v>
      </c>
      <c r="AJ109" s="169"/>
      <c r="AK109" s="169"/>
      <c r="AL109" s="169"/>
      <c r="AM109" s="169"/>
      <c r="AN109" s="169"/>
      <c r="AO109" s="169"/>
      <c r="AP109" s="169"/>
      <c r="AQ109" s="169"/>
      <c r="AR109" s="169"/>
      <c r="AS109" s="169"/>
      <c r="AT109" s="169"/>
      <c r="AU109" s="169"/>
      <c r="AV109" s="169"/>
      <c r="AW109" s="169"/>
      <c r="AX109" s="169"/>
      <c r="AY109" s="169"/>
      <c r="AZ109" s="169"/>
      <c r="BA109" s="169"/>
    </row>
    <row r="110" spans="28:53" ht="15.75" hidden="1">
      <c r="AC110" s="174" t="s">
        <v>8073</v>
      </c>
      <c r="AG110" s="303"/>
      <c r="AH110" s="169"/>
      <c r="AI110" s="169"/>
      <c r="AJ110" s="169"/>
      <c r="AK110" s="169"/>
      <c r="AL110" s="169"/>
      <c r="AM110" s="169"/>
      <c r="AN110" s="169"/>
      <c r="AO110" s="169"/>
      <c r="AP110" s="169"/>
      <c r="AQ110" s="169"/>
      <c r="AR110" s="169"/>
      <c r="AS110" s="169"/>
      <c r="AT110" s="169"/>
      <c r="AU110" s="169"/>
      <c r="AV110" s="169"/>
      <c r="AW110" s="169"/>
      <c r="AX110" s="169"/>
      <c r="AY110" s="169"/>
      <c r="AZ110" s="169"/>
      <c r="BA110" s="169"/>
    </row>
    <row r="111" spans="28:53" ht="15.75" hidden="1">
      <c r="AC111" s="318"/>
      <c r="AD111" s="174" t="s">
        <v>338</v>
      </c>
      <c r="AF111" s="169"/>
      <c r="AG111" s="169" t="s">
        <v>434</v>
      </c>
      <c r="AH111" s="169"/>
      <c r="AI111" s="169"/>
      <c r="AK111" s="169"/>
      <c r="AL111" s="169"/>
      <c r="AM111" s="169"/>
      <c r="AN111" s="169"/>
      <c r="AO111" s="169"/>
      <c r="AP111" s="169"/>
      <c r="AQ111" s="169"/>
      <c r="AR111" s="169"/>
      <c r="AS111" s="169"/>
      <c r="AT111" s="169"/>
      <c r="AU111" s="169"/>
      <c r="AV111" s="169"/>
      <c r="AW111" s="169"/>
      <c r="AX111" s="169"/>
      <c r="AY111" s="169"/>
      <c r="AZ111" s="169"/>
      <c r="BA111" s="169"/>
    </row>
    <row r="112" spans="28:53" hidden="1">
      <c r="AB112" s="174"/>
      <c r="AC112" s="174"/>
      <c r="AD112" s="174" t="s">
        <v>338</v>
      </c>
      <c r="AE112" s="174" t="s">
        <v>339</v>
      </c>
      <c r="AF112" s="169"/>
      <c r="AG112" s="169" t="s">
        <v>434</v>
      </c>
      <c r="AH112" s="169"/>
      <c r="AI112" s="169"/>
      <c r="AK112" s="169"/>
      <c r="AL112" s="169"/>
      <c r="AM112" s="169"/>
      <c r="AN112" s="169"/>
      <c r="AO112" s="169"/>
      <c r="AP112" s="169"/>
      <c r="AQ112" s="169"/>
      <c r="AR112" s="169"/>
      <c r="AS112" s="169"/>
      <c r="AT112" s="169"/>
      <c r="AU112" s="169"/>
      <c r="AV112" s="169"/>
      <c r="AW112" s="169"/>
      <c r="AX112" s="169"/>
      <c r="AY112" s="169"/>
      <c r="AZ112" s="169"/>
      <c r="BA112" s="169"/>
    </row>
    <row r="113" spans="28:53" hidden="1">
      <c r="AB113" s="174"/>
      <c r="AC113" s="174"/>
      <c r="AD113" s="169" t="s">
        <v>6902</v>
      </c>
      <c r="AE113" s="174" t="s">
        <v>339</v>
      </c>
      <c r="AF113" s="169"/>
      <c r="AG113" s="169"/>
      <c r="AH113" s="169"/>
      <c r="AI113" s="169"/>
      <c r="AK113" s="169"/>
      <c r="AL113" s="169"/>
      <c r="AM113" s="169"/>
      <c r="AN113" s="169"/>
      <c r="AO113" s="169"/>
      <c r="AP113" s="169"/>
      <c r="AQ113" s="169"/>
      <c r="AR113" s="169"/>
      <c r="AS113" s="169"/>
      <c r="AT113" s="169"/>
      <c r="AU113" s="169"/>
      <c r="AV113" s="169"/>
      <c r="AW113" s="169"/>
      <c r="AX113" s="169"/>
      <c r="AY113" s="169"/>
      <c r="AZ113" s="169"/>
      <c r="BA113" s="169"/>
    </row>
    <row r="114" spans="28:53" ht="15.75" hidden="1">
      <c r="AB114" s="174"/>
      <c r="AC114" s="658"/>
      <c r="AD114" s="169" t="s">
        <v>7853</v>
      </c>
      <c r="AE114" s="169"/>
      <c r="AF114" s="169"/>
      <c r="AG114" s="303"/>
      <c r="AH114" s="169"/>
      <c r="AI114" s="169"/>
      <c r="AJ114" s="169"/>
      <c r="AK114" s="169"/>
      <c r="AL114" s="169"/>
      <c r="AM114" s="169"/>
      <c r="AN114" s="169"/>
      <c r="AO114" s="169"/>
      <c r="AP114" s="169"/>
      <c r="AQ114" s="169"/>
      <c r="AR114" s="169"/>
      <c r="AS114" s="169"/>
      <c r="AT114" s="169"/>
      <c r="AU114" s="169"/>
      <c r="AV114" s="169"/>
      <c r="AW114" s="169"/>
      <c r="AX114" s="169"/>
      <c r="AY114" s="169"/>
      <c r="AZ114" s="169"/>
      <c r="BA114" s="169"/>
    </row>
    <row r="115" spans="28:53" ht="15.75" hidden="1">
      <c r="AB115" s="174"/>
      <c r="AC115" s="124"/>
      <c r="AD115" s="169"/>
      <c r="AF115" s="169"/>
      <c r="AG115" s="303"/>
      <c r="AH115" s="169"/>
      <c r="AI115" s="169"/>
      <c r="AJ115" s="169"/>
      <c r="AK115" s="169"/>
      <c r="AL115" s="169"/>
      <c r="AM115" s="169"/>
      <c r="AN115" s="169"/>
      <c r="AO115" s="169"/>
      <c r="AP115" s="169"/>
      <c r="AQ115" s="169"/>
      <c r="AR115" s="169"/>
      <c r="AS115" s="169"/>
      <c r="AT115" s="169"/>
      <c r="AU115" s="169"/>
      <c r="AV115" s="169"/>
      <c r="AW115" s="169"/>
      <c r="AX115" s="169"/>
      <c r="AY115" s="169"/>
      <c r="AZ115" s="169"/>
      <c r="BA115" s="169"/>
    </row>
    <row r="116" spans="28:53" ht="15.75" hidden="1">
      <c r="AB116" s="174"/>
      <c r="AC116" s="124"/>
      <c r="AD116" s="7"/>
      <c r="AF116" s="131" t="s">
        <v>254</v>
      </c>
      <c r="AG116" s="1417"/>
      <c r="AH116" s="1418"/>
      <c r="AI116" s="169"/>
      <c r="AJ116" s="169"/>
      <c r="AK116" s="169"/>
      <c r="AL116" s="169"/>
      <c r="AM116" s="169"/>
      <c r="AN116" s="169"/>
      <c r="AO116" s="169"/>
      <c r="AP116" s="169"/>
      <c r="AQ116" s="169"/>
      <c r="AR116" s="169"/>
      <c r="AS116" s="169"/>
      <c r="AT116" s="169"/>
      <c r="AU116" s="169"/>
      <c r="AV116" s="169"/>
      <c r="AW116" s="169"/>
      <c r="AX116" s="169"/>
      <c r="AY116" s="169"/>
      <c r="AZ116" s="169"/>
      <c r="BA116" s="169"/>
    </row>
    <row r="117" spans="28:53" hidden="1">
      <c r="AB117" s="174"/>
      <c r="AC117" s="129"/>
      <c r="AD117" s="658" t="s">
        <v>7839</v>
      </c>
      <c r="AE117" s="169" t="s">
        <v>7840</v>
      </c>
      <c r="AF117" s="169" t="s">
        <v>152</v>
      </c>
      <c r="AG117" s="169"/>
      <c r="AH117" s="169"/>
      <c r="AI117" s="169"/>
      <c r="AJ117" s="169"/>
      <c r="AK117" s="169"/>
      <c r="AL117" s="169"/>
      <c r="AM117" s="169"/>
      <c r="AN117" s="169"/>
      <c r="AO117" s="169"/>
      <c r="AP117" s="169"/>
      <c r="AQ117" s="169"/>
      <c r="AR117" s="169"/>
      <c r="AS117" s="169"/>
      <c r="AT117" s="169"/>
      <c r="AU117" s="169"/>
      <c r="AV117" s="169"/>
      <c r="AW117" s="169"/>
      <c r="AX117" s="169"/>
      <c r="AY117" s="169"/>
      <c r="AZ117" s="169"/>
      <c r="BA117" s="169"/>
    </row>
    <row r="118" spans="28:53" hidden="1">
      <c r="AB118" s="174"/>
      <c r="AC118" s="174" t="s">
        <v>395</v>
      </c>
      <c r="AD118" s="169" t="s">
        <v>6883</v>
      </c>
      <c r="AE118" s="169" t="s">
        <v>7836</v>
      </c>
      <c r="AF118" s="169" t="s">
        <v>6883</v>
      </c>
      <c r="AG118" s="169"/>
      <c r="AH118" s="169"/>
      <c r="AI118" s="169"/>
      <c r="AJ118" s="169"/>
      <c r="AK118" s="169"/>
      <c r="AL118" s="169"/>
      <c r="AM118" s="169"/>
      <c r="AN118" s="169"/>
      <c r="AO118" s="169"/>
      <c r="AP118" s="169"/>
      <c r="AQ118" s="169"/>
      <c r="AR118" s="169"/>
      <c r="AS118" s="169"/>
      <c r="AT118" s="169"/>
      <c r="AU118" s="169"/>
      <c r="AV118" s="169"/>
      <c r="AW118" s="169"/>
      <c r="AX118" s="169"/>
      <c r="AY118" s="169"/>
      <c r="AZ118" s="169"/>
      <c r="BA118" s="169"/>
    </row>
    <row r="119" spans="28:53" hidden="1">
      <c r="AB119" s="174"/>
      <c r="AC119" s="174" t="s">
        <v>151</v>
      </c>
      <c r="AD119" s="169" t="s">
        <v>7173</v>
      </c>
      <c r="AE119" s="169" t="s">
        <v>7173</v>
      </c>
      <c r="AF119" s="169" t="s">
        <v>7173</v>
      </c>
      <c r="AG119" s="169"/>
      <c r="AH119" s="169"/>
      <c r="AI119" s="169"/>
      <c r="AJ119" s="169"/>
      <c r="AK119" s="169"/>
      <c r="AL119" s="169"/>
      <c r="AM119" s="169"/>
      <c r="AN119" s="169"/>
      <c r="AO119" s="169"/>
      <c r="AP119" s="169"/>
      <c r="AQ119" s="169"/>
      <c r="AR119" s="169"/>
      <c r="AS119" s="169"/>
      <c r="AT119" s="169"/>
      <c r="AU119" s="169"/>
      <c r="AV119" s="169"/>
      <c r="AW119" s="169"/>
      <c r="AX119" s="169"/>
      <c r="AY119" s="169"/>
      <c r="AZ119" s="169"/>
      <c r="BA119" s="169"/>
    </row>
    <row r="120" spans="28:53" hidden="1">
      <c r="AB120" s="174"/>
      <c r="AC120" s="174" t="s">
        <v>152</v>
      </c>
      <c r="AD120" s="169" t="s">
        <v>7595</v>
      </c>
      <c r="AE120" s="169" t="s">
        <v>7595</v>
      </c>
      <c r="AF120" s="169" t="s">
        <v>7595</v>
      </c>
      <c r="AG120" s="169"/>
      <c r="AH120" s="169"/>
      <c r="AI120" s="169"/>
      <c r="AJ120" s="169"/>
      <c r="AK120" s="169"/>
      <c r="AL120" s="169"/>
      <c r="AM120" s="169"/>
      <c r="AN120" s="169"/>
      <c r="AO120" s="169"/>
      <c r="AP120" s="169"/>
      <c r="AQ120" s="169"/>
      <c r="AR120" s="169"/>
      <c r="AS120" s="169"/>
      <c r="AT120" s="169"/>
      <c r="AU120" s="169"/>
      <c r="AV120" s="169"/>
      <c r="AW120" s="169"/>
      <c r="AX120" s="169"/>
      <c r="AY120" s="169"/>
      <c r="AZ120" s="169"/>
      <c r="BA120" s="169"/>
    </row>
    <row r="121" spans="28:53" hidden="1">
      <c r="AB121" s="174"/>
      <c r="AC121" s="174" t="s">
        <v>6708</v>
      </c>
      <c r="AD121" s="169" t="s">
        <v>7835</v>
      </c>
      <c r="AE121" s="169" t="s">
        <v>7835</v>
      </c>
      <c r="AF121" s="169" t="s">
        <v>7835</v>
      </c>
      <c r="AG121" s="169"/>
      <c r="AH121" s="169"/>
      <c r="AI121" s="169"/>
      <c r="AJ121" s="169"/>
      <c r="AK121" s="169"/>
      <c r="AL121" s="169"/>
      <c r="AM121" s="169"/>
      <c r="AN121" s="169"/>
      <c r="AO121" s="169"/>
      <c r="AP121" s="169"/>
      <c r="AQ121" s="169"/>
      <c r="AR121" s="169"/>
      <c r="AS121" s="169"/>
      <c r="AT121" s="169"/>
      <c r="AU121" s="169"/>
      <c r="AV121" s="169"/>
      <c r="AW121" s="169"/>
      <c r="AX121" s="169"/>
      <c r="AY121" s="169"/>
      <c r="AZ121" s="169"/>
      <c r="BA121" s="169"/>
    </row>
    <row r="122" spans="28:53" hidden="1">
      <c r="AB122" s="174"/>
      <c r="AC122" s="174"/>
      <c r="AE122" s="169"/>
      <c r="AG122" s="169"/>
      <c r="AH122" s="169"/>
      <c r="AI122" s="169"/>
      <c r="AJ122" s="169"/>
      <c r="AK122" s="169"/>
      <c r="AL122" s="169"/>
      <c r="AM122" s="169"/>
      <c r="AN122" s="169"/>
      <c r="AO122" s="169"/>
      <c r="AP122" s="169"/>
      <c r="AQ122" s="169"/>
      <c r="AR122" s="169"/>
      <c r="AS122" s="169"/>
      <c r="AT122" s="169"/>
      <c r="AU122" s="169"/>
      <c r="AV122" s="169"/>
      <c r="AW122" s="169"/>
      <c r="AX122" s="169"/>
      <c r="AY122" s="169"/>
      <c r="AZ122" s="169"/>
      <c r="BA122" s="169"/>
    </row>
    <row r="123" spans="28:53" ht="13.5" hidden="1" thickBot="1">
      <c r="AB123" s="174"/>
      <c r="AC123" s="174"/>
      <c r="AG123" s="169"/>
      <c r="AH123" s="169"/>
      <c r="AI123" s="169"/>
      <c r="AJ123" s="169"/>
      <c r="AK123" s="169"/>
      <c r="AL123" s="169"/>
      <c r="AM123" s="169"/>
      <c r="AN123" s="169"/>
      <c r="AO123" s="169"/>
      <c r="AP123" s="169"/>
      <c r="AQ123" s="169"/>
      <c r="AR123" s="169"/>
      <c r="AS123" s="169"/>
      <c r="AT123" s="169"/>
      <c r="AU123" s="169"/>
      <c r="AV123" s="169"/>
      <c r="AW123" s="169"/>
      <c r="AX123" s="169"/>
      <c r="AY123" s="169"/>
      <c r="AZ123" s="169"/>
      <c r="BA123" s="169"/>
    </row>
    <row r="124" spans="28:53" ht="16.5" hidden="1" thickBot="1">
      <c r="AB124" s="174"/>
      <c r="AC124" s="174"/>
      <c r="AG124" s="169"/>
      <c r="AH124" s="68" t="str">
        <f>CONCATENATE(AB99,"  ",AB101)</f>
        <v xml:space="preserve">  </v>
      </c>
      <c r="AI124" s="169"/>
      <c r="AJ124" s="169"/>
      <c r="AK124" s="169"/>
      <c r="AL124" s="169"/>
      <c r="AM124" s="169"/>
      <c r="AN124" s="169"/>
      <c r="AO124" s="169"/>
      <c r="AP124" s="169"/>
      <c r="AQ124" s="169"/>
      <c r="AR124" s="169"/>
      <c r="AS124" s="169"/>
      <c r="AT124" s="169"/>
      <c r="AU124" s="169"/>
      <c r="AV124" s="169"/>
      <c r="AW124" s="169"/>
      <c r="AX124" s="169"/>
      <c r="AY124" s="169"/>
      <c r="AZ124" s="169"/>
      <c r="BA124" s="169"/>
    </row>
    <row r="125" spans="28:53" ht="15.75" hidden="1">
      <c r="AB125" s="174"/>
      <c r="AC125" s="174"/>
      <c r="AE125" s="124" t="s">
        <v>153</v>
      </c>
      <c r="AG125" s="169"/>
      <c r="AH125" s="169"/>
      <c r="AI125" s="169"/>
      <c r="AJ125" s="169"/>
      <c r="AK125" s="169"/>
      <c r="AL125" s="169"/>
      <c r="AM125" s="169"/>
      <c r="AN125" s="169"/>
      <c r="AO125" s="169"/>
      <c r="AP125" s="169"/>
      <c r="AQ125" s="169"/>
      <c r="AR125" s="169"/>
      <c r="AS125" s="169"/>
      <c r="AT125" s="169"/>
      <c r="AU125" s="169"/>
      <c r="AV125" s="169"/>
      <c r="AW125" s="169"/>
      <c r="AX125" s="169"/>
      <c r="AY125" s="169"/>
      <c r="AZ125" s="169"/>
      <c r="BA125" s="169"/>
    </row>
    <row r="126" spans="28:53" hidden="1">
      <c r="AB126" s="174"/>
      <c r="AC126" s="174"/>
    </row>
  </sheetData>
  <sheetProtection algorithmName="SHA-512" hashValue="thuhMupimCMQnzymzzR5R4R0Hy7QtR6iWVGKKim68W9AbmEORMZ3LG61niegV7au7mJymwhAxhKPpNvAGZeYiQ==" saltValue="7E8Y5lwltm/Ose5s48HS+A==" spinCount="100000" sheet="1" objects="1" scenarios="1"/>
  <dataConsolidate/>
  <mergeCells count="55">
    <mergeCell ref="J52:N52"/>
    <mergeCell ref="B42:N42"/>
    <mergeCell ref="B46:N46"/>
    <mergeCell ref="M29:N29"/>
    <mergeCell ref="M30:N30"/>
    <mergeCell ref="M32:N32"/>
    <mergeCell ref="M33:N33"/>
    <mergeCell ref="M34:N34"/>
    <mergeCell ref="H37:I37"/>
    <mergeCell ref="H32:I32"/>
    <mergeCell ref="H31:I31"/>
    <mergeCell ref="H30:I30"/>
    <mergeCell ref="B29:E29"/>
    <mergeCell ref="D10:N10"/>
    <mergeCell ref="B10:C10"/>
    <mergeCell ref="J55:N55"/>
    <mergeCell ref="C51:E51"/>
    <mergeCell ref="C52:E52"/>
    <mergeCell ref="C53:E53"/>
    <mergeCell ref="C54:E54"/>
    <mergeCell ref="C55:E55"/>
    <mergeCell ref="F53:I53"/>
    <mergeCell ref="F54:I54"/>
    <mergeCell ref="F55:I55"/>
    <mergeCell ref="J53:N53"/>
    <mergeCell ref="J54:N54"/>
    <mergeCell ref="B27:D27"/>
    <mergeCell ref="J50:N50"/>
    <mergeCell ref="J51:N51"/>
    <mergeCell ref="L13:N13"/>
    <mergeCell ref="I13:J13"/>
    <mergeCell ref="D13:G13"/>
    <mergeCell ref="M27:N27"/>
    <mergeCell ref="H22:O24"/>
    <mergeCell ref="B17:D17"/>
    <mergeCell ref="F18:K19"/>
    <mergeCell ref="F17:J17"/>
    <mergeCell ref="L17:M17"/>
    <mergeCell ref="J27:K27"/>
    <mergeCell ref="AG116:AH116"/>
    <mergeCell ref="F50:I50"/>
    <mergeCell ref="B7:C7"/>
    <mergeCell ref="F7:G7"/>
    <mergeCell ref="I7:K7"/>
    <mergeCell ref="F51:I51"/>
    <mergeCell ref="F52:I52"/>
    <mergeCell ref="H35:I35"/>
    <mergeCell ref="H34:I34"/>
    <mergeCell ref="H33:I33"/>
    <mergeCell ref="C50:E50"/>
    <mergeCell ref="H36:I36"/>
    <mergeCell ref="H29:I29"/>
    <mergeCell ref="E23:F23"/>
    <mergeCell ref="B23:C23"/>
    <mergeCell ref="F27:G27"/>
  </mergeCells>
  <phoneticPr fontId="1" type="noConversion"/>
  <conditionalFormatting sqref="D23">
    <cfRule type="expression" dxfId="57" priority="72">
      <formula>$U$13=""</formula>
    </cfRule>
  </conditionalFormatting>
  <conditionalFormatting sqref="F17:J17">
    <cfRule type="expression" dxfId="56" priority="1">
      <formula>$B$17&lt;&gt;$R$3</formula>
    </cfRule>
  </conditionalFormatting>
  <conditionalFormatting sqref="G23">
    <cfRule type="expression" dxfId="55" priority="73">
      <formula>$U$13=""</formula>
    </cfRule>
  </conditionalFormatting>
  <dataValidations xWindow="105" yWindow="484" count="12">
    <dataValidation type="textLength" operator="lessThan" allowBlank="1" showInputMessage="1" showErrorMessage="1" sqref="I7" xr:uid="{E44D9627-3E9F-467E-83E1-BB1AC03280D4}">
      <formula1>50</formula1>
    </dataValidation>
    <dataValidation type="whole" operator="greaterThan" allowBlank="1" showInputMessage="1" showErrorMessage="1" sqref="D23" xr:uid="{E626963D-C4FB-4E9E-B863-E536992A4D94}">
      <formula1>0</formula1>
    </dataValidation>
    <dataValidation type="list" allowBlank="1" showInputMessage="1" showErrorMessage="1" sqref="F7" xr:uid="{04DE09FA-B161-4C76-B243-308B6B391F09}">
      <formula1>INDIRECT($B$7)</formula1>
    </dataValidation>
    <dataValidation type="list" allowBlank="1" showInputMessage="1" showErrorMessage="1" promptTitle="Supporting Documentation" sqref="C51:C55" xr:uid="{31DAEB53-0490-43B3-BF2B-2F92C87092B4}">
      <formula1>$AB$75:$AB$83</formula1>
    </dataValidation>
    <dataValidation type="textLength" operator="lessThan" allowBlank="1" showInputMessage="1" showErrorMessage="1" promptTitle="Project Name" prompt="Enter project name (Max Length 100 characters)" sqref="D10" xr:uid="{B5F34D9D-099C-4D8E-9042-FF36CA5910D0}">
      <formula1>100</formula1>
    </dataValidation>
    <dataValidation type="list" allowBlank="1" showInputMessage="1" showErrorMessage="1" sqref="L17" xr:uid="{8BAD1F10-3612-4308-98C0-7A02339B01F1}">
      <formula1>$AG$101:$AI$101</formula1>
    </dataValidation>
    <dataValidation type="list" allowBlank="1" showInputMessage="1" showErrorMessage="1" promptTitle="Institution Acronym" prompt="Please enter your institution acronym from the dropdown menu (the key is on the Template Reference Tab)" sqref="B7:C7" xr:uid="{62797549-09EA-4CA7-BF3B-6717DAC8080D}">
      <formula1>$AB$84:$BA$84</formula1>
    </dataValidation>
    <dataValidation type="list" allowBlank="1" showInputMessage="1" showErrorMessage="1" sqref="B17:D17" xr:uid="{3CA4B668-62FB-4E0F-8182-87147BA86C5F}">
      <formula1>$R$3:$R$4</formula1>
    </dataValidation>
    <dataValidation type="list" allowBlank="1" showInputMessage="1" showErrorMessage="1" sqref="AI116" xr:uid="{D8C2CCB6-CBDE-4FD5-9E24-AB14B86F943F}">
      <formula1>INDIRECT(SUBSTITUTE($U$13," ","_"))</formula1>
    </dataValidation>
    <dataValidation type="list" allowBlank="1" showInputMessage="1" showErrorMessage="1" promptTitle="BOR RECOMMENDED FY25?" prompt="Select FY25 BOR Budget Recommendation Status" sqref="Q5" xr:uid="{4C3E147A-F9EC-40D4-9975-91A8BAF6CD4E}">
      <formula1>$V$2:$V$2</formula1>
    </dataValidation>
    <dataValidation type="list" allowBlank="1" showInputMessage="1" showErrorMessage="1" sqref="O1" xr:uid="{5CBCA8CE-E937-4842-A9C7-A328600CF7FF}">
      <formula1>$T$3:$T$4</formula1>
    </dataValidation>
    <dataValidation type="list" allowBlank="1" showInputMessage="1" showErrorMessage="1" sqref="G23" xr:uid="{90D23D4C-44EB-43B7-97B0-97A3D6340D1B}">
      <formula1>X:X</formula1>
    </dataValidation>
  </dataValidations>
  <pageMargins left="0.2" right="0.2" top="0.25" bottom="0.25" header="0.3" footer="0.3"/>
  <pageSetup paperSize="5" scale="74" orientation="portrait" r:id="rId1"/>
  <headerFooter alignWithMargins="0"/>
  <ignoredErrors>
    <ignoredError sqref="B51:B55" numberStoredAsText="1"/>
  </ignoredErrors>
  <drawing r:id="rId2"/>
  <extLst>
    <ext xmlns:x14="http://schemas.microsoft.com/office/spreadsheetml/2009/9/main" uri="{CCE6A557-97BC-4b89-ADB6-D9C93CAAB3DF}">
      <x14:dataValidations xmlns:xm="http://schemas.microsoft.com/office/excel/2006/main" xWindow="105" yWindow="484" count="1">
        <x14:dataValidation type="list" allowBlank="1" showInputMessage="1" showErrorMessage="1" xr:uid="{0F0AC2C4-797C-44F3-A184-81B7DAD91C5C}">
          <x14:formula1>
            <xm:f>'TAB 4 Project Funding'!$P$34:$P$36</xm:f>
          </x14:formula1>
          <xm:sqref>F17:J17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CC99FF"/>
    <pageSetUpPr fitToPage="1"/>
  </sheetPr>
  <dimension ref="A1:CD118"/>
  <sheetViews>
    <sheetView topLeftCell="A4" workbookViewId="0">
      <selection activeCell="I19" sqref="I19:O19"/>
    </sheetView>
  </sheetViews>
  <sheetFormatPr defaultColWidth="0" defaultRowHeight="12.75" zeroHeight="1"/>
  <cols>
    <col min="1" max="1" width="2.5703125" style="1" customWidth="1"/>
    <col min="2" max="2" width="14.5703125" customWidth="1"/>
    <col min="3" max="3" width="3.85546875" customWidth="1"/>
    <col min="4" max="4" width="9.85546875" customWidth="1"/>
    <col min="5" max="5" width="9.5703125" customWidth="1"/>
    <col min="6" max="13" width="9" customWidth="1"/>
    <col min="14" max="14" width="8.5703125" customWidth="1"/>
    <col min="15" max="15" width="10.7109375" customWidth="1"/>
    <col min="16" max="16" width="1.42578125" customWidth="1"/>
    <col min="17" max="17" width="9.140625" hidden="1" customWidth="1"/>
    <col min="18" max="18" width="10.7109375" hidden="1" customWidth="1"/>
    <col min="19" max="19" width="6.5703125" hidden="1" customWidth="1"/>
    <col min="20" max="20" width="6.7109375" hidden="1" customWidth="1"/>
    <col min="21" max="21" width="21" hidden="1" customWidth="1"/>
    <col min="22" max="26" width="6.7109375" hidden="1" customWidth="1"/>
    <col min="27" max="27" width="5.140625" hidden="1" customWidth="1"/>
    <col min="28" max="28" width="16.42578125" hidden="1" customWidth="1"/>
    <col min="29" max="31" width="11.5703125" hidden="1" customWidth="1"/>
    <col min="32" max="16384" width="9.140625" hidden="1"/>
  </cols>
  <sheetData>
    <row r="1" spans="1:82" ht="28.5" customHeight="1" thickBot="1">
      <c r="A1" s="1028" t="s">
        <v>186</v>
      </c>
      <c r="B1" s="343"/>
      <c r="E1" s="7"/>
      <c r="F1" s="7"/>
      <c r="G1" s="7"/>
      <c r="H1" s="7"/>
      <c r="I1" s="7"/>
      <c r="J1" s="7"/>
      <c r="K1" s="7"/>
      <c r="L1" s="7"/>
      <c r="M1" s="7"/>
      <c r="N1" s="7"/>
      <c r="O1" s="22" t="str">
        <f>'TAB 1 Proj. ID &amp; Prim Narrative'!M1</f>
        <v>USG CAPITAL PLAN -  FY 27-30 PROJECT TEMPLATE</v>
      </c>
      <c r="P1" s="7"/>
      <c r="Q1" s="698"/>
      <c r="R1" s="168"/>
      <c r="S1" s="168"/>
      <c r="T1" s="168"/>
      <c r="U1" s="168"/>
      <c r="V1" s="168"/>
      <c r="W1" s="168"/>
      <c r="X1" s="699"/>
      <c r="Y1" s="698"/>
      <c r="Z1" s="698"/>
      <c r="AA1" s="698"/>
      <c r="AB1" s="698"/>
      <c r="AC1" s="698"/>
      <c r="AD1" s="168"/>
      <c r="AE1" s="168"/>
      <c r="AF1" s="168"/>
      <c r="AG1" s="168"/>
      <c r="AH1" s="168"/>
      <c r="AI1" s="168"/>
      <c r="AJ1" s="168"/>
      <c r="AK1" s="168"/>
      <c r="AL1" s="168"/>
      <c r="AM1" s="168"/>
      <c r="AN1" s="168"/>
      <c r="AO1" s="168"/>
      <c r="AP1" s="168"/>
      <c r="AQ1" s="168"/>
      <c r="AR1" s="168"/>
      <c r="AS1" s="168"/>
      <c r="AT1" s="168"/>
      <c r="AU1" s="168"/>
      <c r="AV1" s="168"/>
      <c r="AW1" s="168"/>
      <c r="AX1" s="168"/>
      <c r="AY1" s="168"/>
      <c r="AZ1" s="168"/>
      <c r="BA1" s="168"/>
      <c r="BB1" s="168"/>
      <c r="BC1" s="168"/>
      <c r="BD1" s="168"/>
      <c r="BE1" s="168"/>
      <c r="BF1" s="168"/>
      <c r="BG1" s="168"/>
      <c r="BH1" s="168"/>
      <c r="BI1" s="168"/>
      <c r="BJ1" s="168"/>
      <c r="BK1" s="168"/>
      <c r="BL1" s="168"/>
      <c r="BM1" s="168"/>
      <c r="BN1" s="168"/>
      <c r="BO1" s="168"/>
      <c r="BP1" s="168"/>
      <c r="BQ1" s="168"/>
      <c r="BR1" s="168"/>
      <c r="BS1" s="168"/>
      <c r="BT1" s="168"/>
      <c r="BU1" s="168"/>
      <c r="BV1" s="168"/>
      <c r="BW1" s="168"/>
      <c r="BX1" s="168"/>
      <c r="BY1" s="168"/>
      <c r="BZ1" s="168"/>
      <c r="CB1" s="168"/>
      <c r="CC1" s="168"/>
      <c r="CD1" s="168"/>
    </row>
    <row r="2" spans="1:82" ht="22.5" customHeight="1" thickBot="1">
      <c r="A2" s="30" t="s">
        <v>163</v>
      </c>
      <c r="B2" s="12"/>
      <c r="C2" s="12"/>
      <c r="D2" s="12"/>
      <c r="E2" s="69" t="str">
        <f>IF('TAB 1 Proj. ID &amp; Prim Narrative'!$B$7="","",'TAB 1 Proj. ID &amp; Prim Narrative'!$B$7)</f>
        <v/>
      </c>
      <c r="F2" s="1559" t="str">
        <f>IF('TAB 1 Proj. ID &amp; Prim Narrative'!U13="","",'TAB 1 Proj. ID &amp; Prim Narrative'!U13)</f>
        <v/>
      </c>
      <c r="G2" s="1560"/>
      <c r="H2" s="69" t="str">
        <f>IF('TAB 1 Proj. ID &amp; Prim Narrative'!$AB$97="","",IF('TAB 1 Proj. ID &amp; Prim Narrative'!O1='TAB 1 Proj. ID &amp; Prim Narrative'!T3,'TAB 1 Proj. ID &amp; Prim Narrative'!$AD$95,'TAB 1 Proj. ID &amp; Prim Narrative'!AC95))</f>
        <v/>
      </c>
      <c r="I2" s="1566" t="str">
        <f>IF('TAB 1 Proj. ID &amp; Prim Narrative'!$D$10="","",'TAB 1 Proj. ID &amp; Prim Narrative'!$D$10)</f>
        <v/>
      </c>
      <c r="J2" s="1567"/>
      <c r="K2" s="1567"/>
      <c r="L2" s="1567"/>
      <c r="M2" s="1567"/>
      <c r="N2" s="1567"/>
      <c r="O2" s="1568"/>
      <c r="P2" s="20"/>
      <c r="Q2" s="104"/>
      <c r="U2" s="104" t="s">
        <v>363</v>
      </c>
      <c r="V2" s="104"/>
      <c r="W2" s="105"/>
      <c r="X2" s="105"/>
      <c r="AD2" s="104" t="s">
        <v>375</v>
      </c>
      <c r="BA2" s="422"/>
      <c r="BB2" s="422"/>
      <c r="BC2" s="422"/>
      <c r="BD2" s="422"/>
      <c r="BE2" s="422"/>
      <c r="BF2" s="422"/>
      <c r="BG2" s="422"/>
      <c r="BH2" s="422"/>
      <c r="BI2" s="422"/>
      <c r="BJ2" s="422"/>
      <c r="BK2" s="422"/>
      <c r="BL2" s="422"/>
      <c r="BM2" s="422"/>
      <c r="BN2" s="422"/>
      <c r="BO2" s="422"/>
      <c r="BP2" s="422"/>
      <c r="BQ2" s="422"/>
      <c r="BR2" s="422"/>
      <c r="BS2" s="422"/>
      <c r="BT2" s="422"/>
      <c r="BU2" s="422"/>
      <c r="BV2" s="422"/>
      <c r="BW2" s="422"/>
      <c r="BX2" s="422"/>
      <c r="BY2" s="3"/>
      <c r="BZ2" s="3"/>
      <c r="CA2" s="702" t="str" cm="1">
        <f t="array" ref="CA2">_xlfn._xlws.FILTER('Fall 2025 FIDC'!N2:N3596,'Fall 2025 FIDC'!D2:D3596='TAB 1 Proj. ID &amp; Prim Narrative'!B7,"")</f>
        <v/>
      </c>
    </row>
    <row r="3" spans="1:82" ht="40.5" customHeight="1" thickBot="1">
      <c r="A3" s="1561" t="s">
        <v>7912</v>
      </c>
      <c r="B3" s="1562"/>
      <c r="C3" s="1562"/>
      <c r="D3" s="1562"/>
      <c r="E3" s="1562"/>
      <c r="F3" s="1562"/>
      <c r="G3" s="1562"/>
      <c r="H3" s="1562"/>
      <c r="I3" s="1562"/>
      <c r="J3" s="1562"/>
      <c r="K3" s="1562"/>
      <c r="L3" s="1562"/>
      <c r="M3" s="1562"/>
      <c r="N3" s="1562"/>
      <c r="O3" s="1562"/>
      <c r="P3" s="7"/>
      <c r="Q3" s="104"/>
      <c r="R3" s="104" t="s">
        <v>249</v>
      </c>
      <c r="S3" s="104" t="s">
        <v>366</v>
      </c>
      <c r="T3" s="104"/>
      <c r="V3" s="104"/>
      <c r="W3" s="105"/>
      <c r="X3" s="105"/>
      <c r="AD3" s="104" t="s">
        <v>249</v>
      </c>
      <c r="AE3" s="104"/>
      <c r="AF3" s="104"/>
      <c r="CA3" s="3"/>
    </row>
    <row r="4" spans="1:82" ht="24.75" customHeight="1" thickBot="1">
      <c r="A4" s="16" t="s">
        <v>213</v>
      </c>
      <c r="B4" s="31"/>
      <c r="C4" s="7"/>
      <c r="D4" s="7"/>
      <c r="E4" s="7"/>
      <c r="F4" s="7"/>
      <c r="G4" s="7"/>
      <c r="H4" s="7"/>
      <c r="I4" s="7"/>
      <c r="J4" s="7"/>
      <c r="K4" s="7"/>
      <c r="L4" s="32"/>
      <c r="M4" s="32"/>
      <c r="N4" s="32"/>
      <c r="O4" s="32"/>
      <c r="P4" s="7"/>
      <c r="Q4" s="104"/>
      <c r="R4" s="104" t="s">
        <v>246</v>
      </c>
      <c r="S4" s="104" t="s">
        <v>367</v>
      </c>
      <c r="T4" s="104"/>
      <c r="U4" s="280" t="str">
        <f>IF($J$7="","",INDEX($S$2:$S$18,MATCH($J$7,$R$2:$R$18,0)))</f>
        <v/>
      </c>
      <c r="V4" s="104" t="s">
        <v>364</v>
      </c>
      <c r="W4" s="105"/>
      <c r="X4" s="105"/>
      <c r="AD4" s="104" t="s">
        <v>172</v>
      </c>
      <c r="AE4" s="104"/>
      <c r="AF4" s="104"/>
      <c r="AI4" s="253" t="s">
        <v>0</v>
      </c>
      <c r="AJ4" s="341"/>
      <c r="AK4" s="254"/>
      <c r="AL4" s="162"/>
      <c r="AM4" s="162"/>
      <c r="AN4" s="339"/>
      <c r="AO4" s="157"/>
      <c r="AP4" s="338" t="s">
        <v>177</v>
      </c>
      <c r="AQ4" s="1497"/>
      <c r="AR4" s="1498"/>
      <c r="AS4" s="1499"/>
      <c r="AT4" s="162"/>
      <c r="AU4" s="162"/>
      <c r="AV4" s="238"/>
      <c r="CA4" s="3"/>
    </row>
    <row r="5" spans="1:82" ht="34.5" customHeight="1" thickBot="1">
      <c r="A5" s="1561" t="s">
        <v>7911</v>
      </c>
      <c r="B5" s="1563"/>
      <c r="C5" s="1563"/>
      <c r="D5" s="1563"/>
      <c r="E5" s="1563"/>
      <c r="F5" s="1563"/>
      <c r="G5" s="1563"/>
      <c r="H5" s="1563"/>
      <c r="I5" s="1563"/>
      <c r="J5" s="1563"/>
      <c r="K5" s="1563"/>
      <c r="L5" s="1563"/>
      <c r="M5" s="1563"/>
      <c r="N5" s="1563"/>
      <c r="O5" s="1563"/>
      <c r="P5" s="7"/>
      <c r="Q5" s="104"/>
      <c r="R5" s="104" t="s">
        <v>247</v>
      </c>
      <c r="S5" s="104" t="s">
        <v>368</v>
      </c>
      <c r="T5" s="107"/>
      <c r="U5" s="280" t="str">
        <f>IF($M$20="","",INDEX($S$2:$S$18,MATCH($M$20,$R$2:$R$18,0)))</f>
        <v/>
      </c>
      <c r="V5" s="104" t="s">
        <v>365</v>
      </c>
      <c r="W5" s="105"/>
      <c r="X5" s="105"/>
      <c r="AD5" s="104" t="s">
        <v>124</v>
      </c>
      <c r="AE5" s="104"/>
      <c r="AF5" s="104"/>
      <c r="AI5" s="38"/>
      <c r="AJ5" s="340" t="s">
        <v>132</v>
      </c>
      <c r="AK5" s="85"/>
      <c r="AL5" s="39"/>
      <c r="AM5" s="37"/>
      <c r="AN5" s="34" t="s">
        <v>131</v>
      </c>
      <c r="AO5" s="86"/>
      <c r="AP5" s="1500">
        <f>IF(AQ$7&lt;&gt;"",BB1,"")</f>
        <v>0</v>
      </c>
      <c r="AQ5" s="1501"/>
      <c r="AR5" s="1502"/>
      <c r="AS5" s="258" t="s">
        <v>133</v>
      </c>
      <c r="AT5" s="73" t="str">
        <f>IFERROR(IF(AK5=0,"",1/AO5),"")</f>
        <v/>
      </c>
      <c r="AU5" s="34" t="s">
        <v>134</v>
      </c>
      <c r="AV5" s="72">
        <f>IFERROR(IF($D$8=0,0,$D$8/$H$8),"")</f>
        <v>0</v>
      </c>
      <c r="CA5" s="3"/>
    </row>
    <row r="6" spans="1:82" ht="36" customHeight="1" thickBot="1">
      <c r="A6" s="1564" t="s">
        <v>245</v>
      </c>
      <c r="B6" s="1565"/>
      <c r="C6" s="1565"/>
      <c r="D6" s="1565"/>
      <c r="E6" s="1565"/>
      <c r="F6" s="1565"/>
      <c r="G6" s="1565"/>
      <c r="H6" s="1565"/>
      <c r="I6" s="1565"/>
      <c r="J6" s="1565"/>
      <c r="K6" s="1565"/>
      <c r="L6" s="1565"/>
      <c r="M6" s="1565"/>
      <c r="N6" s="1565"/>
      <c r="O6" s="1565"/>
      <c r="P6" s="7"/>
      <c r="Q6" s="104"/>
      <c r="R6" s="104" t="s">
        <v>362</v>
      </c>
      <c r="S6" s="104" t="s">
        <v>367</v>
      </c>
      <c r="T6" s="104"/>
      <c r="U6" s="280" t="str">
        <f>IF($M$37="","",INDEX($S$2:$S$18,MATCH($M$37,$R$2:$R$18,0)))</f>
        <v/>
      </c>
      <c r="V6" s="104" t="s">
        <v>274</v>
      </c>
      <c r="W6" s="105"/>
      <c r="X6" s="105"/>
      <c r="AD6" s="104" t="s">
        <v>123</v>
      </c>
      <c r="AE6" s="104"/>
      <c r="AF6" s="104"/>
      <c r="AI6" s="192"/>
      <c r="AJ6" s="244"/>
      <c r="AK6" s="128"/>
      <c r="AL6" s="245"/>
      <c r="AM6" s="246"/>
      <c r="AN6" s="246"/>
      <c r="AO6" s="247"/>
      <c r="AP6" s="246"/>
      <c r="AQ6" s="246"/>
      <c r="AR6" s="246"/>
      <c r="AS6" s="246"/>
      <c r="AT6" s="247"/>
      <c r="AU6" s="247"/>
      <c r="AV6" s="35"/>
      <c r="CA6" s="3"/>
    </row>
    <row r="7" spans="1:82" s="4" customFormat="1" ht="18.75" thickBot="1">
      <c r="A7" s="33"/>
      <c r="B7" s="253" t="s">
        <v>0</v>
      </c>
      <c r="C7" s="341"/>
      <c r="D7" s="254"/>
      <c r="E7" s="162"/>
      <c r="F7" s="162"/>
      <c r="G7" s="1377"/>
      <c r="H7" s="157"/>
      <c r="I7" s="338" t="str">
        <f>IF(D8&gt;0,"Primary Space Function:","")</f>
        <v/>
      </c>
      <c r="J7" s="1497"/>
      <c r="K7" s="1498"/>
      <c r="L7" s="1499"/>
      <c r="M7" s="162"/>
      <c r="N7" s="162"/>
      <c r="O7" s="238"/>
      <c r="P7" s="7"/>
      <c r="Q7" s="106"/>
      <c r="R7" s="104" t="s">
        <v>248</v>
      </c>
      <c r="S7" s="104" t="s">
        <v>368</v>
      </c>
      <c r="T7" s="104"/>
      <c r="U7" s="280" t="str">
        <f>IF($M$54="","",INDEX($S$2:$S$18,MATCH($M$54,$R$2:$R$18,0)))</f>
        <v/>
      </c>
      <c r="V7" s="104" t="s">
        <v>275</v>
      </c>
      <c r="W7" s="105"/>
      <c r="X7" s="108"/>
      <c r="AB7" s="104"/>
      <c r="AC7" s="107"/>
      <c r="AD7" s="104" t="s">
        <v>246</v>
      </c>
      <c r="AE7" s="104"/>
      <c r="AF7" s="104"/>
      <c r="AI7" s="248" t="s">
        <v>155</v>
      </c>
      <c r="AJ7" s="41"/>
      <c r="AK7" s="1373" t="s">
        <v>8101</v>
      </c>
      <c r="AL7" s="249" t="s">
        <v>166</v>
      </c>
      <c r="AM7" s="1373" t="s">
        <v>8109</v>
      </c>
      <c r="AN7" s="1373" t="s">
        <v>8102</v>
      </c>
      <c r="AO7" s="1373" t="s">
        <v>8103</v>
      </c>
      <c r="AP7" s="1373" t="s">
        <v>8104</v>
      </c>
      <c r="AQ7" s="1373" t="s">
        <v>8105</v>
      </c>
      <c r="AR7" s="1373" t="s">
        <v>8106</v>
      </c>
      <c r="AS7" s="1373" t="s">
        <v>8107</v>
      </c>
      <c r="AT7" s="1373" t="s">
        <v>8108</v>
      </c>
      <c r="AU7" s="249" t="s">
        <v>120</v>
      </c>
      <c r="AV7" s="252" t="s">
        <v>167</v>
      </c>
      <c r="CA7" s="3"/>
    </row>
    <row r="8" spans="1:82" s="4" customFormat="1" ht="18" customHeight="1" thickBot="1">
      <c r="A8" s="33"/>
      <c r="B8" s="38"/>
      <c r="C8" s="340" t="s">
        <v>132</v>
      </c>
      <c r="D8" s="85"/>
      <c r="E8" s="274"/>
      <c r="F8" s="255"/>
      <c r="G8" s="256" t="str">
        <f>IF(D8&gt;0,"Proposed Burden Factor:","")</f>
        <v/>
      </c>
      <c r="H8" s="86"/>
      <c r="I8" s="1500" t="str">
        <f>IF(J$7&lt;&gt;"",U4,"")</f>
        <v/>
      </c>
      <c r="J8" s="1501"/>
      <c r="K8" s="1502"/>
      <c r="L8" s="258" t="str">
        <f>IF(D8&gt;0,"Efficiency","")</f>
        <v/>
      </c>
      <c r="M8" s="73" t="str">
        <f>IFERROR(IF(D8=0,"",1/H8),"")</f>
        <v/>
      </c>
      <c r="N8" s="34" t="str">
        <f>IF(D8&gt;0,"ASF","")</f>
        <v/>
      </c>
      <c r="O8" s="72">
        <f>IFERROR(IF($D$8=0,0,$D$8/$H$8),"")</f>
        <v>0</v>
      </c>
      <c r="P8" s="247"/>
      <c r="Q8" s="106"/>
      <c r="R8" s="104" t="s">
        <v>251</v>
      </c>
      <c r="S8" s="104" t="s">
        <v>369</v>
      </c>
      <c r="T8" s="107"/>
      <c r="U8" s="104"/>
      <c r="V8" s="107"/>
      <c r="W8" s="105"/>
      <c r="X8" s="108"/>
      <c r="AB8" s="104"/>
      <c r="AC8" s="110"/>
      <c r="AD8" s="104" t="s">
        <v>247</v>
      </c>
      <c r="AE8" s="104"/>
      <c r="AF8" s="104"/>
      <c r="AI8" s="250" t="s">
        <v>128</v>
      </c>
      <c r="AJ8" s="7"/>
      <c r="AK8" s="251" t="s">
        <v>8</v>
      </c>
      <c r="AL8" s="251" t="s">
        <v>165</v>
      </c>
      <c r="AM8" s="251" t="s">
        <v>122</v>
      </c>
      <c r="AN8" s="251" t="s">
        <v>9</v>
      </c>
      <c r="AO8" s="251" t="s">
        <v>119</v>
      </c>
      <c r="AP8" s="251" t="s">
        <v>126</v>
      </c>
      <c r="AQ8" s="251" t="s">
        <v>125</v>
      </c>
      <c r="AR8" s="251" t="s">
        <v>11</v>
      </c>
      <c r="AS8" s="251" t="s">
        <v>124</v>
      </c>
      <c r="AT8" s="251" t="s">
        <v>123</v>
      </c>
      <c r="AU8" s="251" t="s">
        <v>121</v>
      </c>
      <c r="AV8" s="1503">
        <f>IF(AX8,"",AX10)</f>
        <v>0</v>
      </c>
      <c r="CA8" s="3"/>
    </row>
    <row r="9" spans="1:82" s="4" customFormat="1" ht="5.25" customHeight="1" thickBot="1">
      <c r="A9" s="33"/>
      <c r="B9" s="192"/>
      <c r="C9" s="244"/>
      <c r="D9" s="128"/>
      <c r="E9" s="245"/>
      <c r="F9" s="246"/>
      <c r="G9" s="246"/>
      <c r="H9" s="247"/>
      <c r="I9" s="246"/>
      <c r="J9" s="246"/>
      <c r="K9" s="246"/>
      <c r="L9" s="246"/>
      <c r="M9" s="247"/>
      <c r="N9" s="247"/>
      <c r="O9" s="35"/>
      <c r="P9" s="247"/>
      <c r="Q9" s="106"/>
      <c r="R9" s="104" t="s">
        <v>10</v>
      </c>
      <c r="S9" s="104" t="s">
        <v>370</v>
      </c>
      <c r="T9" s="110"/>
      <c r="U9" s="104"/>
      <c r="V9" s="110"/>
      <c r="W9" s="105"/>
      <c r="X9" s="108"/>
      <c r="AB9" s="104"/>
      <c r="AC9" s="110"/>
      <c r="AD9" s="104" t="s">
        <v>10</v>
      </c>
      <c r="AE9" s="107"/>
      <c r="AF9" s="107"/>
      <c r="AI9" s="250" t="s">
        <v>129</v>
      </c>
      <c r="AJ9" s="128" t="s">
        <v>164</v>
      </c>
      <c r="AK9" s="87"/>
      <c r="AL9" s="87"/>
      <c r="AM9" s="87"/>
      <c r="AN9" s="87"/>
      <c r="AO9" s="87"/>
      <c r="AP9" s="87"/>
      <c r="AQ9" s="87"/>
      <c r="AR9" s="87"/>
      <c r="AS9" s="87"/>
      <c r="AT9" s="87"/>
      <c r="AU9" s="74">
        <f>SUM(AK9:AT9)</f>
        <v>0</v>
      </c>
      <c r="AV9" s="1504"/>
      <c r="CA9" s="3"/>
    </row>
    <row r="10" spans="1:82" ht="15" customHeight="1" thickBot="1">
      <c r="A10"/>
      <c r="B10" s="248" t="str">
        <f>IF($D$8="","",AI7)</f>
        <v/>
      </c>
      <c r="C10" s="41"/>
      <c r="D10" s="1373" t="str">
        <f>IF($D$8&gt;0,AK7,"")</f>
        <v/>
      </c>
      <c r="E10" s="249" t="str">
        <f t="shared" ref="E10:N10" si="0">IF($D$8&gt;0,AL7,"")</f>
        <v/>
      </c>
      <c r="F10" s="1373" t="str">
        <f t="shared" si="0"/>
        <v/>
      </c>
      <c r="G10" s="1373" t="str">
        <f t="shared" si="0"/>
        <v/>
      </c>
      <c r="H10" s="1373" t="str">
        <f t="shared" si="0"/>
        <v/>
      </c>
      <c r="I10" s="1373" t="str">
        <f t="shared" si="0"/>
        <v/>
      </c>
      <c r="J10" s="1373" t="str">
        <f t="shared" si="0"/>
        <v/>
      </c>
      <c r="K10" s="1373" t="str">
        <f t="shared" si="0"/>
        <v/>
      </c>
      <c r="L10" s="1373" t="str">
        <f t="shared" si="0"/>
        <v/>
      </c>
      <c r="M10" s="1373" t="str">
        <f t="shared" si="0"/>
        <v/>
      </c>
      <c r="N10" s="249" t="str">
        <f t="shared" si="0"/>
        <v/>
      </c>
      <c r="O10" s="252" t="s">
        <v>167</v>
      </c>
      <c r="P10" s="7"/>
      <c r="Q10" s="112"/>
      <c r="R10" s="104" t="s">
        <v>250</v>
      </c>
      <c r="S10" s="104" t="s">
        <v>367</v>
      </c>
      <c r="T10" s="110"/>
      <c r="U10" s="104"/>
      <c r="V10" s="110"/>
      <c r="W10" s="105"/>
      <c r="X10" s="105"/>
      <c r="AB10" s="104"/>
      <c r="AC10" s="107"/>
      <c r="AD10" s="104" t="s">
        <v>251</v>
      </c>
      <c r="AE10" s="110"/>
      <c r="AF10" s="110" t="s">
        <v>233</v>
      </c>
      <c r="AI10" s="250" t="s">
        <v>127</v>
      </c>
      <c r="AJ10" s="415" t="s">
        <v>121</v>
      </c>
      <c r="AK10" s="71">
        <f>IFERROR(IF($J$7="",0,$O$8*AK9),0)</f>
        <v>0</v>
      </c>
      <c r="AL10" s="71">
        <f t="shared" ref="AL10:AT10" si="1">IFERROR(IF($J$7="",0,$O$8*AL9),0)</f>
        <v>0</v>
      </c>
      <c r="AM10" s="71">
        <f t="shared" si="1"/>
        <v>0</v>
      </c>
      <c r="AN10" s="71">
        <f t="shared" si="1"/>
        <v>0</v>
      </c>
      <c r="AO10" s="71">
        <f t="shared" si="1"/>
        <v>0</v>
      </c>
      <c r="AP10" s="71">
        <f t="shared" si="1"/>
        <v>0</v>
      </c>
      <c r="AQ10" s="71">
        <f t="shared" si="1"/>
        <v>0</v>
      </c>
      <c r="AR10" s="71">
        <f t="shared" si="1"/>
        <v>0</v>
      </c>
      <c r="AS10" s="71">
        <f t="shared" si="1"/>
        <v>0</v>
      </c>
      <c r="AT10" s="71">
        <f t="shared" si="1"/>
        <v>0</v>
      </c>
      <c r="AU10" s="71" t="str">
        <f>IF(AQ4="","",SUM(AK10:AT10))</f>
        <v/>
      </c>
      <c r="AV10" s="1504"/>
      <c r="CA10" s="3"/>
    </row>
    <row r="11" spans="1:82" ht="15" customHeight="1" thickBot="1">
      <c r="A11"/>
      <c r="B11" s="250" t="str">
        <f t="shared" ref="B11:B13" si="2">IF($D$8="","",AI8)</f>
        <v/>
      </c>
      <c r="C11" s="7"/>
      <c r="D11" s="251" t="str">
        <f>IF($D$8&gt;0,AK8,"")</f>
        <v/>
      </c>
      <c r="E11" s="251" t="str">
        <f t="shared" ref="E11:N11" si="3">IF($D$8&gt;0,AL8,"")</f>
        <v/>
      </c>
      <c r="F11" s="251" t="str">
        <f t="shared" si="3"/>
        <v/>
      </c>
      <c r="G11" s="251" t="str">
        <f t="shared" si="3"/>
        <v/>
      </c>
      <c r="H11" s="251" t="str">
        <f t="shared" si="3"/>
        <v/>
      </c>
      <c r="I11" s="251" t="str">
        <f t="shared" si="3"/>
        <v/>
      </c>
      <c r="J11" s="251" t="str">
        <f t="shared" si="3"/>
        <v/>
      </c>
      <c r="K11" s="251" t="str">
        <f t="shared" si="3"/>
        <v/>
      </c>
      <c r="L11" s="251" t="str">
        <f t="shared" si="3"/>
        <v/>
      </c>
      <c r="M11" s="251" t="str">
        <f t="shared" si="3"/>
        <v/>
      </c>
      <c r="N11" s="251" t="str">
        <f t="shared" si="3"/>
        <v/>
      </c>
      <c r="O11" s="1503" t="str">
        <f>IF(Q11,"",Q13)</f>
        <v/>
      </c>
      <c r="P11" s="7"/>
      <c r="Q11" s="112" t="b">
        <f>OR(D8=0,N12=Q12)</f>
        <v>1</v>
      </c>
      <c r="R11" s="104" t="s">
        <v>361</v>
      </c>
      <c r="S11" s="104" t="s">
        <v>371</v>
      </c>
      <c r="T11" s="107"/>
      <c r="U11" s="104"/>
      <c r="V11" s="107"/>
      <c r="W11" s="105"/>
      <c r="X11" s="105"/>
      <c r="AB11" s="104"/>
      <c r="AC11" s="107"/>
      <c r="AD11" s="104" t="s">
        <v>4</v>
      </c>
      <c r="AE11" s="110"/>
      <c r="AF11" s="110"/>
      <c r="AI11" s="192"/>
      <c r="AJ11" s="245"/>
      <c r="AK11" s="417"/>
      <c r="AL11" s="417"/>
      <c r="AM11" s="417"/>
      <c r="AN11" s="417"/>
      <c r="AO11" s="417"/>
      <c r="AP11" s="417"/>
      <c r="AQ11" s="417"/>
      <c r="AR11" s="417"/>
      <c r="AS11" s="417"/>
      <c r="AT11" s="417"/>
      <c r="AU11" s="417"/>
      <c r="AV11" s="416"/>
      <c r="CA11" s="3"/>
    </row>
    <row r="12" spans="1:82" ht="15" customHeight="1" thickBot="1">
      <c r="A12"/>
      <c r="B12" s="250" t="str">
        <f t="shared" si="2"/>
        <v/>
      </c>
      <c r="C12" s="128" t="str">
        <f t="shared" ref="C12:C13" si="4">IF($D$8="","",AJ9)</f>
        <v/>
      </c>
      <c r="D12" s="87"/>
      <c r="E12" s="87"/>
      <c r="F12" s="87"/>
      <c r="G12" s="87"/>
      <c r="H12" s="87"/>
      <c r="I12" s="87"/>
      <c r="J12" s="87"/>
      <c r="K12" s="87"/>
      <c r="L12" s="87"/>
      <c r="M12" s="87"/>
      <c r="N12" s="74">
        <f>SUM(D12:M12)</f>
        <v>0</v>
      </c>
      <c r="O12" s="1504"/>
      <c r="P12" s="43"/>
      <c r="Q12" s="113">
        <v>1.0000000000000002</v>
      </c>
      <c r="R12" s="104" t="s">
        <v>172</v>
      </c>
      <c r="S12" s="104" t="s">
        <v>369</v>
      </c>
      <c r="T12" s="107"/>
      <c r="U12" s="104"/>
      <c r="V12" s="107"/>
      <c r="W12" s="105"/>
      <c r="X12" s="105"/>
      <c r="AB12" s="104"/>
      <c r="AC12" s="107"/>
      <c r="AD12" s="104" t="s">
        <v>173</v>
      </c>
      <c r="AE12" s="107"/>
      <c r="AF12" s="107"/>
      <c r="AI12" s="1505" t="s">
        <v>7913</v>
      </c>
      <c r="AJ12" s="1506"/>
      <c r="AK12" s="1506"/>
      <c r="AL12" s="1506"/>
      <c r="AM12" s="1506"/>
      <c r="AN12" s="1506"/>
      <c r="AO12" s="1506"/>
      <c r="AP12" s="1506"/>
      <c r="AQ12" s="1506"/>
      <c r="AR12" s="1506"/>
      <c r="AS12" s="1506"/>
      <c r="AT12" s="1506"/>
      <c r="AU12" s="1506"/>
      <c r="AV12" s="1507"/>
      <c r="CA12" s="3"/>
    </row>
    <row r="13" spans="1:82" ht="15" customHeight="1" thickBot="1">
      <c r="A13"/>
      <c r="B13" s="250" t="str">
        <f t="shared" si="2"/>
        <v/>
      </c>
      <c r="C13" s="415" t="str">
        <f t="shared" si="4"/>
        <v/>
      </c>
      <c r="D13" s="71">
        <f>IFERROR(IF($J$7="",0,$O$8*D12),0)</f>
        <v>0</v>
      </c>
      <c r="E13" s="71">
        <f t="shared" ref="E13:M13" si="5">IFERROR(IF($J$7="",0,$O$8*E12),0)</f>
        <v>0</v>
      </c>
      <c r="F13" s="71">
        <f t="shared" si="5"/>
        <v>0</v>
      </c>
      <c r="G13" s="71">
        <f t="shared" si="5"/>
        <v>0</v>
      </c>
      <c r="H13" s="71">
        <f t="shared" si="5"/>
        <v>0</v>
      </c>
      <c r="I13" s="71">
        <f t="shared" si="5"/>
        <v>0</v>
      </c>
      <c r="J13" s="71">
        <f t="shared" si="5"/>
        <v>0</v>
      </c>
      <c r="K13" s="71">
        <f t="shared" si="5"/>
        <v>0</v>
      </c>
      <c r="L13" s="71">
        <f t="shared" si="5"/>
        <v>0</v>
      </c>
      <c r="M13" s="71">
        <f t="shared" si="5"/>
        <v>0</v>
      </c>
      <c r="N13" s="71" t="str">
        <f>IF(J7="","",SUM(D13:M13))</f>
        <v/>
      </c>
      <c r="O13" s="1504"/>
      <c r="P13" s="7"/>
      <c r="Q13" s="1556" t="s">
        <v>130</v>
      </c>
      <c r="R13" s="104" t="s">
        <v>173</v>
      </c>
      <c r="S13" s="104" t="s">
        <v>372</v>
      </c>
      <c r="T13" s="107"/>
      <c r="U13" s="104"/>
      <c r="V13" s="107"/>
      <c r="W13" s="105"/>
      <c r="X13" s="105"/>
      <c r="AB13" s="104"/>
      <c r="AC13" s="107"/>
      <c r="AD13" s="104" t="s">
        <v>248</v>
      </c>
      <c r="AE13" s="107"/>
      <c r="AF13" s="107"/>
      <c r="CA13" s="3"/>
    </row>
    <row r="14" spans="1:82" ht="6.75" customHeight="1">
      <c r="A14"/>
      <c r="B14" s="192"/>
      <c r="C14" s="245"/>
      <c r="D14" s="417"/>
      <c r="E14" s="417"/>
      <c r="F14" s="417"/>
      <c r="G14" s="417"/>
      <c r="H14" s="417"/>
      <c r="I14" s="417"/>
      <c r="J14" s="417"/>
      <c r="K14" s="417"/>
      <c r="L14" s="417"/>
      <c r="M14" s="417"/>
      <c r="N14" s="417"/>
      <c r="O14" s="416"/>
      <c r="P14" s="7"/>
      <c r="Q14" s="1556"/>
      <c r="R14" s="104" t="s">
        <v>7852</v>
      </c>
      <c r="S14" s="104" t="s">
        <v>373</v>
      </c>
      <c r="T14" s="107"/>
      <c r="U14" s="104"/>
      <c r="V14" s="107"/>
      <c r="W14" s="105"/>
      <c r="X14" s="109"/>
      <c r="AB14" s="109"/>
      <c r="AC14" s="109"/>
      <c r="AD14" s="104" t="s">
        <v>250</v>
      </c>
      <c r="AE14" s="107"/>
      <c r="AF14" s="107"/>
      <c r="CA14" s="3"/>
    </row>
    <row r="15" spans="1:82" ht="18" customHeight="1" thickBot="1">
      <c r="A15"/>
      <c r="B15" s="1546" t="str">
        <f t="shared" ref="B15" si="6">IF($D$8="","",AI12)</f>
        <v/>
      </c>
      <c r="C15" s="1557" t="str">
        <f t="shared" ref="C15" si="7">IF($D$8="","",AJ12)</f>
        <v/>
      </c>
      <c r="D15" s="1557" t="str">
        <f t="shared" ref="D15" si="8">IF($D$8="","",AK12)</f>
        <v/>
      </c>
      <c r="E15" s="1557" t="str">
        <f t="shared" ref="E15" si="9">IF($D$8="","",AL12)</f>
        <v/>
      </c>
      <c r="F15" s="1557" t="str">
        <f t="shared" ref="F15" si="10">IF($D$8="","",AM12)</f>
        <v/>
      </c>
      <c r="G15" s="1557" t="str">
        <f t="shared" ref="G15" si="11">IF($D$8="","",AN12)</f>
        <v/>
      </c>
      <c r="H15" s="1557" t="str">
        <f t="shared" ref="H15" si="12">IF($D$8="","",AO12)</f>
        <v/>
      </c>
      <c r="I15" s="1557" t="str">
        <f t="shared" ref="I15" si="13">IF($D$8="","",AP12)</f>
        <v/>
      </c>
      <c r="J15" s="1557" t="str">
        <f t="shared" ref="J15" si="14">IF($D$8="","",AQ12)</f>
        <v/>
      </c>
      <c r="K15" s="1557" t="str">
        <f t="shared" ref="K15" si="15">IF($D$8="","",AR12)</f>
        <v/>
      </c>
      <c r="L15" s="1557" t="str">
        <f t="shared" ref="L15" si="16">IF($D$8="","",AS12)</f>
        <v/>
      </c>
      <c r="M15" s="1557" t="str">
        <f t="shared" ref="M15" si="17">IF($D$8="","",AT12)</f>
        <v/>
      </c>
      <c r="N15" s="1557" t="str">
        <f t="shared" ref="N15" si="18">IF($D$8="","",AU12)</f>
        <v/>
      </c>
      <c r="O15" s="1558" t="str">
        <f t="shared" ref="O15" si="19">IF($D$8="","",AV12)</f>
        <v/>
      </c>
      <c r="P15" s="43"/>
      <c r="Q15" s="1556"/>
      <c r="R15" s="104" t="s">
        <v>174</v>
      </c>
      <c r="S15" s="104" t="s">
        <v>373</v>
      </c>
      <c r="T15" s="107"/>
      <c r="U15" s="104"/>
      <c r="V15" s="107">
        <f>1/0.6</f>
        <v>1.6666666666666667</v>
      </c>
      <c r="W15" s="114">
        <v>0.6</v>
      </c>
      <c r="X15" s="109"/>
      <c r="AB15" s="104"/>
      <c r="AC15" s="104"/>
      <c r="AD15" s="104" t="s">
        <v>174</v>
      </c>
      <c r="AE15" s="23"/>
      <c r="AF15" s="17"/>
      <c r="CA15" s="3"/>
    </row>
    <row r="16" spans="1:82" ht="81" customHeight="1" thickBot="1">
      <c r="A16"/>
      <c r="B16" s="1480" t="s">
        <v>8111</v>
      </c>
      <c r="C16" s="1544"/>
      <c r="D16" s="1544"/>
      <c r="E16" s="1544"/>
      <c r="F16" s="1544"/>
      <c r="G16" s="1544"/>
      <c r="H16" s="1544"/>
      <c r="I16" s="1544"/>
      <c r="J16" s="1544"/>
      <c r="K16" s="1544"/>
      <c r="L16" s="1544"/>
      <c r="M16" s="1544"/>
      <c r="N16" s="1544"/>
      <c r="O16" s="1545"/>
      <c r="P16" s="43"/>
      <c r="Q16" s="112"/>
      <c r="R16" s="104" t="s">
        <v>124</v>
      </c>
      <c r="S16" s="104" t="s">
        <v>7007</v>
      </c>
      <c r="T16" s="109"/>
      <c r="U16" s="107"/>
      <c r="V16" s="107">
        <f>1/0.65</f>
        <v>1.5384615384615383</v>
      </c>
      <c r="W16" s="114">
        <v>0.65</v>
      </c>
      <c r="X16" s="109"/>
      <c r="Y16" s="104"/>
      <c r="Z16" s="104"/>
      <c r="AA16" s="104"/>
      <c r="AB16" s="731" t="s">
        <v>7243</v>
      </c>
      <c r="AC16" s="104"/>
      <c r="AD16" s="18"/>
      <c r="AE16" s="18"/>
      <c r="CA16" s="3"/>
    </row>
    <row r="17" spans="1:41" ht="12" customHeight="1">
      <c r="A17" s="7"/>
      <c r="B17" s="7"/>
      <c r="C17" s="7"/>
      <c r="D17" s="7"/>
      <c r="E17" s="7"/>
      <c r="F17" s="7"/>
      <c r="G17" s="7"/>
      <c r="H17" s="7"/>
      <c r="I17" s="7"/>
      <c r="J17" s="7"/>
      <c r="K17" s="7"/>
      <c r="L17" s="7"/>
      <c r="M17" s="7"/>
      <c r="N17" s="7"/>
      <c r="O17" s="7"/>
      <c r="P17" s="7"/>
      <c r="R17" s="104" t="s">
        <v>123</v>
      </c>
      <c r="S17" s="104" t="s">
        <v>374</v>
      </c>
      <c r="T17" s="104"/>
      <c r="U17" s="107"/>
      <c r="V17" s="107">
        <f>1/0.7</f>
        <v>1.4285714285714286</v>
      </c>
      <c r="W17" s="114">
        <v>0.7</v>
      </c>
      <c r="X17" s="109"/>
      <c r="Y17" s="109"/>
      <c r="Z17" s="109"/>
      <c r="AA17" s="109"/>
      <c r="AB17" s="105"/>
      <c r="AC17" s="109"/>
      <c r="AD17" s="18"/>
      <c r="AE17" s="18"/>
    </row>
    <row r="18" spans="1:41" ht="7.5" customHeight="1" thickBot="1">
      <c r="A18" s="7"/>
      <c r="B18" s="347"/>
      <c r="C18" s="348"/>
      <c r="D18" s="349"/>
      <c r="E18" s="348"/>
      <c r="F18" s="348"/>
      <c r="G18" s="348"/>
      <c r="H18" s="348"/>
      <c r="I18" s="348"/>
      <c r="J18" s="348"/>
      <c r="K18" s="358"/>
      <c r="L18" s="348"/>
      <c r="M18" s="348"/>
      <c r="N18" s="348"/>
      <c r="O18" s="348"/>
      <c r="P18" s="7"/>
      <c r="R18" s="104" t="s">
        <v>4</v>
      </c>
      <c r="S18" s="104" t="s">
        <v>371</v>
      </c>
      <c r="T18" s="104"/>
      <c r="U18" s="107"/>
      <c r="V18" s="107"/>
      <c r="W18" s="114"/>
      <c r="X18" s="109"/>
      <c r="Y18" s="109"/>
      <c r="Z18" s="109"/>
      <c r="AA18" s="109"/>
      <c r="AB18" s="105"/>
      <c r="AC18" s="109"/>
      <c r="AD18" s="18"/>
      <c r="AE18" s="18"/>
    </row>
    <row r="19" spans="1:41" ht="24.75" customHeight="1" thickBot="1">
      <c r="A19" s="36"/>
      <c r="B19" s="290" t="s">
        <v>429</v>
      </c>
      <c r="C19" s="291"/>
      <c r="D19" s="292"/>
      <c r="E19" s="162"/>
      <c r="F19" s="1517" t="s">
        <v>7901</v>
      </c>
      <c r="G19" s="1518"/>
      <c r="H19" s="1519"/>
      <c r="I19" s="1423"/>
      <c r="J19" s="1530"/>
      <c r="K19" s="1530"/>
      <c r="L19" s="1530"/>
      <c r="M19" s="1530"/>
      <c r="N19" s="1530"/>
      <c r="O19" s="1428"/>
      <c r="P19" s="7"/>
      <c r="R19" s="334" t="str">
        <f>CONCATENATE(E2,"_",I19)</f>
        <v>_</v>
      </c>
      <c r="S19" s="107"/>
      <c r="T19" s="107"/>
      <c r="U19" s="346"/>
      <c r="V19" s="107"/>
      <c r="W19" s="110"/>
      <c r="X19" s="109"/>
      <c r="Y19" s="109"/>
      <c r="Z19" s="109"/>
      <c r="AA19" s="109"/>
      <c r="AB19" s="290" t="s">
        <v>429</v>
      </c>
      <c r="AC19" s="291"/>
      <c r="AD19" s="292"/>
      <c r="AE19" s="162"/>
      <c r="AF19" s="1517" t="s">
        <v>6697</v>
      </c>
      <c r="AG19" s="1518"/>
      <c r="AH19" s="1519"/>
      <c r="AI19" s="1522" t="s">
        <v>529</v>
      </c>
      <c r="AJ19" s="352"/>
      <c r="AK19" s="185"/>
      <c r="AL19" s="338" t="s">
        <v>6700</v>
      </c>
      <c r="AM19" s="1524" t="str">
        <f>IF($I$19="","",INDEX('Fall 2025 FIDC'!$F$2:$F$3261,MATCH($R$19,'Fall 2025 FIDC'!$A$2:$A$3261,0)))</f>
        <v/>
      </c>
      <c r="AN19" s="1525"/>
      <c r="AO19" s="1525"/>
    </row>
    <row r="20" spans="1:41" ht="18" customHeight="1" thickBot="1">
      <c r="A20" s="36"/>
      <c r="B20" s="322" t="s">
        <v>430</v>
      </c>
      <c r="C20" s="148"/>
      <c r="D20" s="321"/>
      <c r="E20" s="7"/>
      <c r="F20" s="697" t="str">
        <f>IF(OR(L24="2",L24="3"),"Building not owned - explain GO Bond eligibility!","")</f>
        <v/>
      </c>
      <c r="G20" s="7"/>
      <c r="H20" s="7"/>
      <c r="I20" s="7"/>
      <c r="J20" s="7"/>
      <c r="K20" s="7"/>
      <c r="L20" s="300" t="str">
        <f>IF(I19="","",AL20)</f>
        <v/>
      </c>
      <c r="M20" s="1553"/>
      <c r="N20" s="1554"/>
      <c r="O20" s="1555"/>
      <c r="P20" s="7"/>
      <c r="R20" s="107"/>
      <c r="S20" s="107"/>
      <c r="T20" s="107"/>
      <c r="U20" s="107"/>
      <c r="V20" s="107"/>
      <c r="W20" s="110"/>
      <c r="X20" s="109"/>
      <c r="Y20" s="109"/>
      <c r="Z20" s="109"/>
      <c r="AA20" s="109"/>
      <c r="AB20" s="323" t="s">
        <v>430</v>
      </c>
      <c r="AC20" s="148"/>
      <c r="AD20" s="321"/>
      <c r="AE20" s="7"/>
      <c r="AF20" s="1520"/>
      <c r="AG20" s="1520"/>
      <c r="AH20" s="1521"/>
      <c r="AI20" s="1523"/>
      <c r="AJ20" s="257"/>
      <c r="AK20" s="7"/>
      <c r="AL20" s="300" t="s">
        <v>177</v>
      </c>
      <c r="AM20" s="1497"/>
      <c r="AN20" s="1526"/>
      <c r="AO20" s="1527"/>
    </row>
    <row r="21" spans="1:41" ht="3.75" customHeight="1" thickBot="1">
      <c r="A21" s="36"/>
      <c r="B21" s="323"/>
      <c r="C21" s="148"/>
      <c r="D21" s="321"/>
      <c r="E21" s="7"/>
      <c r="F21" s="350"/>
      <c r="G21" s="350"/>
      <c r="H21" s="350"/>
      <c r="I21" s="32"/>
      <c r="J21" s="7"/>
      <c r="K21" s="7"/>
      <c r="L21" s="256"/>
      <c r="M21" s="359"/>
      <c r="N21" s="12"/>
      <c r="O21" s="316"/>
      <c r="P21" s="7"/>
      <c r="R21" s="107"/>
      <c r="S21" s="107"/>
      <c r="T21" s="107"/>
      <c r="U21" s="107"/>
      <c r="V21" s="107"/>
      <c r="W21" s="110"/>
      <c r="X21" s="109"/>
      <c r="Y21" s="109"/>
      <c r="Z21" s="109"/>
      <c r="AA21" s="109"/>
      <c r="AB21" s="323"/>
      <c r="AC21" s="148"/>
      <c r="AD21" s="321"/>
      <c r="AE21" s="7"/>
      <c r="AF21" s="350"/>
      <c r="AG21" s="350"/>
      <c r="AH21" s="350"/>
      <c r="AI21" s="32"/>
      <c r="AJ21" s="7"/>
      <c r="AK21" s="7"/>
      <c r="AL21" s="256"/>
      <c r="AM21" s="351"/>
      <c r="AN21" s="12"/>
      <c r="AO21" s="316"/>
    </row>
    <row r="22" spans="1:41" s="4" customFormat="1" ht="17.25" customHeight="1" thickBot="1">
      <c r="A22" s="33"/>
      <c r="B22" s="215"/>
      <c r="C22" s="293" t="str">
        <f>IF($I$19="","",AC22)</f>
        <v/>
      </c>
      <c r="D22" s="335" t="str">
        <f>IF(I19="","",INDEX('Fall 2025 FIDC'!$G$2:$G$3596,MATCH('TAB 2 Project Specs'!I19,'Fall 2025 FIDC'!$N$2:$N$3596,0)))</f>
        <v/>
      </c>
      <c r="E22" s="255"/>
      <c r="F22" s="697"/>
      <c r="G22" s="255"/>
      <c r="H22" s="247"/>
      <c r="I22" s="247"/>
      <c r="J22" s="247"/>
      <c r="K22" s="256" t="str">
        <f>IF($I$19="","",AK22)</f>
        <v/>
      </c>
      <c r="L22" s="335" t="str">
        <f>IF(I19="","",INDEX('Fall 2025 FIDC'!$L$2:$L$3596,MATCH('TAB 2 Project Specs'!I19,'Fall 2025 FIDC'!$N$2:$N$3596,0)))</f>
        <v/>
      </c>
      <c r="N22" s="256" t="str">
        <f>IF($I$19="","",AN22)</f>
        <v/>
      </c>
      <c r="O22" s="70" t="str">
        <f>IF(I19="","",INDEX('Fall 2025 FIDC'!$H$2:$H$3596,MATCH('TAB 2 Project Specs'!I19,'Fall 2025 FIDC'!$N$2:$N$3596,0)))</f>
        <v/>
      </c>
      <c r="P22" s="247"/>
      <c r="S22" s="107"/>
      <c r="T22" s="107"/>
      <c r="U22" s="107"/>
      <c r="V22" s="110">
        <f>1/0.85</f>
        <v>1.1764705882352942</v>
      </c>
      <c r="W22" s="114">
        <v>0.85</v>
      </c>
      <c r="X22" s="109"/>
      <c r="Y22" s="109"/>
      <c r="Z22" s="109"/>
      <c r="AA22" s="109"/>
      <c r="AB22" s="298"/>
      <c r="AC22" s="275" t="s">
        <v>386</v>
      </c>
      <c r="AD22" s="335" t="str">
        <f>IF($I$19="","",INDEX('Fall 2025 FIDC'!$G$2:$G$3261,MATCH($R$19,'Fall 2025 FIDC'!$A$2:$A$3261,0)))</f>
        <v/>
      </c>
      <c r="AE22" s="255"/>
      <c r="AF22" s="255"/>
      <c r="AG22" s="255"/>
      <c r="AH22" s="247"/>
      <c r="AI22" s="247"/>
      <c r="AJ22" s="247"/>
      <c r="AK22" s="256" t="s">
        <v>437</v>
      </c>
      <c r="AL22" s="70" t="str">
        <f>IF($I$19="","",INDEX('Fall 2025 FIDC'!$L$2:$L$3261,MATCH($R$19,'Fall 2025 FIDC'!$A$2:$A$3261,0)))</f>
        <v/>
      </c>
      <c r="AN22" s="256" t="s">
        <v>6689</v>
      </c>
      <c r="AO22" s="70" t="str">
        <f>IF($I$19="","",INDEX('Fall 2025 FIDC'!$H$2:$H$3261,MATCH($R$19,'Fall 2025 FIDC'!$A$2:$A$3261,0)))</f>
        <v/>
      </c>
    </row>
    <row r="23" spans="1:41" ht="3.75" customHeight="1" thickBot="1">
      <c r="A23"/>
      <c r="B23" s="257"/>
      <c r="C23" s="260"/>
      <c r="D23" s="336"/>
      <c r="E23" s="7"/>
      <c r="F23" s="7"/>
      <c r="G23" s="7"/>
      <c r="H23" s="7"/>
      <c r="I23" s="7"/>
      <c r="J23" s="7"/>
      <c r="K23" s="7"/>
      <c r="L23" s="7"/>
      <c r="M23" s="7"/>
      <c r="N23" s="7"/>
      <c r="O23" s="295"/>
      <c r="P23" s="7"/>
      <c r="Q23" s="104"/>
      <c r="R23" s="110"/>
      <c r="S23" s="107"/>
      <c r="T23" s="107"/>
      <c r="U23" s="107"/>
      <c r="V23" s="107"/>
      <c r="W23" s="107"/>
      <c r="X23" s="111"/>
      <c r="Y23" s="109"/>
      <c r="Z23" s="109"/>
      <c r="AA23" s="109"/>
      <c r="AB23" s="257"/>
      <c r="AC23" s="260"/>
      <c r="AD23" s="336"/>
      <c r="AE23" s="7"/>
      <c r="AF23" s="7"/>
      <c r="AG23" s="7"/>
      <c r="AH23" s="7"/>
      <c r="AI23" s="7"/>
      <c r="AJ23" s="7"/>
      <c r="AK23" s="7"/>
      <c r="AL23" s="7"/>
      <c r="AM23" s="7"/>
      <c r="AN23" s="7"/>
      <c r="AO23" s="295"/>
    </row>
    <row r="24" spans="1:41" ht="15" customHeight="1" thickBot="1">
      <c r="A24"/>
      <c r="B24" s="257"/>
      <c r="C24" s="293" t="str">
        <f>IF($I$19="","",AC24)</f>
        <v/>
      </c>
      <c r="D24" s="337">
        <v>1</v>
      </c>
      <c r="E24" s="354" t="str">
        <f t="shared" ref="E24" si="20">IF($I$19="","",AE24)</f>
        <v/>
      </c>
      <c r="F24" s="7"/>
      <c r="G24" s="301"/>
      <c r="H24" s="360"/>
      <c r="I24" s="7"/>
      <c r="J24" s="7"/>
      <c r="K24" s="256" t="str">
        <f>IF($I$19="","",AK24)</f>
        <v/>
      </c>
      <c r="L24" s="335" t="str">
        <f>IF(I19="","",INDEX('Fall 2025 FIDC'!$J$2:$J$3596,MATCH('TAB 2 Project Specs'!I19,'Fall 2025 FIDC'!$N$2:$N$3596,0)))</f>
        <v/>
      </c>
      <c r="N24" s="256" t="str">
        <f>IF($I$19="","",AN24)</f>
        <v/>
      </c>
      <c r="O24" s="94"/>
      <c r="P24" s="7"/>
      <c r="Q24" s="115" t="s">
        <v>53</v>
      </c>
      <c r="R24" s="115" t="s">
        <v>54</v>
      </c>
      <c r="S24" s="116" t="s">
        <v>324</v>
      </c>
      <c r="T24" s="107"/>
      <c r="U24" s="107"/>
      <c r="V24" s="107"/>
      <c r="W24" s="107"/>
      <c r="X24" s="111"/>
      <c r="Y24" s="109"/>
      <c r="Z24" s="109"/>
      <c r="AA24" s="109"/>
      <c r="AB24" s="257"/>
      <c r="AC24" s="275" t="s">
        <v>389</v>
      </c>
      <c r="AD24" s="337">
        <v>1</v>
      </c>
      <c r="AE24" s="354" t="s">
        <v>7895</v>
      </c>
      <c r="AF24" s="7"/>
      <c r="AG24" s="301"/>
      <c r="AH24" s="294"/>
      <c r="AI24" s="7"/>
      <c r="AJ24" s="7"/>
      <c r="AK24" s="256" t="s">
        <v>438</v>
      </c>
      <c r="AL24" s="70" t="str">
        <f>IF($I$19="","",INDEX('Fall 2025 FIDC'!$J$2:$J$3261,MATCH($R$19,'Fall 2025 FIDC'!$A$2:$A$3261,0)))</f>
        <v/>
      </c>
      <c r="AN24" s="256" t="s">
        <v>135</v>
      </c>
      <c r="AO24" s="94"/>
    </row>
    <row r="25" spans="1:41" ht="5.25" customHeight="1" thickBot="1">
      <c r="A25"/>
      <c r="B25" s="296"/>
      <c r="C25" s="297"/>
      <c r="D25" s="336"/>
      <c r="E25" s="7"/>
      <c r="F25" s="7"/>
      <c r="G25" s="7"/>
      <c r="H25" s="7"/>
      <c r="I25" s="7"/>
      <c r="J25" s="7"/>
      <c r="K25" s="7"/>
      <c r="L25" s="7"/>
      <c r="M25" s="7"/>
      <c r="N25" s="7"/>
      <c r="O25" s="295"/>
      <c r="P25" s="7"/>
      <c r="Q25" s="104"/>
      <c r="R25" s="110"/>
      <c r="S25" s="107"/>
      <c r="T25" s="107"/>
      <c r="U25" s="107"/>
      <c r="V25" s="107"/>
      <c r="W25" s="107"/>
      <c r="X25" s="111"/>
      <c r="Y25" s="109"/>
      <c r="Z25" s="109"/>
      <c r="AA25" s="109"/>
      <c r="AB25" s="296"/>
      <c r="AC25" s="297"/>
      <c r="AD25" s="336"/>
      <c r="AE25" s="7"/>
      <c r="AF25" s="7"/>
      <c r="AG25" s="7"/>
      <c r="AH25" s="7"/>
      <c r="AI25" s="7"/>
      <c r="AJ25" s="7"/>
      <c r="AK25" s="7"/>
      <c r="AL25" s="7"/>
      <c r="AM25" s="7"/>
      <c r="AN25" s="7"/>
      <c r="AO25" s="295"/>
    </row>
    <row r="26" spans="1:41" s="4" customFormat="1" ht="15.75" customHeight="1" thickBot="1">
      <c r="A26" s="33"/>
      <c r="B26" s="299"/>
      <c r="C26" s="260" t="str">
        <f>IF($I$19="","",AC26)</f>
        <v/>
      </c>
      <c r="D26" s="335" t="str">
        <f>IF(I19="","",D22*D24)</f>
        <v/>
      </c>
      <c r="E26" s="1528" t="str">
        <f t="shared" ref="E26:F26" si="21">IF($I$19="","",AE26)</f>
        <v/>
      </c>
      <c r="F26" s="1552" t="str">
        <f t="shared" si="21"/>
        <v/>
      </c>
      <c r="G26" s="86"/>
      <c r="H26" s="260" t="str">
        <f>IF($I$19="","",AH26)</f>
        <v/>
      </c>
      <c r="I26" s="335" t="str">
        <f>IFERROR(IF(D26=0,0,D26/G26),"")</f>
        <v/>
      </c>
      <c r="K26" s="256" t="str">
        <f>IF($I$19="","",AK26)</f>
        <v/>
      </c>
      <c r="L26" s="73" t="str">
        <f>IF(I19="","",1/G26)</f>
        <v/>
      </c>
      <c r="N26" s="256" t="str">
        <f>IF($I$19="","",AN26)</f>
        <v/>
      </c>
      <c r="O26" s="70" t="str">
        <f>IF(I19="","",INDEX('Fall 2025 FIDC'!$I$2:$I$3596,MATCH('TAB 2 Project Specs'!I19,'Fall 2025 FIDC'!$N$2:$N$3596,0)))</f>
        <v/>
      </c>
      <c r="P26" s="247"/>
      <c r="Q26" s="115"/>
      <c r="R26" s="110"/>
      <c r="S26" s="110"/>
      <c r="T26" s="289" t="s">
        <v>179</v>
      </c>
      <c r="U26" s="110"/>
      <c r="V26" s="110"/>
      <c r="W26" s="110"/>
      <c r="X26" s="111"/>
      <c r="Y26" s="111"/>
      <c r="Z26" s="111"/>
      <c r="AA26" s="111"/>
      <c r="AB26" s="299"/>
      <c r="AC26" s="302" t="s">
        <v>388</v>
      </c>
      <c r="AD26" s="335" t="e">
        <f>IF(AI19="","",AD22*AD24)</f>
        <v>#VALUE!</v>
      </c>
      <c r="AE26" s="1528" t="s">
        <v>6694</v>
      </c>
      <c r="AF26" s="1529"/>
      <c r="AG26" s="86"/>
      <c r="AH26" s="260" t="s">
        <v>134</v>
      </c>
      <c r="AI26" s="335" t="e">
        <f>IF(AI19="","",AD22/AG26)</f>
        <v>#VALUE!</v>
      </c>
      <c r="AK26" s="256" t="s">
        <v>133</v>
      </c>
      <c r="AL26" s="73" t="e">
        <f>IF(AI19="","",1/AG26)</f>
        <v>#DIV/0!</v>
      </c>
      <c r="AN26" s="256" t="s">
        <v>6693</v>
      </c>
      <c r="AO26" s="70" t="str">
        <f>IF($I$19="","",INDEX('Fall 2025 FIDC'!$I$2:$I$3261,MATCH($R$19,'Fall 2025 FIDC'!$A$2:$A$3261,0)))</f>
        <v/>
      </c>
    </row>
    <row r="27" spans="1:41" s="4" customFormat="1" ht="15.75" customHeight="1" thickBot="1">
      <c r="A27" s="33"/>
      <c r="B27" s="324"/>
      <c r="C27" s="325"/>
      <c r="D27" s="355"/>
      <c r="E27" s="1549" t="str">
        <f>IF(I19="","",IF(M$20&lt;&gt;"",U5,""))</f>
        <v/>
      </c>
      <c r="F27" s="1550"/>
      <c r="G27" s="1551"/>
      <c r="H27" s="247"/>
      <c r="I27" s="247"/>
      <c r="J27" s="247"/>
      <c r="K27" s="247"/>
      <c r="L27" s="247"/>
      <c r="M27" s="247"/>
      <c r="N27" s="247"/>
      <c r="O27" s="262"/>
      <c r="P27" s="247"/>
      <c r="Q27" s="115"/>
      <c r="R27" s="104"/>
      <c r="S27" s="110"/>
      <c r="T27" s="110"/>
      <c r="U27" s="110"/>
      <c r="V27" s="110"/>
      <c r="W27" s="110"/>
      <c r="X27" s="105"/>
      <c r="Y27" s="111"/>
      <c r="Z27" s="111"/>
      <c r="AA27" s="111"/>
      <c r="AB27" s="324"/>
      <c r="AC27" s="325"/>
      <c r="AD27" s="128"/>
      <c r="AE27" s="1508" t="str">
        <f>IF(AM$20&lt;&gt;"",AU5,"")</f>
        <v/>
      </c>
      <c r="AF27" s="1509"/>
      <c r="AG27" s="1510"/>
      <c r="AH27" s="247"/>
      <c r="AI27" s="247"/>
      <c r="AJ27" s="247"/>
      <c r="AK27" s="247"/>
      <c r="AL27" s="247"/>
      <c r="AM27" s="247"/>
      <c r="AN27" s="247"/>
      <c r="AO27" s="262"/>
    </row>
    <row r="28" spans="1:41" ht="15">
      <c r="A28"/>
      <c r="B28" s="248" t="str">
        <f t="shared" ref="B28:B31" si="22">IF($I$19="","",AB28)</f>
        <v/>
      </c>
      <c r="C28" s="41"/>
      <c r="D28" s="249" t="str">
        <f>IF($I$19="","",AD28)</f>
        <v/>
      </c>
      <c r="E28" s="249" t="str">
        <f t="shared" ref="E28:N29" si="23">IF($I$19="","",AE28)</f>
        <v/>
      </c>
      <c r="F28" s="249" t="str">
        <f t="shared" si="23"/>
        <v/>
      </c>
      <c r="G28" s="249" t="str">
        <f t="shared" si="23"/>
        <v/>
      </c>
      <c r="H28" s="249" t="str">
        <f t="shared" si="23"/>
        <v/>
      </c>
      <c r="I28" s="249" t="str">
        <f t="shared" si="23"/>
        <v/>
      </c>
      <c r="J28" s="249" t="str">
        <f t="shared" si="23"/>
        <v/>
      </c>
      <c r="K28" s="249" t="str">
        <f t="shared" si="23"/>
        <v/>
      </c>
      <c r="L28" s="249" t="str">
        <f t="shared" si="23"/>
        <v/>
      </c>
      <c r="M28" s="249" t="str">
        <f t="shared" si="23"/>
        <v/>
      </c>
      <c r="N28" s="249" t="str">
        <f t="shared" si="23"/>
        <v/>
      </c>
      <c r="O28" s="263"/>
      <c r="P28" s="7"/>
      <c r="Q28" s="116"/>
      <c r="R28" s="104"/>
      <c r="S28" s="259"/>
      <c r="V28" s="104"/>
      <c r="W28" s="104"/>
      <c r="X28" s="105"/>
      <c r="Y28" s="105"/>
      <c r="Z28" s="105"/>
      <c r="AA28" s="105"/>
      <c r="AB28" s="248" t="s">
        <v>155</v>
      </c>
      <c r="AC28" s="41"/>
      <c r="AD28" s="1373" t="s">
        <v>8101</v>
      </c>
      <c r="AE28" s="249" t="s">
        <v>166</v>
      </c>
      <c r="AF28" s="1373" t="s">
        <v>8109</v>
      </c>
      <c r="AG28" s="1373" t="s">
        <v>8102</v>
      </c>
      <c r="AH28" s="1373" t="s">
        <v>8103</v>
      </c>
      <c r="AI28" s="1373" t="s">
        <v>8104</v>
      </c>
      <c r="AJ28" s="1373" t="s">
        <v>8105</v>
      </c>
      <c r="AK28" s="1373" t="s">
        <v>8106</v>
      </c>
      <c r="AL28" s="1373" t="s">
        <v>8107</v>
      </c>
      <c r="AM28" s="1373" t="s">
        <v>8108</v>
      </c>
      <c r="AN28" s="249" t="s">
        <v>120</v>
      </c>
      <c r="AO28" s="263"/>
    </row>
    <row r="29" spans="1:41" ht="13.5" thickBot="1">
      <c r="A29"/>
      <c r="B29" s="250" t="str">
        <f t="shared" si="22"/>
        <v/>
      </c>
      <c r="C29" s="7"/>
      <c r="D29" s="251" t="str">
        <f>IF($I$19="","",AD29)</f>
        <v/>
      </c>
      <c r="E29" s="251" t="str">
        <f t="shared" si="23"/>
        <v/>
      </c>
      <c r="F29" s="251" t="str">
        <f t="shared" si="23"/>
        <v/>
      </c>
      <c r="G29" s="251" t="str">
        <f t="shared" si="23"/>
        <v/>
      </c>
      <c r="H29" s="251" t="str">
        <f t="shared" si="23"/>
        <v/>
      </c>
      <c r="I29" s="251" t="str">
        <f t="shared" si="23"/>
        <v/>
      </c>
      <c r="J29" s="251" t="str">
        <f t="shared" si="23"/>
        <v/>
      </c>
      <c r="K29" s="251" t="str">
        <f t="shared" si="23"/>
        <v/>
      </c>
      <c r="L29" s="251" t="str">
        <f t="shared" si="23"/>
        <v/>
      </c>
      <c r="M29" s="251" t="str">
        <f t="shared" si="23"/>
        <v/>
      </c>
      <c r="N29" s="251" t="str">
        <f t="shared" si="23"/>
        <v/>
      </c>
      <c r="O29" s="1511" t="str">
        <f>IF(I19="","",IF(Q29,"",R29))</f>
        <v/>
      </c>
      <c r="P29" s="7"/>
      <c r="Q29" s="112" t="b">
        <f>OR(D22=0,N30=S29)</f>
        <v>0</v>
      </c>
      <c r="R29" s="353" t="s">
        <v>130</v>
      </c>
      <c r="S29" s="113">
        <v>1.0000000000000002</v>
      </c>
      <c r="V29" s="104"/>
      <c r="W29" s="104"/>
      <c r="X29" s="105"/>
      <c r="Y29" s="105"/>
      <c r="Z29" s="105"/>
      <c r="AA29" s="105"/>
      <c r="AB29" s="250" t="s">
        <v>128</v>
      </c>
      <c r="AC29" s="7"/>
      <c r="AD29" s="264" t="s">
        <v>8</v>
      </c>
      <c r="AE29" s="251" t="s">
        <v>165</v>
      </c>
      <c r="AF29" s="251" t="s">
        <v>122</v>
      </c>
      <c r="AG29" s="264" t="s">
        <v>9</v>
      </c>
      <c r="AH29" s="264" t="s">
        <v>119</v>
      </c>
      <c r="AI29" s="264" t="s">
        <v>126</v>
      </c>
      <c r="AJ29" s="264" t="s">
        <v>125</v>
      </c>
      <c r="AK29" s="264" t="s">
        <v>11</v>
      </c>
      <c r="AL29" s="264" t="s">
        <v>124</v>
      </c>
      <c r="AM29" s="264" t="s">
        <v>123</v>
      </c>
      <c r="AN29" s="251" t="s">
        <v>121</v>
      </c>
      <c r="AO29" s="1511">
        <f>IF(AI19="","",IF(AQ29,"",AR29))</f>
        <v>0</v>
      </c>
    </row>
    <row r="30" spans="1:41" ht="13.5" thickBot="1">
      <c r="A30"/>
      <c r="B30" s="250" t="str">
        <f t="shared" si="22"/>
        <v/>
      </c>
      <c r="C30" s="128" t="str">
        <f t="shared" ref="C30:C31" si="24">IF($I$19="","",AC30)</f>
        <v/>
      </c>
      <c r="D30" s="89"/>
      <c r="E30" s="89"/>
      <c r="F30" s="89"/>
      <c r="G30" s="89"/>
      <c r="H30" s="89"/>
      <c r="I30" s="89"/>
      <c r="J30" s="89"/>
      <c r="K30" s="89"/>
      <c r="L30" s="89"/>
      <c r="M30" s="89"/>
      <c r="N30" s="74" t="str">
        <f>IF(I19="","",SUM(D30:M30))</f>
        <v/>
      </c>
      <c r="O30" s="1512"/>
      <c r="P30" s="7"/>
      <c r="S30" s="247"/>
      <c r="V30" s="104"/>
      <c r="W30" s="104"/>
      <c r="X30" s="105"/>
      <c r="Y30" s="105"/>
      <c r="Z30" s="105"/>
      <c r="AA30" s="105"/>
      <c r="AB30" s="250" t="s">
        <v>129</v>
      </c>
      <c r="AC30" s="128" t="s">
        <v>164</v>
      </c>
      <c r="AD30" s="88"/>
      <c r="AE30" s="88"/>
      <c r="AF30" s="88"/>
      <c r="AG30" s="88"/>
      <c r="AH30" s="88"/>
      <c r="AI30" s="88"/>
      <c r="AJ30" s="88"/>
      <c r="AK30" s="88"/>
      <c r="AL30" s="88"/>
      <c r="AM30" s="88"/>
      <c r="AN30" s="74">
        <f>IF(AI19="","",SUM(AD30:AM30))</f>
        <v>0</v>
      </c>
      <c r="AO30" s="1512"/>
    </row>
    <row r="31" spans="1:41" ht="13.5" thickBot="1">
      <c r="A31"/>
      <c r="B31" s="250" t="str">
        <f t="shared" si="22"/>
        <v/>
      </c>
      <c r="C31" s="415" t="str">
        <f t="shared" si="24"/>
        <v/>
      </c>
      <c r="D31" s="71">
        <f>IFERROR(IF($I$19="",0,$I$26*D30),0)</f>
        <v>0</v>
      </c>
      <c r="E31" s="71">
        <f t="shared" ref="E31:M31" si="25">IFERROR(IF($I$19="",0,$I$26*E30),0)</f>
        <v>0</v>
      </c>
      <c r="F31" s="71">
        <f t="shared" si="25"/>
        <v>0</v>
      </c>
      <c r="G31" s="71">
        <f t="shared" si="25"/>
        <v>0</v>
      </c>
      <c r="H31" s="71">
        <f t="shared" si="25"/>
        <v>0</v>
      </c>
      <c r="I31" s="71">
        <f t="shared" si="25"/>
        <v>0</v>
      </c>
      <c r="J31" s="71">
        <f t="shared" si="25"/>
        <v>0</v>
      </c>
      <c r="K31" s="71">
        <f t="shared" si="25"/>
        <v>0</v>
      </c>
      <c r="L31" s="71">
        <f t="shared" si="25"/>
        <v>0</v>
      </c>
      <c r="M31" s="71">
        <f t="shared" si="25"/>
        <v>0</v>
      </c>
      <c r="N31" s="71" t="str">
        <f>IF(I19="","",SUM(D31:M31))</f>
        <v/>
      </c>
      <c r="O31" s="1512"/>
      <c r="P31" s="7"/>
      <c r="S31" s="104"/>
      <c r="T31" s="104"/>
      <c r="U31" s="104"/>
      <c r="V31" s="104"/>
      <c r="W31" s="104"/>
      <c r="X31" s="105"/>
      <c r="Y31" s="105"/>
      <c r="Z31" s="105"/>
      <c r="AA31" s="105"/>
      <c r="AB31" s="265" t="s">
        <v>127</v>
      </c>
      <c r="AC31" s="266" t="s">
        <v>121</v>
      </c>
      <c r="AD31" s="71" t="str">
        <f t="shared" ref="AD31:AM31" si="26">IF($I19="","",$I26*AD30)</f>
        <v/>
      </c>
      <c r="AE31" s="71" t="str">
        <f t="shared" si="26"/>
        <v/>
      </c>
      <c r="AF31" s="71" t="str">
        <f t="shared" si="26"/>
        <v/>
      </c>
      <c r="AG31" s="71" t="str">
        <f t="shared" si="26"/>
        <v/>
      </c>
      <c r="AH31" s="71" t="str">
        <f t="shared" si="26"/>
        <v/>
      </c>
      <c r="AI31" s="71" t="str">
        <f t="shared" si="26"/>
        <v/>
      </c>
      <c r="AJ31" s="71" t="str">
        <f t="shared" si="26"/>
        <v/>
      </c>
      <c r="AK31" s="71" t="str">
        <f t="shared" si="26"/>
        <v/>
      </c>
      <c r="AL31" s="71" t="str">
        <f t="shared" si="26"/>
        <v/>
      </c>
      <c r="AM31" s="71" t="str">
        <f t="shared" si="26"/>
        <v/>
      </c>
      <c r="AN31" s="71">
        <f>IF(AI19="","",SUM(AD31:AM31))</f>
        <v>0</v>
      </c>
      <c r="AO31" s="1513"/>
    </row>
    <row r="32" spans="1:41" ht="4.5" customHeight="1">
      <c r="A32"/>
      <c r="B32" s="257"/>
      <c r="C32" s="7"/>
      <c r="D32" s="42"/>
      <c r="E32" s="43"/>
      <c r="F32" s="43"/>
      <c r="G32" s="43"/>
      <c r="H32" s="43"/>
      <c r="I32" s="43"/>
      <c r="J32" s="43"/>
      <c r="K32" s="43"/>
      <c r="L32" s="43"/>
      <c r="M32" s="43"/>
      <c r="N32" s="43"/>
      <c r="O32" s="414"/>
      <c r="P32" s="7"/>
      <c r="Q32" s="353"/>
      <c r="R32" s="117"/>
      <c r="S32" s="104"/>
      <c r="T32" s="104"/>
      <c r="U32" s="104"/>
      <c r="V32" s="104"/>
      <c r="W32" s="104"/>
      <c r="X32" s="105"/>
      <c r="Y32" s="105"/>
      <c r="Z32" s="105"/>
      <c r="AA32" s="105"/>
      <c r="AB32" s="40"/>
      <c r="AC32" s="41"/>
      <c r="AD32" s="42"/>
      <c r="AE32" s="43"/>
      <c r="AF32" s="43"/>
      <c r="AG32" s="43"/>
      <c r="AH32" s="43"/>
      <c r="AI32" s="43"/>
      <c r="AJ32" s="43"/>
      <c r="AK32" s="43"/>
      <c r="AL32" s="43"/>
      <c r="AM32" s="43"/>
      <c r="AN32" s="43"/>
      <c r="AO32" s="44"/>
    </row>
    <row r="33" spans="1:41" ht="17.25" customHeight="1" thickBot="1">
      <c r="A33"/>
      <c r="B33" s="1546" t="str">
        <f t="shared" ref="B33:O33" si="27">IF($I$19="","",AB33)</f>
        <v/>
      </c>
      <c r="C33" s="1557" t="str">
        <f t="shared" si="27"/>
        <v/>
      </c>
      <c r="D33" s="1557" t="str">
        <f t="shared" si="27"/>
        <v/>
      </c>
      <c r="E33" s="1557" t="str">
        <f t="shared" si="27"/>
        <v/>
      </c>
      <c r="F33" s="1557" t="str">
        <f t="shared" si="27"/>
        <v/>
      </c>
      <c r="G33" s="1557" t="str">
        <f t="shared" si="27"/>
        <v/>
      </c>
      <c r="H33" s="1557" t="str">
        <f t="shared" si="27"/>
        <v/>
      </c>
      <c r="I33" s="1557" t="str">
        <f t="shared" si="27"/>
        <v/>
      </c>
      <c r="J33" s="1557" t="str">
        <f t="shared" si="27"/>
        <v/>
      </c>
      <c r="K33" s="1557" t="str">
        <f t="shared" si="27"/>
        <v/>
      </c>
      <c r="L33" s="1557" t="str">
        <f t="shared" si="27"/>
        <v/>
      </c>
      <c r="M33" s="1557" t="str">
        <f t="shared" si="27"/>
        <v/>
      </c>
      <c r="N33" s="1557" t="str">
        <f t="shared" si="27"/>
        <v/>
      </c>
      <c r="O33" s="1558" t="str">
        <f t="shared" si="27"/>
        <v/>
      </c>
      <c r="P33" s="7"/>
      <c r="Q33" s="353"/>
      <c r="R33" s="117"/>
      <c r="S33" s="104"/>
      <c r="T33" s="104"/>
      <c r="U33" s="104"/>
      <c r="V33" s="104"/>
      <c r="W33" s="104"/>
      <c r="X33" s="105"/>
      <c r="Y33" s="105"/>
      <c r="Z33" s="105"/>
      <c r="AA33" s="105"/>
      <c r="AB33" s="1505" t="s">
        <v>6691</v>
      </c>
      <c r="AC33" s="1506"/>
      <c r="AD33" s="1506"/>
      <c r="AE33" s="1506"/>
      <c r="AF33" s="1506"/>
      <c r="AG33" s="1506"/>
      <c r="AH33" s="1506"/>
      <c r="AI33" s="1506"/>
      <c r="AJ33" s="1506"/>
      <c r="AK33" s="1506"/>
      <c r="AL33" s="1506"/>
      <c r="AM33" s="1506"/>
      <c r="AN33" s="1506"/>
      <c r="AO33" s="1507"/>
    </row>
    <row r="34" spans="1:41" ht="69.75" customHeight="1" thickBot="1">
      <c r="A34"/>
      <c r="B34" s="1480" t="s">
        <v>7239</v>
      </c>
      <c r="C34" s="1544"/>
      <c r="D34" s="1544"/>
      <c r="E34" s="1544"/>
      <c r="F34" s="1544"/>
      <c r="G34" s="1544"/>
      <c r="H34" s="1544"/>
      <c r="I34" s="1544"/>
      <c r="J34" s="1544"/>
      <c r="K34" s="1544"/>
      <c r="L34" s="1544"/>
      <c r="M34" s="1544"/>
      <c r="N34" s="1544"/>
      <c r="O34" s="1545"/>
      <c r="P34" s="7"/>
      <c r="Q34" s="728"/>
      <c r="R34" s="104"/>
      <c r="S34" s="104"/>
      <c r="T34" s="104"/>
      <c r="U34" s="104"/>
      <c r="V34" s="104"/>
      <c r="W34" s="104"/>
      <c r="X34" s="105"/>
      <c r="Y34" s="105"/>
      <c r="Z34" s="105"/>
      <c r="AA34" s="105"/>
      <c r="AB34" s="1514"/>
      <c r="AC34" s="1515"/>
      <c r="AD34" s="1515"/>
      <c r="AE34" s="1515"/>
      <c r="AF34" s="1515"/>
      <c r="AG34" s="1515"/>
      <c r="AH34" s="1515"/>
      <c r="AI34" s="1515"/>
      <c r="AJ34" s="1515"/>
      <c r="AK34" s="1515"/>
      <c r="AL34" s="1515"/>
      <c r="AM34" s="1515"/>
      <c r="AN34" s="1515"/>
      <c r="AO34" s="1516"/>
    </row>
    <row r="35" spans="1:41" ht="18" customHeight="1" thickBot="1">
      <c r="A35" s="7"/>
      <c r="B35" s="128"/>
      <c r="C35" s="7"/>
      <c r="D35" s="7"/>
      <c r="E35" s="7"/>
      <c r="F35" s="7"/>
      <c r="G35" s="7"/>
      <c r="H35" s="7"/>
      <c r="I35" s="7"/>
      <c r="J35" s="7"/>
      <c r="K35" s="7"/>
      <c r="L35" s="7"/>
      <c r="M35" s="7"/>
      <c r="N35" s="7"/>
      <c r="O35" s="7"/>
      <c r="P35" s="7"/>
      <c r="Q35" s="112"/>
      <c r="R35" s="104"/>
      <c r="S35" s="104"/>
      <c r="T35" s="104"/>
      <c r="U35" s="104"/>
      <c r="V35" s="104"/>
      <c r="W35" s="104"/>
      <c r="X35" s="105"/>
      <c r="Y35" s="105"/>
      <c r="Z35" s="105"/>
      <c r="AA35" s="105"/>
      <c r="AB35" s="128"/>
      <c r="AC35" s="7"/>
      <c r="AD35" s="7"/>
      <c r="AE35" s="7"/>
      <c r="AF35" s="7"/>
      <c r="AG35" s="7"/>
      <c r="AH35" s="7"/>
      <c r="AI35" s="7"/>
      <c r="AJ35" s="7"/>
      <c r="AK35" s="7"/>
      <c r="AL35" s="7"/>
      <c r="AM35" s="7"/>
      <c r="AN35" s="7"/>
      <c r="AO35" s="7"/>
    </row>
    <row r="36" spans="1:41" ht="24" customHeight="1" thickBot="1">
      <c r="A36" s="7"/>
      <c r="B36" s="290" t="s">
        <v>431</v>
      </c>
      <c r="C36" s="291"/>
      <c r="D36" s="292"/>
      <c r="E36" s="162"/>
      <c r="F36" s="1517" t="s">
        <v>7901</v>
      </c>
      <c r="G36" s="1518"/>
      <c r="H36" s="1519"/>
      <c r="I36" s="1423"/>
      <c r="J36" s="1530"/>
      <c r="K36" s="1530"/>
      <c r="L36" s="1530"/>
      <c r="M36" s="1530"/>
      <c r="N36" s="1530"/>
      <c r="O36" s="1428"/>
      <c r="P36" s="7"/>
      <c r="Q36" s="112"/>
      <c r="R36" s="334" t="str">
        <f>CONCATENATE(E2,"_",I36)</f>
        <v>_</v>
      </c>
      <c r="S36" s="104"/>
      <c r="T36" s="104"/>
      <c r="U36" s="104"/>
      <c r="V36" s="104"/>
      <c r="W36" s="104"/>
      <c r="X36" s="105"/>
      <c r="Y36" s="105"/>
      <c r="Z36" s="105"/>
      <c r="AA36" s="105"/>
      <c r="AB36" s="290" t="s">
        <v>431</v>
      </c>
      <c r="AC36" s="291"/>
      <c r="AD36" s="292"/>
      <c r="AE36" s="162"/>
      <c r="AF36" s="1517" t="s">
        <v>6697</v>
      </c>
      <c r="AG36" s="1518"/>
      <c r="AH36" s="1519"/>
      <c r="AI36" s="1522" t="s">
        <v>930</v>
      </c>
      <c r="AJ36" s="352"/>
      <c r="AK36" s="185"/>
      <c r="AL36" s="338" t="s">
        <v>6700</v>
      </c>
      <c r="AM36" s="1524" t="str">
        <f>IF($I$36="","",INDEX('Fall 2025 FIDC'!$F$2:$F$3261,MATCH($R$36,'Fall 2025 FIDC'!$A$2:$A$3261,0)))</f>
        <v/>
      </c>
      <c r="AN36" s="1525"/>
      <c r="AO36" s="1525"/>
    </row>
    <row r="37" spans="1:41" ht="18" customHeight="1" thickBot="1">
      <c r="A37" s="7"/>
      <c r="B37" s="322" t="s">
        <v>7915</v>
      </c>
      <c r="C37" s="148"/>
      <c r="D37" s="321"/>
      <c r="E37" s="7"/>
      <c r="F37" s="697" t="str">
        <f>IF(OR(L41="2",L41="3"),"Building not owned - explain GO Bond eligibility!","")</f>
        <v/>
      </c>
      <c r="G37" s="7"/>
      <c r="H37" s="7"/>
      <c r="I37" s="7"/>
      <c r="J37" s="7"/>
      <c r="K37" s="730"/>
      <c r="L37" s="338" t="str">
        <f>IF($I$36="","",AL37)</f>
        <v/>
      </c>
      <c r="M37" s="1553"/>
      <c r="N37" s="1554"/>
      <c r="O37" s="1555"/>
      <c r="P37" s="7"/>
      <c r="Q37" s="112"/>
      <c r="R37" s="104"/>
      <c r="S37" s="104"/>
      <c r="T37" s="104"/>
      <c r="U37" s="104"/>
      <c r="V37" s="104"/>
      <c r="W37" s="104"/>
      <c r="X37" s="105"/>
      <c r="Y37" s="105"/>
      <c r="Z37" s="105"/>
      <c r="AA37" s="105"/>
      <c r="AB37" s="323" t="s">
        <v>6696</v>
      </c>
      <c r="AC37" s="148"/>
      <c r="AD37" s="321"/>
      <c r="AE37" s="7"/>
      <c r="AF37" s="1520"/>
      <c r="AG37" s="1520"/>
      <c r="AH37" s="1521"/>
      <c r="AI37" s="1523"/>
      <c r="AJ37" s="257"/>
      <c r="AK37" s="7"/>
      <c r="AL37" s="300" t="s">
        <v>177</v>
      </c>
      <c r="AM37" s="1497"/>
      <c r="AN37" s="1526"/>
      <c r="AO37" s="1527"/>
    </row>
    <row r="38" spans="1:41" ht="3" customHeight="1" thickBot="1">
      <c r="A38" s="7"/>
      <c r="B38" s="323"/>
      <c r="C38" s="148"/>
      <c r="D38" s="321"/>
      <c r="E38" s="7"/>
      <c r="F38" s="350"/>
      <c r="G38" s="350"/>
      <c r="H38" s="350"/>
      <c r="I38" s="32"/>
      <c r="J38" s="7"/>
      <c r="K38" s="7"/>
      <c r="L38" s="256"/>
      <c r="M38" s="359"/>
      <c r="N38" s="12"/>
      <c r="O38" s="316"/>
      <c r="P38" s="7"/>
      <c r="Q38" s="112"/>
      <c r="R38" s="104"/>
      <c r="S38" s="104"/>
      <c r="T38" s="104"/>
      <c r="U38" s="104"/>
      <c r="V38" s="104"/>
      <c r="W38" s="104"/>
      <c r="X38" s="105"/>
      <c r="Y38" s="105"/>
      <c r="Z38" s="105"/>
      <c r="AA38" s="105"/>
      <c r="AB38" s="323"/>
      <c r="AC38" s="148"/>
      <c r="AD38" s="321"/>
      <c r="AE38" s="7"/>
      <c r="AF38" s="350"/>
      <c r="AG38" s="350"/>
      <c r="AH38" s="350"/>
      <c r="AI38" s="32"/>
      <c r="AJ38" s="7"/>
      <c r="AK38" s="7"/>
      <c r="AL38" s="256"/>
      <c r="AM38" s="351"/>
      <c r="AN38" s="12"/>
      <c r="AO38" s="316"/>
    </row>
    <row r="39" spans="1:41" ht="17.25" customHeight="1" thickBot="1">
      <c r="A39" s="7"/>
      <c r="B39" s="215"/>
      <c r="C39" s="293" t="str">
        <f t="shared" ref="C39:C43" si="28">IF($I$36="","",AC39)</f>
        <v/>
      </c>
      <c r="D39" s="335" t="str">
        <f>IF(I36="","",INDEX('Fall 2025 FIDC'!$G$2:$G$3596,MATCH('TAB 2 Project Specs'!I36,'Fall 2025 FIDC'!$N$2:$N$3596,0)))</f>
        <v/>
      </c>
      <c r="E39" s="255"/>
      <c r="F39" s="255"/>
      <c r="G39" s="255"/>
      <c r="H39" s="247"/>
      <c r="I39" s="247"/>
      <c r="J39" s="247"/>
      <c r="K39" s="256" t="str">
        <f t="shared" ref="K39:K43" si="29">IF($I$36="","",AK39)</f>
        <v/>
      </c>
      <c r="L39" s="335" t="str">
        <f>IF(I36="","",INDEX('Fall 2025 FIDC'!$L$2:$L$3596,MATCH('TAB 2 Project Specs'!I36,'Fall 2025 FIDC'!$N$2:$N$3596,0)))</f>
        <v/>
      </c>
      <c r="M39" s="4"/>
      <c r="N39" s="256" t="str">
        <f t="shared" ref="N39:N43" si="30">IF($I$36="","",AN39)</f>
        <v/>
      </c>
      <c r="O39" s="70" t="str">
        <f>IF(I36="","",INDEX('Fall 2025 FIDC'!$H$2:$H$3596,MATCH('TAB 2 Project Specs'!I36,'Fall 2025 FIDC'!$N$2:$N$3596,0)))</f>
        <v/>
      </c>
      <c r="P39" s="7"/>
      <c r="Q39" s="112"/>
      <c r="R39" s="104"/>
      <c r="S39" s="104"/>
      <c r="T39" s="104"/>
      <c r="U39" s="104"/>
      <c r="V39" s="104"/>
      <c r="W39" s="104"/>
      <c r="X39" s="105"/>
      <c r="Y39" s="105"/>
      <c r="Z39" s="105"/>
      <c r="AA39" s="105"/>
      <c r="AB39" s="298"/>
      <c r="AC39" s="275" t="s">
        <v>386</v>
      </c>
      <c r="AD39" s="335" t="str">
        <f>IF($I$36="","",INDEX('Fall 2025 FIDC'!$G$2:$G$3261,MATCH($R$36,'Fall 2025 FIDC'!$A$2:$A$3261,0)))</f>
        <v/>
      </c>
      <c r="AE39" s="255"/>
      <c r="AF39" s="255"/>
      <c r="AG39" s="255"/>
      <c r="AH39" s="247"/>
      <c r="AI39" s="247"/>
      <c r="AJ39" s="247"/>
      <c r="AK39" s="256" t="s">
        <v>437</v>
      </c>
      <c r="AL39" s="70" t="str">
        <f>IF($I$36="","",INDEX('Fall 2025 FIDC'!$L$2:$L$3261,MATCH($R$36,'Fall 2025 FIDC'!$A$2:$A$3261,0)))</f>
        <v/>
      </c>
      <c r="AM39" s="4"/>
      <c r="AN39" s="256" t="s">
        <v>6689</v>
      </c>
      <c r="AO39" s="70" t="str">
        <f>IF($I$36="","",INDEX('Fall 2025 FIDC'!$H$2:$H$3261,MATCH($R$36,'Fall 2025 FIDC'!$A$2:$A$3261,0)))</f>
        <v/>
      </c>
    </row>
    <row r="40" spans="1:41" ht="3.75" customHeight="1" thickBot="1">
      <c r="A40" s="7"/>
      <c r="B40" s="257"/>
      <c r="C40" s="260"/>
      <c r="D40" s="336"/>
      <c r="E40" s="7"/>
      <c r="F40" s="7"/>
      <c r="G40" s="7"/>
      <c r="H40" s="7"/>
      <c r="I40" s="7"/>
      <c r="J40" s="7"/>
      <c r="K40" s="7" t="str">
        <f t="shared" si="29"/>
        <v/>
      </c>
      <c r="L40" s="7"/>
      <c r="M40" s="7"/>
      <c r="N40" s="7" t="str">
        <f t="shared" si="30"/>
        <v/>
      </c>
      <c r="O40" s="295"/>
      <c r="P40" s="7"/>
      <c r="Q40" s="112"/>
      <c r="R40" s="104"/>
      <c r="S40" s="104"/>
      <c r="T40" s="104"/>
      <c r="U40" s="104"/>
      <c r="V40" s="104"/>
      <c r="W40" s="104"/>
      <c r="X40" s="105"/>
      <c r="Y40" s="105"/>
      <c r="Z40" s="105"/>
      <c r="AA40" s="105"/>
      <c r="AB40" s="257"/>
      <c r="AC40" s="260"/>
      <c r="AD40" s="336"/>
      <c r="AE40" s="7"/>
      <c r="AF40" s="7"/>
      <c r="AG40" s="7"/>
      <c r="AH40" s="7"/>
      <c r="AI40" s="7"/>
      <c r="AJ40" s="7"/>
      <c r="AK40" s="7"/>
      <c r="AL40" s="7"/>
      <c r="AM40" s="7"/>
      <c r="AN40" s="7"/>
      <c r="AO40" s="295"/>
    </row>
    <row r="41" spans="1:41" ht="15.75" customHeight="1" thickBot="1">
      <c r="A41" s="7"/>
      <c r="B41" s="257"/>
      <c r="C41" s="293" t="str">
        <f t="shared" si="28"/>
        <v/>
      </c>
      <c r="D41" s="337">
        <v>1</v>
      </c>
      <c r="E41" s="354" t="str">
        <f>IF($I$36="","",AE41)</f>
        <v/>
      </c>
      <c r="F41" s="7"/>
      <c r="G41" s="301"/>
      <c r="H41" s="360"/>
      <c r="I41" s="7"/>
      <c r="J41" s="7"/>
      <c r="K41" s="256" t="str">
        <f t="shared" si="29"/>
        <v/>
      </c>
      <c r="L41" s="335" t="str">
        <f>IF(I36="","",INDEX('Fall 2025 FIDC'!$J$2:$J$3596,MATCH('TAB 2 Project Specs'!I36,'Fall 2025 FIDC'!$N$2:$N$3596,0)))</f>
        <v/>
      </c>
      <c r="N41" s="256" t="str">
        <f t="shared" si="30"/>
        <v/>
      </c>
      <c r="O41" s="94"/>
      <c r="P41" s="7"/>
      <c r="Q41" s="115"/>
      <c r="R41" s="115"/>
      <c r="S41" s="116"/>
      <c r="T41" s="104"/>
      <c r="U41" s="104"/>
      <c r="V41" s="104"/>
      <c r="W41" s="104"/>
      <c r="X41" s="105"/>
      <c r="Y41" s="105"/>
      <c r="Z41" s="105"/>
      <c r="AA41" s="105"/>
      <c r="AB41" s="257"/>
      <c r="AC41" s="275" t="s">
        <v>389</v>
      </c>
      <c r="AD41" s="337">
        <v>1</v>
      </c>
      <c r="AE41" s="354" t="s">
        <v>7895</v>
      </c>
      <c r="AF41" s="7"/>
      <c r="AG41" s="301"/>
      <c r="AH41" s="294"/>
      <c r="AI41" s="7"/>
      <c r="AJ41" s="7"/>
      <c r="AK41" s="256" t="s">
        <v>438</v>
      </c>
      <c r="AL41" s="70" t="str">
        <f>IF($I$36="","",INDEX('Fall 2025 FIDC'!$J$2:$J$3261,MATCH($R$36,'Fall 2025 FIDC'!$A$2:$A$3261,0)))</f>
        <v/>
      </c>
      <c r="AN41" s="256" t="s">
        <v>135</v>
      </c>
      <c r="AO41" s="94"/>
    </row>
    <row r="42" spans="1:41" ht="3.75" customHeight="1" thickBot="1">
      <c r="A42" s="7"/>
      <c r="B42" s="296"/>
      <c r="C42" s="297"/>
      <c r="D42" s="336"/>
      <c r="E42" s="7"/>
      <c r="F42" s="7"/>
      <c r="G42" s="7"/>
      <c r="H42" s="7"/>
      <c r="I42" s="7"/>
      <c r="J42" s="7"/>
      <c r="K42" s="7" t="str">
        <f t="shared" si="29"/>
        <v/>
      </c>
      <c r="L42" s="7"/>
      <c r="M42" s="7"/>
      <c r="N42" s="7" t="str">
        <f t="shared" si="30"/>
        <v/>
      </c>
      <c r="O42" s="295"/>
      <c r="P42" s="7"/>
      <c r="Q42" s="112"/>
      <c r="R42" s="104"/>
      <c r="S42" s="104"/>
      <c r="T42" s="104"/>
      <c r="U42" s="104"/>
      <c r="V42" s="104"/>
      <c r="W42" s="104"/>
      <c r="X42" s="105"/>
      <c r="Y42" s="105"/>
      <c r="Z42" s="105"/>
      <c r="AA42" s="105"/>
      <c r="AB42" s="296"/>
      <c r="AC42" s="297"/>
      <c r="AD42" s="336"/>
      <c r="AE42" s="7"/>
      <c r="AF42" s="7"/>
      <c r="AG42" s="7"/>
      <c r="AH42" s="7"/>
      <c r="AI42" s="7"/>
      <c r="AJ42" s="7"/>
      <c r="AK42" s="7"/>
      <c r="AL42" s="7"/>
      <c r="AM42" s="7"/>
      <c r="AN42" s="7"/>
      <c r="AO42" s="295"/>
    </row>
    <row r="43" spans="1:41" ht="15.75" customHeight="1" thickBot="1">
      <c r="A43" s="7"/>
      <c r="B43" s="299"/>
      <c r="C43" s="260" t="str">
        <f t="shared" si="28"/>
        <v/>
      </c>
      <c r="D43" s="335" t="str">
        <f>IF(I36="","",D39*D41)</f>
        <v/>
      </c>
      <c r="E43" s="1528" t="str">
        <f t="shared" ref="E43:F43" si="31">IF($I$36="","",AE43)</f>
        <v/>
      </c>
      <c r="F43" s="1552" t="str">
        <f t="shared" si="31"/>
        <v/>
      </c>
      <c r="G43" s="86"/>
      <c r="H43" s="260" t="str">
        <f>IF($I$36="","",AH43)</f>
        <v/>
      </c>
      <c r="I43" s="335" t="str">
        <f>IFERROR(IF(D43=0,0,D43/G43),"")</f>
        <v/>
      </c>
      <c r="J43" s="4"/>
      <c r="K43" s="256" t="str">
        <f t="shared" si="29"/>
        <v/>
      </c>
      <c r="L43" s="73" t="str">
        <f>IF(I36="","",1/G43)</f>
        <v/>
      </c>
      <c r="M43" s="4"/>
      <c r="N43" s="256" t="str">
        <f t="shared" si="30"/>
        <v/>
      </c>
      <c r="O43" s="70" t="str">
        <f>IF(I36="","",INDEX('Fall 2025 FIDC'!$I$2:$I$3596,MATCH('TAB 2 Project Specs'!I36,'Fall 2025 FIDC'!$N$2:$N$3596,0)))</f>
        <v/>
      </c>
      <c r="P43" s="7"/>
      <c r="Q43" s="112"/>
      <c r="R43" s="104"/>
      <c r="S43" s="104"/>
      <c r="T43" s="104"/>
      <c r="U43" s="104"/>
      <c r="V43" s="104"/>
      <c r="W43" s="104"/>
      <c r="X43" s="105"/>
      <c r="Y43" s="105"/>
      <c r="Z43" s="105"/>
      <c r="AA43" s="105"/>
      <c r="AB43" s="299"/>
      <c r="AC43" s="302" t="s">
        <v>388</v>
      </c>
      <c r="AD43" s="335" t="e">
        <f>IF(AI36="","",AD39*AD41)</f>
        <v>#VALUE!</v>
      </c>
      <c r="AE43" s="1528" t="s">
        <v>6694</v>
      </c>
      <c r="AF43" s="1529"/>
      <c r="AG43" s="86"/>
      <c r="AH43" s="260" t="s">
        <v>134</v>
      </c>
      <c r="AI43" s="335" t="e">
        <f>IF(AI36="","",AD39/AG43)</f>
        <v>#VALUE!</v>
      </c>
      <c r="AJ43" s="4"/>
      <c r="AK43" s="256" t="s">
        <v>133</v>
      </c>
      <c r="AL43" s="73" t="e">
        <f>IF(AI36="","",1/AG43)</f>
        <v>#DIV/0!</v>
      </c>
      <c r="AM43" s="4"/>
      <c r="AN43" s="256" t="s">
        <v>6693</v>
      </c>
      <c r="AO43" s="70" t="str">
        <f>IF($I$36="","",INDEX('Fall 2025 FIDC'!$I$2:$I$3261,MATCH($R$36,'Fall 2025 FIDC'!$A$2:$A$3261,0)))</f>
        <v/>
      </c>
    </row>
    <row r="44" spans="1:41" ht="13.5" customHeight="1">
      <c r="A44" s="7"/>
      <c r="B44" s="324"/>
      <c r="C44" s="325"/>
      <c r="D44" s="355"/>
      <c r="E44" s="1549" t="str">
        <f>IF(I36="","",IF(M$37&lt;&gt;"",U6,""))</f>
        <v/>
      </c>
      <c r="F44" s="1550"/>
      <c r="G44" s="1551"/>
      <c r="H44" s="247"/>
      <c r="I44" s="247"/>
      <c r="J44" s="247"/>
      <c r="K44" s="247"/>
      <c r="L44" s="247"/>
      <c r="M44" s="247"/>
      <c r="N44" s="247"/>
      <c r="O44" s="262"/>
      <c r="P44" s="7"/>
      <c r="Q44" s="112"/>
      <c r="R44" s="104"/>
      <c r="S44" s="104"/>
      <c r="T44" s="104"/>
      <c r="U44" s="104"/>
      <c r="V44" s="104"/>
      <c r="W44" s="104"/>
      <c r="X44" s="105"/>
      <c r="Y44" s="105"/>
      <c r="Z44" s="105"/>
      <c r="AA44" s="105"/>
      <c r="AB44" s="324"/>
      <c r="AC44" s="325"/>
      <c r="AD44" s="355"/>
      <c r="AE44" s="1533" t="str">
        <f>IF(AM$37&lt;&gt;"",AU6,"")</f>
        <v/>
      </c>
      <c r="AF44" s="1509"/>
      <c r="AG44" s="1510"/>
      <c r="AH44" s="247"/>
      <c r="AI44" s="247"/>
      <c r="AJ44" s="247"/>
      <c r="AK44" s="247"/>
      <c r="AL44" s="247"/>
      <c r="AM44" s="247"/>
      <c r="AN44" s="247"/>
      <c r="AO44" s="262"/>
    </row>
    <row r="45" spans="1:41" ht="15" customHeight="1">
      <c r="A45" s="7"/>
      <c r="B45" s="248" t="str">
        <f t="shared" ref="B45:B48" si="32">IF($I$36="","",AB45)</f>
        <v/>
      </c>
      <c r="C45" s="41"/>
      <c r="D45" s="249" t="str">
        <f>IF($I$36="","",AD45)</f>
        <v/>
      </c>
      <c r="E45" s="249" t="str">
        <f t="shared" ref="E45:N45" si="33">IF($I$36="","",AE45)</f>
        <v/>
      </c>
      <c r="F45" s="249" t="str">
        <f t="shared" si="33"/>
        <v/>
      </c>
      <c r="G45" s="249" t="str">
        <f t="shared" si="33"/>
        <v/>
      </c>
      <c r="H45" s="249" t="str">
        <f t="shared" si="33"/>
        <v/>
      </c>
      <c r="I45" s="249" t="str">
        <f t="shared" si="33"/>
        <v/>
      </c>
      <c r="J45" s="249" t="str">
        <f t="shared" si="33"/>
        <v/>
      </c>
      <c r="K45" s="249" t="str">
        <f t="shared" si="33"/>
        <v/>
      </c>
      <c r="L45" s="249" t="str">
        <f t="shared" si="33"/>
        <v/>
      </c>
      <c r="M45" s="249" t="str">
        <f t="shared" si="33"/>
        <v/>
      </c>
      <c r="N45" s="249" t="str">
        <f t="shared" si="33"/>
        <v/>
      </c>
      <c r="O45" s="263"/>
      <c r="P45" s="7"/>
      <c r="Q45" s="112"/>
      <c r="R45" s="104"/>
      <c r="S45" s="104"/>
      <c r="T45" s="104"/>
      <c r="U45" s="104"/>
      <c r="V45" s="104"/>
      <c r="W45" s="104"/>
      <c r="X45" s="105"/>
      <c r="Y45" s="105"/>
      <c r="Z45" s="105"/>
      <c r="AA45" s="105"/>
      <c r="AB45" s="248" t="s">
        <v>155</v>
      </c>
      <c r="AC45" s="41"/>
      <c r="AD45" s="1373" t="s">
        <v>8101</v>
      </c>
      <c r="AE45" s="249" t="s">
        <v>166</v>
      </c>
      <c r="AF45" s="1373" t="s">
        <v>8109</v>
      </c>
      <c r="AG45" s="1373" t="s">
        <v>8102</v>
      </c>
      <c r="AH45" s="1373" t="s">
        <v>8103</v>
      </c>
      <c r="AI45" s="1373" t="s">
        <v>8104</v>
      </c>
      <c r="AJ45" s="1373" t="s">
        <v>8105</v>
      </c>
      <c r="AK45" s="1373" t="s">
        <v>8106</v>
      </c>
      <c r="AL45" s="1373" t="s">
        <v>8107</v>
      </c>
      <c r="AM45" s="1373" t="s">
        <v>8108</v>
      </c>
      <c r="AN45" s="249" t="s">
        <v>120</v>
      </c>
      <c r="AO45" s="263"/>
    </row>
    <row r="46" spans="1:41" ht="15" customHeight="1" thickBot="1">
      <c r="A46" s="7"/>
      <c r="B46" s="250" t="str">
        <f t="shared" si="32"/>
        <v/>
      </c>
      <c r="C46" s="7"/>
      <c r="D46" s="264" t="str">
        <f t="shared" ref="D46" si="34">IF($I$36="","",AD46)</f>
        <v/>
      </c>
      <c r="E46" s="251" t="str">
        <f t="shared" ref="E46" si="35">IF($I$36="","",AE46)</f>
        <v/>
      </c>
      <c r="F46" s="251" t="str">
        <f t="shared" ref="F46" si="36">IF($I$36="","",AF46)</f>
        <v/>
      </c>
      <c r="G46" s="264" t="str">
        <f t="shared" ref="G46" si="37">IF($I$36="","",AG46)</f>
        <v/>
      </c>
      <c r="H46" s="264" t="str">
        <f t="shared" ref="H46" si="38">IF($I$36="","",AH46)</f>
        <v/>
      </c>
      <c r="I46" s="264" t="str">
        <f t="shared" ref="I46" si="39">IF($I$36="","",AI46)</f>
        <v/>
      </c>
      <c r="J46" s="264" t="str">
        <f t="shared" ref="J46" si="40">IF($I$36="","",AJ46)</f>
        <v/>
      </c>
      <c r="K46" s="264" t="str">
        <f t="shared" ref="K46" si="41">IF($I$36="","",AK46)</f>
        <v/>
      </c>
      <c r="L46" s="264" t="str">
        <f t="shared" ref="L46" si="42">IF($I$36="","",AL46)</f>
        <v/>
      </c>
      <c r="M46" s="264" t="str">
        <f t="shared" ref="M46" si="43">IF($I$36="","",AM46)</f>
        <v/>
      </c>
      <c r="N46" s="251" t="str">
        <f t="shared" ref="N46" si="44">IF($I$36="","",AN46)</f>
        <v/>
      </c>
      <c r="O46" s="1511" t="str">
        <f>IF(I36="","",IF(Q46,"",R46))</f>
        <v/>
      </c>
      <c r="P46" s="7"/>
      <c r="Q46" s="112" t="b">
        <f>OR(D39=0,N47=S46)</f>
        <v>0</v>
      </c>
      <c r="R46" s="353" t="s">
        <v>130</v>
      </c>
      <c r="S46" s="113">
        <v>1.0000000000000002</v>
      </c>
      <c r="T46" s="104"/>
      <c r="U46" s="104"/>
      <c r="V46" s="104"/>
      <c r="W46" s="104"/>
      <c r="X46" s="105"/>
      <c r="Y46" s="105"/>
      <c r="Z46" s="105"/>
      <c r="AA46" s="105"/>
      <c r="AB46" s="250" t="s">
        <v>128</v>
      </c>
      <c r="AC46" s="7"/>
      <c r="AD46" s="264" t="s">
        <v>8</v>
      </c>
      <c r="AE46" s="251" t="s">
        <v>165</v>
      </c>
      <c r="AF46" s="251" t="s">
        <v>122</v>
      </c>
      <c r="AG46" s="264" t="s">
        <v>9</v>
      </c>
      <c r="AH46" s="264" t="s">
        <v>119</v>
      </c>
      <c r="AI46" s="264" t="s">
        <v>126</v>
      </c>
      <c r="AJ46" s="264" t="s">
        <v>125</v>
      </c>
      <c r="AK46" s="264" t="s">
        <v>11</v>
      </c>
      <c r="AL46" s="264" t="s">
        <v>124</v>
      </c>
      <c r="AM46" s="264" t="s">
        <v>123</v>
      </c>
      <c r="AN46" s="251" t="s">
        <v>121</v>
      </c>
      <c r="AO46" s="1511">
        <f>IF(AI36="","",IF(AQ46,"",AR46))</f>
        <v>0</v>
      </c>
    </row>
    <row r="47" spans="1:41" ht="15" customHeight="1" thickBot="1">
      <c r="A47" s="7"/>
      <c r="B47" s="250" t="str">
        <f t="shared" si="32"/>
        <v/>
      </c>
      <c r="C47" s="128" t="str">
        <f t="shared" ref="C47:C48" si="45">IF($I$36="","",AC47)</f>
        <v/>
      </c>
      <c r="D47" s="89"/>
      <c r="E47" s="89"/>
      <c r="F47" s="89"/>
      <c r="G47" s="89"/>
      <c r="H47" s="89"/>
      <c r="I47" s="89"/>
      <c r="J47" s="89"/>
      <c r="K47" s="89"/>
      <c r="L47" s="89"/>
      <c r="M47" s="89"/>
      <c r="N47" s="74" t="str">
        <f>IF(I36="","",SUM(D47:M47))</f>
        <v/>
      </c>
      <c r="O47" s="1512"/>
      <c r="P47" s="7"/>
      <c r="Q47" s="112"/>
      <c r="R47" s="104"/>
      <c r="S47" s="104"/>
      <c r="T47" s="104"/>
      <c r="U47" s="104"/>
      <c r="V47" s="104"/>
      <c r="W47" s="104"/>
      <c r="X47" s="105"/>
      <c r="Y47" s="105"/>
      <c r="Z47" s="105"/>
      <c r="AA47" s="105"/>
      <c r="AB47" s="250" t="s">
        <v>129</v>
      </c>
      <c r="AC47" s="128" t="s">
        <v>164</v>
      </c>
      <c r="AD47" s="88"/>
      <c r="AE47" s="88"/>
      <c r="AF47" s="88"/>
      <c r="AG47" s="88"/>
      <c r="AH47" s="88"/>
      <c r="AI47" s="88"/>
      <c r="AJ47" s="88"/>
      <c r="AK47" s="88"/>
      <c r="AL47" s="88"/>
      <c r="AM47" s="88"/>
      <c r="AN47" s="74">
        <f>IF(AI36="","",SUM(AD47:AM47))</f>
        <v>0</v>
      </c>
      <c r="AO47" s="1512"/>
    </row>
    <row r="48" spans="1:41" ht="15" customHeight="1" thickBot="1">
      <c r="A48" s="7"/>
      <c r="B48" s="250" t="str">
        <f t="shared" si="32"/>
        <v/>
      </c>
      <c r="C48" s="415" t="str">
        <f t="shared" si="45"/>
        <v/>
      </c>
      <c r="D48" s="71">
        <f>IFERROR(IF($I$36="",0,$I$43*D47),0)</f>
        <v>0</v>
      </c>
      <c r="E48" s="71">
        <f t="shared" ref="E48:M48" si="46">IFERROR(IF($I$36="",0,$I$43*E47),0)</f>
        <v>0</v>
      </c>
      <c r="F48" s="71">
        <f t="shared" si="46"/>
        <v>0</v>
      </c>
      <c r="G48" s="71">
        <f t="shared" si="46"/>
        <v>0</v>
      </c>
      <c r="H48" s="71">
        <f t="shared" si="46"/>
        <v>0</v>
      </c>
      <c r="I48" s="71">
        <f t="shared" si="46"/>
        <v>0</v>
      </c>
      <c r="J48" s="71">
        <f t="shared" si="46"/>
        <v>0</v>
      </c>
      <c r="K48" s="71">
        <f t="shared" si="46"/>
        <v>0</v>
      </c>
      <c r="L48" s="71">
        <f t="shared" si="46"/>
        <v>0</v>
      </c>
      <c r="M48" s="71">
        <f t="shared" si="46"/>
        <v>0</v>
      </c>
      <c r="N48" s="71" t="str">
        <f>IF(I36="","",SUM(D48:M48))</f>
        <v/>
      </c>
      <c r="O48" s="1512"/>
      <c r="P48" s="7"/>
      <c r="Q48" s="112"/>
      <c r="R48" s="104"/>
      <c r="S48" s="104"/>
      <c r="T48" s="104"/>
      <c r="U48" s="104"/>
      <c r="V48" s="104"/>
      <c r="W48" s="104"/>
      <c r="X48" s="105"/>
      <c r="Y48" s="105"/>
      <c r="Z48" s="105"/>
      <c r="AA48" s="105"/>
      <c r="AB48" s="265" t="s">
        <v>127</v>
      </c>
      <c r="AC48" s="266" t="s">
        <v>121</v>
      </c>
      <c r="AD48" s="71" t="str">
        <f t="shared" ref="AD48:AM48" si="47">IF($I36="","",$I43*AD47)</f>
        <v/>
      </c>
      <c r="AE48" s="71" t="str">
        <f t="shared" si="47"/>
        <v/>
      </c>
      <c r="AF48" s="71" t="str">
        <f t="shared" si="47"/>
        <v/>
      </c>
      <c r="AG48" s="71" t="str">
        <f t="shared" si="47"/>
        <v/>
      </c>
      <c r="AH48" s="71" t="str">
        <f t="shared" si="47"/>
        <v/>
      </c>
      <c r="AI48" s="71" t="str">
        <f t="shared" si="47"/>
        <v/>
      </c>
      <c r="AJ48" s="71" t="str">
        <f t="shared" si="47"/>
        <v/>
      </c>
      <c r="AK48" s="71" t="str">
        <f t="shared" si="47"/>
        <v/>
      </c>
      <c r="AL48" s="71" t="str">
        <f t="shared" si="47"/>
        <v/>
      </c>
      <c r="AM48" s="71" t="str">
        <f t="shared" si="47"/>
        <v/>
      </c>
      <c r="AN48" s="71">
        <f>IF(AI36="","",SUM(AD48:AM48))</f>
        <v>0</v>
      </c>
      <c r="AO48" s="1513"/>
    </row>
    <row r="49" spans="1:41" ht="3.75" customHeight="1">
      <c r="A49" s="7"/>
      <c r="B49" s="257"/>
      <c r="C49" s="7"/>
      <c r="D49" s="42"/>
      <c r="E49" s="43"/>
      <c r="F49" s="43"/>
      <c r="G49" s="43"/>
      <c r="H49" s="43"/>
      <c r="I49" s="43"/>
      <c r="J49" s="43"/>
      <c r="K49" s="43"/>
      <c r="L49" s="43"/>
      <c r="M49" s="43"/>
      <c r="N49" s="43"/>
      <c r="O49" s="414"/>
      <c r="P49" s="7"/>
      <c r="Q49" s="112"/>
      <c r="R49" s="104"/>
      <c r="S49" s="104"/>
      <c r="T49" s="104"/>
      <c r="U49" s="104"/>
      <c r="V49" s="104"/>
      <c r="W49" s="104"/>
      <c r="X49" s="105"/>
      <c r="Y49" s="105"/>
      <c r="Z49" s="105"/>
      <c r="AA49" s="105"/>
      <c r="AB49" s="40"/>
      <c r="AC49" s="41"/>
      <c r="AD49" s="42"/>
      <c r="AE49" s="43"/>
      <c r="AF49" s="43"/>
      <c r="AG49" s="43"/>
      <c r="AH49" s="43"/>
      <c r="AI49" s="43"/>
      <c r="AJ49" s="43"/>
      <c r="AK49" s="43"/>
      <c r="AL49" s="43"/>
      <c r="AM49" s="43"/>
      <c r="AN49" s="43"/>
      <c r="AO49" s="44"/>
    </row>
    <row r="50" spans="1:41" ht="17.25" customHeight="1" thickBot="1">
      <c r="A50" s="7"/>
      <c r="B50" s="1546" t="str">
        <f t="shared" ref="B50:O50" si="48">IF($I$36="","",AB50)</f>
        <v/>
      </c>
      <c r="C50" s="1557" t="str">
        <f t="shared" si="48"/>
        <v/>
      </c>
      <c r="D50" s="1557" t="str">
        <f t="shared" si="48"/>
        <v/>
      </c>
      <c r="E50" s="1557" t="str">
        <f t="shared" si="48"/>
        <v/>
      </c>
      <c r="F50" s="1557" t="str">
        <f t="shared" si="48"/>
        <v/>
      </c>
      <c r="G50" s="1557" t="str">
        <f t="shared" si="48"/>
        <v/>
      </c>
      <c r="H50" s="1557" t="str">
        <f t="shared" si="48"/>
        <v/>
      </c>
      <c r="I50" s="1557" t="str">
        <f t="shared" si="48"/>
        <v/>
      </c>
      <c r="J50" s="1557" t="str">
        <f t="shared" si="48"/>
        <v/>
      </c>
      <c r="K50" s="1557" t="str">
        <f t="shared" si="48"/>
        <v/>
      </c>
      <c r="L50" s="1557" t="str">
        <f t="shared" si="48"/>
        <v/>
      </c>
      <c r="M50" s="1557" t="str">
        <f t="shared" si="48"/>
        <v/>
      </c>
      <c r="N50" s="1557" t="str">
        <f t="shared" si="48"/>
        <v/>
      </c>
      <c r="O50" s="1558" t="str">
        <f t="shared" si="48"/>
        <v/>
      </c>
      <c r="P50" s="7"/>
      <c r="Q50" s="112"/>
      <c r="R50" s="104"/>
      <c r="S50" s="104"/>
      <c r="T50" s="104"/>
      <c r="U50" s="104"/>
      <c r="V50" s="104"/>
      <c r="W50" s="104"/>
      <c r="X50" s="105"/>
      <c r="Y50" s="105"/>
      <c r="Z50" s="105"/>
      <c r="AA50" s="105"/>
      <c r="AB50" s="1505" t="s">
        <v>6692</v>
      </c>
      <c r="AC50" s="1506"/>
      <c r="AD50" s="1506"/>
      <c r="AE50" s="1506"/>
      <c r="AF50" s="1506"/>
      <c r="AG50" s="1506"/>
      <c r="AH50" s="1506"/>
      <c r="AI50" s="1506"/>
      <c r="AJ50" s="1506"/>
      <c r="AK50" s="1506"/>
      <c r="AL50" s="1506"/>
      <c r="AM50" s="1506"/>
      <c r="AN50" s="1506"/>
      <c r="AO50" s="1507"/>
    </row>
    <row r="51" spans="1:41" ht="49.5" customHeight="1" thickBot="1">
      <c r="A51" s="7"/>
      <c r="B51" s="1480" t="s">
        <v>7239</v>
      </c>
      <c r="C51" s="1544"/>
      <c r="D51" s="1544"/>
      <c r="E51" s="1544"/>
      <c r="F51" s="1544"/>
      <c r="G51" s="1544"/>
      <c r="H51" s="1544"/>
      <c r="I51" s="1544"/>
      <c r="J51" s="1544"/>
      <c r="K51" s="1544"/>
      <c r="L51" s="1544"/>
      <c r="M51" s="1544"/>
      <c r="N51" s="1544"/>
      <c r="O51" s="1545"/>
      <c r="P51" s="7"/>
      <c r="Q51" s="112"/>
      <c r="R51" s="104"/>
      <c r="S51" s="104"/>
      <c r="T51" s="104"/>
      <c r="U51" s="104"/>
      <c r="V51" s="104"/>
      <c r="W51" s="104"/>
      <c r="X51" s="105"/>
      <c r="Y51" s="105"/>
      <c r="Z51" s="105"/>
      <c r="AA51" s="105"/>
      <c r="AB51" s="1514"/>
      <c r="AC51" s="1515"/>
      <c r="AD51" s="1515"/>
      <c r="AE51" s="1515"/>
      <c r="AF51" s="1515"/>
      <c r="AG51" s="1515"/>
      <c r="AH51" s="1515"/>
      <c r="AI51" s="1515"/>
      <c r="AJ51" s="1515"/>
      <c r="AK51" s="1515"/>
      <c r="AL51" s="1515"/>
      <c r="AM51" s="1515"/>
      <c r="AN51" s="1515"/>
      <c r="AO51" s="1516"/>
    </row>
    <row r="52" spans="1:41" ht="18" customHeight="1" thickBot="1">
      <c r="A52" s="7"/>
      <c r="B52" s="128"/>
      <c r="C52" s="7"/>
      <c r="D52" s="7"/>
      <c r="E52" s="7"/>
      <c r="F52" s="7"/>
      <c r="G52" s="7"/>
      <c r="H52" s="7"/>
      <c r="I52" s="7"/>
      <c r="J52" s="7"/>
      <c r="K52" s="7"/>
      <c r="L52" s="7"/>
      <c r="M52" s="7"/>
      <c r="N52" s="7"/>
      <c r="O52" s="7"/>
      <c r="P52" s="7"/>
      <c r="Q52" s="112"/>
      <c r="R52" s="104"/>
      <c r="S52" s="104"/>
      <c r="T52" s="104"/>
      <c r="U52" s="104"/>
      <c r="V52" s="104"/>
      <c r="W52" s="104"/>
      <c r="X52" s="105"/>
      <c r="Y52" s="105"/>
      <c r="Z52" s="105"/>
      <c r="AA52" s="105"/>
      <c r="AB52" s="128"/>
      <c r="AC52" s="7"/>
      <c r="AD52" s="7"/>
      <c r="AE52" s="7"/>
      <c r="AF52" s="7"/>
      <c r="AG52" s="7"/>
      <c r="AH52" s="7"/>
      <c r="AI52" s="7"/>
      <c r="AJ52" s="7"/>
      <c r="AK52" s="7"/>
      <c r="AL52" s="7"/>
      <c r="AM52" s="7"/>
      <c r="AN52" s="7"/>
      <c r="AO52" s="7"/>
    </row>
    <row r="53" spans="1:41" ht="24" customHeight="1" thickBot="1">
      <c r="A53" s="7"/>
      <c r="B53" s="290" t="s">
        <v>432</v>
      </c>
      <c r="C53" s="291"/>
      <c r="D53" s="292"/>
      <c r="E53" s="162"/>
      <c r="F53" s="1517" t="s">
        <v>7901</v>
      </c>
      <c r="G53" s="1518"/>
      <c r="H53" s="1519"/>
      <c r="I53" s="1423"/>
      <c r="J53" s="1530"/>
      <c r="K53" s="1530"/>
      <c r="L53" s="1530"/>
      <c r="M53" s="1530"/>
      <c r="N53" s="1530"/>
      <c r="O53" s="1428"/>
      <c r="P53" s="7"/>
      <c r="Q53" s="112"/>
      <c r="R53" s="334" t="str">
        <f>CONCATENATE(E2,"_",I53)</f>
        <v>_</v>
      </c>
      <c r="S53" s="104"/>
      <c r="T53" s="104"/>
      <c r="U53" s="104"/>
      <c r="V53" s="104"/>
      <c r="W53" s="104"/>
      <c r="X53" s="105"/>
      <c r="Y53" s="105"/>
      <c r="Z53" s="105"/>
      <c r="AA53" s="105"/>
      <c r="AB53" s="290" t="s">
        <v>432</v>
      </c>
      <c r="AC53" s="291"/>
      <c r="AD53" s="292"/>
      <c r="AE53" s="162"/>
      <c r="AF53" s="1534" t="s">
        <v>6698</v>
      </c>
      <c r="AG53" s="1517"/>
      <c r="AH53" s="1535"/>
      <c r="AI53" s="1522" t="s">
        <v>4343</v>
      </c>
      <c r="AJ53" s="352"/>
      <c r="AK53" s="185"/>
      <c r="AL53" s="338" t="s">
        <v>6700</v>
      </c>
      <c r="AM53" s="1524" t="str">
        <f>IF($I$53="","",INDEX('Fall 2025 FIDC'!$F$2:$F$3261,MATCH($R$53,'Fall 2025 FIDC'!$A$2:$A$3261,0)))</f>
        <v/>
      </c>
      <c r="AN53" s="1540"/>
      <c r="AO53" s="1540"/>
    </row>
    <row r="54" spans="1:41" ht="18" customHeight="1" thickBot="1">
      <c r="A54" s="7"/>
      <c r="B54" s="322" t="s">
        <v>7916</v>
      </c>
      <c r="C54" s="148"/>
      <c r="D54" s="321"/>
      <c r="E54" s="7"/>
      <c r="F54" s="697" t="str">
        <f>IF(OR(L58="2",L58="3"),"Building not owned - explain GO Bond eligibility!","")</f>
        <v/>
      </c>
      <c r="G54" s="7"/>
      <c r="H54" s="7"/>
      <c r="I54" s="7"/>
      <c r="J54" s="7"/>
      <c r="K54" s="7"/>
      <c r="L54" s="300" t="str">
        <f>IF($I$53="","",AL54)</f>
        <v/>
      </c>
      <c r="M54" s="1497"/>
      <c r="N54" s="1498"/>
      <c r="O54" s="1499"/>
      <c r="P54" s="7"/>
      <c r="Q54" s="112"/>
      <c r="R54" s="104"/>
      <c r="S54" s="104"/>
      <c r="T54" s="104"/>
      <c r="U54" s="104"/>
      <c r="V54" s="104"/>
      <c r="W54" s="104"/>
      <c r="X54" s="105"/>
      <c r="Y54" s="105"/>
      <c r="Z54" s="105"/>
      <c r="AA54" s="105"/>
      <c r="AB54" s="323" t="s">
        <v>6695</v>
      </c>
      <c r="AC54" s="148"/>
      <c r="AD54" s="321"/>
      <c r="AE54" s="7"/>
      <c r="AF54" s="1536"/>
      <c r="AG54" s="1537"/>
      <c r="AH54" s="1538"/>
      <c r="AI54" s="1539"/>
      <c r="AJ54" s="257"/>
      <c r="AK54" s="7"/>
      <c r="AL54" s="300" t="s">
        <v>177</v>
      </c>
      <c r="AM54" s="1497"/>
      <c r="AN54" s="1498"/>
      <c r="AO54" s="1499"/>
    </row>
    <row r="55" spans="1:41" ht="3" customHeight="1" thickBot="1">
      <c r="A55" s="7"/>
      <c r="B55" s="323"/>
      <c r="C55" s="148"/>
      <c r="D55" s="321"/>
      <c r="E55" s="7"/>
      <c r="F55" s="350"/>
      <c r="G55" s="350"/>
      <c r="H55" s="350"/>
      <c r="I55" s="32"/>
      <c r="J55" s="7"/>
      <c r="K55" s="7"/>
      <c r="L55" s="256"/>
      <c r="M55" s="359"/>
      <c r="N55" s="12"/>
      <c r="O55" s="316"/>
      <c r="P55" s="7"/>
      <c r="Q55" s="112"/>
      <c r="R55" s="104"/>
      <c r="S55" s="104"/>
      <c r="T55" s="104"/>
      <c r="U55" s="104"/>
      <c r="V55" s="104"/>
      <c r="W55" s="104"/>
      <c r="X55" s="105"/>
      <c r="Y55" s="105"/>
      <c r="Z55" s="105"/>
      <c r="AA55" s="105"/>
      <c r="AB55" s="323"/>
      <c r="AC55" s="148"/>
      <c r="AD55" s="321"/>
      <c r="AE55" s="7"/>
      <c r="AF55" s="350"/>
      <c r="AG55" s="350"/>
      <c r="AH55" s="350"/>
      <c r="AI55" s="32"/>
      <c r="AJ55" s="7"/>
      <c r="AK55" s="7"/>
      <c r="AL55" s="256"/>
      <c r="AM55" s="351"/>
      <c r="AN55" s="12"/>
      <c r="AO55" s="316"/>
    </row>
    <row r="56" spans="1:41" ht="17.25" customHeight="1" thickBot="1">
      <c r="A56" s="7"/>
      <c r="B56" s="215"/>
      <c r="C56" s="293" t="str">
        <f t="shared" ref="C56" si="49">IF($I$53="","",AC56)</f>
        <v/>
      </c>
      <c r="D56" s="335" t="str">
        <f>IF(I53="","",INDEX('Fall 2025 FIDC'!$G$2:$G$3596,MATCH('TAB 2 Project Specs'!I53,'Fall 2025 FIDC'!$N$2:$N$3596,0)))</f>
        <v/>
      </c>
      <c r="E56" s="255"/>
      <c r="F56" s="255"/>
      <c r="G56" s="255"/>
      <c r="H56" s="247"/>
      <c r="I56" s="247"/>
      <c r="J56" s="247"/>
      <c r="K56" s="256" t="str">
        <f t="shared" ref="K56:K60" si="50">IF($I$53="","",AK56)</f>
        <v/>
      </c>
      <c r="L56" s="335" t="str">
        <f>IF(I53="","",INDEX('Fall 2025 FIDC'!$L$2:$L$3596,MATCH('TAB 2 Project Specs'!I53,'Fall 2025 FIDC'!$N$2:$N$3596,0)))</f>
        <v/>
      </c>
      <c r="M56" s="4"/>
      <c r="N56" s="256" t="str">
        <f t="shared" ref="N56:N60" si="51">IF($I$53="","",AN56)</f>
        <v/>
      </c>
      <c r="O56" s="70" t="str">
        <f>IF(I53="","",INDEX('Fall 2025 FIDC'!$H$2:$H$3596,MATCH('TAB 2 Project Specs'!I53,'Fall 2025 FIDC'!$N$2:$N$3596,0)))</f>
        <v/>
      </c>
      <c r="P56" s="7"/>
      <c r="Q56" s="112"/>
      <c r="R56" s="104"/>
      <c r="S56" s="104"/>
      <c r="T56" s="104"/>
      <c r="U56" s="104"/>
      <c r="V56" s="104"/>
      <c r="W56" s="104"/>
      <c r="X56" s="105"/>
      <c r="Y56" s="105"/>
      <c r="Z56" s="105"/>
      <c r="AA56" s="105"/>
      <c r="AB56" s="298"/>
      <c r="AC56" s="275" t="s">
        <v>386</v>
      </c>
      <c r="AD56" s="335" t="str">
        <f>IF($I$53="","",INDEX('Fall 2025 FIDC'!$G$2:$G$3261,MATCH($R$53,'Fall 2025 FIDC'!$A$2:$A$3261,0)))</f>
        <v/>
      </c>
      <c r="AE56" s="255"/>
      <c r="AF56" s="255"/>
      <c r="AG56" s="255"/>
      <c r="AH56" s="247"/>
      <c r="AI56" s="247"/>
      <c r="AJ56" s="247"/>
      <c r="AK56" s="256" t="s">
        <v>437</v>
      </c>
      <c r="AL56" s="70" t="str">
        <f>IF($I$53="","",INDEX('Fall 2025 FIDC'!$L$2:$L$3261,MATCH($R$53,'Fall 2025 FIDC'!$A$2:$A$3261,0)))</f>
        <v/>
      </c>
      <c r="AM56" s="4"/>
      <c r="AN56" s="256" t="s">
        <v>6689</v>
      </c>
      <c r="AO56" s="70" t="str">
        <f>IF($I$53="","",INDEX('Fall 2025 FIDC'!$H$2:$H$3261,MATCH($R$53,'Fall 2025 FIDC'!$A$2:$A$3261,0)))</f>
        <v/>
      </c>
    </row>
    <row r="57" spans="1:41" ht="3.75" customHeight="1" thickBot="1">
      <c r="A57" s="7"/>
      <c r="B57" s="257"/>
      <c r="C57" s="260"/>
      <c r="D57" s="336"/>
      <c r="E57" s="7"/>
      <c r="F57" s="7"/>
      <c r="G57" s="7"/>
      <c r="H57" s="7"/>
      <c r="I57" s="7"/>
      <c r="J57" s="7"/>
      <c r="K57" s="7"/>
      <c r="L57" s="7"/>
      <c r="M57" s="7"/>
      <c r="N57" s="7"/>
      <c r="O57" s="295"/>
      <c r="P57" s="7"/>
      <c r="Q57" s="112"/>
      <c r="R57" s="104"/>
      <c r="S57" s="104"/>
      <c r="T57" s="104"/>
      <c r="U57" s="104"/>
      <c r="V57" s="104"/>
      <c r="W57" s="104"/>
      <c r="X57" s="105"/>
      <c r="Y57" s="105"/>
      <c r="Z57" s="105"/>
      <c r="AA57" s="105"/>
      <c r="AB57" s="257"/>
      <c r="AC57" s="260"/>
      <c r="AD57" s="336"/>
      <c r="AE57" s="7"/>
      <c r="AF57" s="7"/>
      <c r="AG57" s="7"/>
      <c r="AH57" s="7"/>
      <c r="AI57" s="7"/>
      <c r="AJ57" s="7"/>
      <c r="AK57" s="7"/>
      <c r="AL57" s="7"/>
      <c r="AM57" s="7"/>
      <c r="AN57" s="7"/>
      <c r="AO57" s="295"/>
    </row>
    <row r="58" spans="1:41" ht="15.75" customHeight="1" thickBot="1">
      <c r="A58" s="7"/>
      <c r="B58" s="257"/>
      <c r="C58" s="293" t="str">
        <f t="shared" ref="C58" si="52">IF($I$53="","",AC58)</f>
        <v/>
      </c>
      <c r="D58" s="337">
        <v>1</v>
      </c>
      <c r="E58" s="354" t="str">
        <f t="shared" ref="E58" si="53">IF($I$53="","",AE58)</f>
        <v/>
      </c>
      <c r="F58" s="7"/>
      <c r="G58" s="301"/>
      <c r="H58" s="360"/>
      <c r="I58" s="7"/>
      <c r="J58" s="7"/>
      <c r="K58" s="256" t="str">
        <f t="shared" si="50"/>
        <v/>
      </c>
      <c r="L58" s="335" t="str">
        <f>IF(I53="","",INDEX('Fall 2025 FIDC'!$J$2:$J$3596,MATCH('TAB 2 Project Specs'!I53,'Fall 2025 FIDC'!$N$2:$N$3596,0)))</f>
        <v/>
      </c>
      <c r="N58" s="256" t="str">
        <f t="shared" si="51"/>
        <v/>
      </c>
      <c r="O58" s="94"/>
      <c r="P58" s="7"/>
      <c r="Q58" s="115"/>
      <c r="R58" s="115"/>
      <c r="S58" s="116"/>
      <c r="T58" s="104"/>
      <c r="U58" s="104"/>
      <c r="V58" s="104"/>
      <c r="W58" s="104"/>
      <c r="X58" s="105"/>
      <c r="Y58" s="105"/>
      <c r="Z58" s="105"/>
      <c r="AA58" s="105"/>
      <c r="AB58" s="257"/>
      <c r="AC58" s="275" t="s">
        <v>389</v>
      </c>
      <c r="AD58" s="337">
        <v>1</v>
      </c>
      <c r="AE58" s="354" t="s">
        <v>7895</v>
      </c>
      <c r="AF58" s="7"/>
      <c r="AG58" s="301"/>
      <c r="AH58" s="294"/>
      <c r="AI58" s="7"/>
      <c r="AJ58" s="7"/>
      <c r="AK58" s="256" t="s">
        <v>438</v>
      </c>
      <c r="AL58" s="70" t="str">
        <f>IF($I$53="","",INDEX('Fall 2025 FIDC'!$J$2:$J$3261,MATCH($R$53,'Fall 2025 FIDC'!$A$2:$A$3261,0)))</f>
        <v/>
      </c>
      <c r="AN58" s="256" t="s">
        <v>135</v>
      </c>
      <c r="AO58" s="94"/>
    </row>
    <row r="59" spans="1:41" ht="3.75" customHeight="1" thickBot="1">
      <c r="A59" s="7"/>
      <c r="B59" s="296"/>
      <c r="C59" s="297"/>
      <c r="D59" s="336"/>
      <c r="E59" s="7"/>
      <c r="F59" s="7"/>
      <c r="G59" s="7"/>
      <c r="H59" s="7"/>
      <c r="I59" s="7"/>
      <c r="J59" s="7"/>
      <c r="K59" s="7"/>
      <c r="L59" s="7"/>
      <c r="M59" s="7"/>
      <c r="N59" s="7"/>
      <c r="O59" s="295"/>
      <c r="P59" s="7"/>
      <c r="Q59" s="112"/>
      <c r="R59" s="104"/>
      <c r="S59" s="104"/>
      <c r="T59" s="104"/>
      <c r="U59" s="104"/>
      <c r="V59" s="104"/>
      <c r="W59" s="104"/>
      <c r="X59" s="105"/>
      <c r="Y59" s="105"/>
      <c r="Z59" s="105"/>
      <c r="AA59" s="105"/>
      <c r="AB59" s="296"/>
      <c r="AC59" s="297"/>
      <c r="AD59" s="336"/>
      <c r="AE59" s="7"/>
      <c r="AF59" s="7"/>
      <c r="AG59" s="7"/>
      <c r="AH59" s="7"/>
      <c r="AI59" s="7"/>
      <c r="AJ59" s="7"/>
      <c r="AK59" s="7"/>
      <c r="AL59" s="7"/>
      <c r="AM59" s="7"/>
      <c r="AN59" s="7"/>
      <c r="AO59" s="295"/>
    </row>
    <row r="60" spans="1:41" ht="15.75" customHeight="1" thickBot="1">
      <c r="A60" s="7"/>
      <c r="B60" s="299"/>
      <c r="C60" s="260" t="str">
        <f t="shared" ref="C60" si="54">IF($I$53="","",AC60)</f>
        <v/>
      </c>
      <c r="D60" s="335" t="str">
        <f>IF(I53="","",D56*D58)</f>
        <v/>
      </c>
      <c r="E60" s="1528" t="str">
        <f t="shared" ref="E60" si="55">IF($I$53="","",AE60)</f>
        <v/>
      </c>
      <c r="F60" s="1541" t="str">
        <f t="shared" ref="F60" si="56">IF($I$53="","",AF60)</f>
        <v/>
      </c>
      <c r="G60" s="86"/>
      <c r="H60" s="260" t="str">
        <f t="shared" ref="H60" si="57">IF($I$53="","",AH60)</f>
        <v/>
      </c>
      <c r="I60" s="335" t="str">
        <f>IFERROR(IF(D60=0,0,D60/G60),"")</f>
        <v/>
      </c>
      <c r="J60" s="4"/>
      <c r="K60" s="256" t="str">
        <f t="shared" si="50"/>
        <v/>
      </c>
      <c r="L60" s="73" t="str">
        <f>IF(I53="","",1/G60)</f>
        <v/>
      </c>
      <c r="M60" s="4"/>
      <c r="N60" s="256" t="str">
        <f t="shared" si="51"/>
        <v/>
      </c>
      <c r="O60" s="70" t="str">
        <f>IF(I53="","",INDEX('Fall 2025 FIDC'!$I$2:$I$3596,MATCH('TAB 2 Project Specs'!I53,'Fall 2025 FIDC'!$N$2:$N$3596,0)))</f>
        <v/>
      </c>
      <c r="P60" s="7"/>
      <c r="Q60" s="112"/>
      <c r="R60" s="104"/>
      <c r="S60" s="104"/>
      <c r="T60" s="104"/>
      <c r="U60" s="104"/>
      <c r="V60" s="104"/>
      <c r="W60" s="104"/>
      <c r="X60" s="105"/>
      <c r="Y60" s="105"/>
      <c r="Z60" s="105"/>
      <c r="AA60" s="105"/>
      <c r="AB60" s="299"/>
      <c r="AC60" s="302" t="s">
        <v>388</v>
      </c>
      <c r="AD60" s="335" t="e">
        <f>IF(AI53="","",AD56*AD58)</f>
        <v>#VALUE!</v>
      </c>
      <c r="AE60" s="1528" t="s">
        <v>6694</v>
      </c>
      <c r="AF60" s="1541"/>
      <c r="AG60" s="86"/>
      <c r="AH60" s="260" t="s">
        <v>134</v>
      </c>
      <c r="AI60" s="335" t="e">
        <f>IF(AI53="","",AD56/AG60)</f>
        <v>#VALUE!</v>
      </c>
      <c r="AJ60" s="4"/>
      <c r="AK60" s="256" t="s">
        <v>133</v>
      </c>
      <c r="AL60" s="73" t="e">
        <f>IF(AI53="","",1/AG60)</f>
        <v>#DIV/0!</v>
      </c>
      <c r="AM60" s="4"/>
      <c r="AN60" s="256" t="s">
        <v>6693</v>
      </c>
      <c r="AO60" s="70" t="str">
        <f>IF($I$53="","",INDEX('Fall 2025 FIDC'!$I$2:$I$3261,MATCH($R$53,'Fall 2025 FIDC'!$A$2:$A$3261,0)))</f>
        <v/>
      </c>
    </row>
    <row r="61" spans="1:41" ht="12.75" customHeight="1">
      <c r="A61" s="7"/>
      <c r="B61" s="324"/>
      <c r="C61" s="325"/>
      <c r="D61" s="325"/>
      <c r="E61" s="1549" t="str">
        <f>IF(I53="","",IF(M$54&lt;&gt;"",U7,""))</f>
        <v/>
      </c>
      <c r="F61" s="1550"/>
      <c r="G61" s="1551"/>
      <c r="H61" s="356"/>
      <c r="I61" s="247"/>
      <c r="J61" s="247"/>
      <c r="K61" s="247"/>
      <c r="L61" s="247"/>
      <c r="M61" s="247"/>
      <c r="N61" s="247"/>
      <c r="O61" s="262"/>
      <c r="P61" s="7"/>
      <c r="Q61" s="112"/>
      <c r="R61" s="104"/>
      <c r="S61" s="104"/>
      <c r="T61" s="104"/>
      <c r="U61" s="104"/>
      <c r="V61" s="104"/>
      <c r="W61" s="104"/>
      <c r="X61" s="105"/>
      <c r="Y61" s="105"/>
      <c r="Z61" s="105"/>
      <c r="AA61" s="105"/>
      <c r="AB61" s="324"/>
      <c r="AC61" s="325"/>
      <c r="AD61" s="325"/>
      <c r="AE61" s="1542" t="str">
        <f>IF(AM$54&lt;&gt;"",AU7,"")</f>
        <v/>
      </c>
      <c r="AF61" s="1543"/>
      <c r="AG61" s="1543"/>
      <c r="AH61" s="356"/>
      <c r="AI61" s="247"/>
      <c r="AJ61" s="247"/>
      <c r="AK61" s="247"/>
      <c r="AL61" s="247"/>
      <c r="AM61" s="247"/>
      <c r="AN61" s="247"/>
      <c r="AO61" s="262"/>
    </row>
    <row r="62" spans="1:41" ht="15" customHeight="1">
      <c r="A62" s="7"/>
      <c r="B62" s="248" t="str">
        <f t="shared" ref="B62:C65" si="58">IF($I$53="","",AB62)</f>
        <v/>
      </c>
      <c r="C62" s="41"/>
      <c r="D62" s="249" t="str">
        <f>IF($I$53="","",D$28)</f>
        <v/>
      </c>
      <c r="E62" s="249" t="str">
        <f t="shared" ref="E62:M62" si="59">IF($I$53="","",E$28)</f>
        <v/>
      </c>
      <c r="F62" s="249" t="str">
        <f t="shared" si="59"/>
        <v/>
      </c>
      <c r="G62" s="249" t="str">
        <f t="shared" si="59"/>
        <v/>
      </c>
      <c r="H62" s="249" t="str">
        <f t="shared" si="59"/>
        <v/>
      </c>
      <c r="I62" s="249" t="str">
        <f t="shared" si="59"/>
        <v/>
      </c>
      <c r="J62" s="249" t="str">
        <f t="shared" si="59"/>
        <v/>
      </c>
      <c r="K62" s="249" t="str">
        <f t="shared" si="59"/>
        <v/>
      </c>
      <c r="L62" s="249" t="str">
        <f t="shared" si="59"/>
        <v/>
      </c>
      <c r="M62" s="249" t="str">
        <f t="shared" si="59"/>
        <v/>
      </c>
      <c r="N62" s="249" t="str">
        <f t="shared" ref="N62:N63" si="60">IF($I$53="","",AN62)</f>
        <v/>
      </c>
      <c r="O62" s="263"/>
      <c r="P62" s="7"/>
      <c r="Q62" s="112"/>
      <c r="R62" s="104"/>
      <c r="S62" s="104"/>
      <c r="T62" s="104"/>
      <c r="U62" s="104"/>
      <c r="V62" s="104"/>
      <c r="W62" s="104"/>
      <c r="X62" s="105"/>
      <c r="Y62" s="105"/>
      <c r="Z62" s="105"/>
      <c r="AA62" s="105"/>
      <c r="AB62" s="248" t="s">
        <v>155</v>
      </c>
      <c r="AC62" s="41"/>
      <c r="AD62" s="1373" t="s">
        <v>8101</v>
      </c>
      <c r="AE62" s="249" t="s">
        <v>166</v>
      </c>
      <c r="AF62" s="1373" t="s">
        <v>8109</v>
      </c>
      <c r="AG62" s="1373" t="s">
        <v>8102</v>
      </c>
      <c r="AH62" s="1373" t="s">
        <v>8103</v>
      </c>
      <c r="AI62" s="1373" t="s">
        <v>8104</v>
      </c>
      <c r="AJ62" s="1373" t="s">
        <v>8105</v>
      </c>
      <c r="AK62" s="1373" t="s">
        <v>8106</v>
      </c>
      <c r="AL62" s="1373" t="s">
        <v>8107</v>
      </c>
      <c r="AM62" s="1373" t="s">
        <v>8108</v>
      </c>
      <c r="AN62" s="249" t="s">
        <v>120</v>
      </c>
      <c r="AO62" s="263"/>
    </row>
    <row r="63" spans="1:41" ht="15" customHeight="1" thickBot="1">
      <c r="A63" s="7"/>
      <c r="B63" s="250" t="str">
        <f t="shared" si="58"/>
        <v/>
      </c>
      <c r="C63" s="7"/>
      <c r="D63" s="264" t="str">
        <f t="shared" ref="D63" si="61">IF($I$53="","",AD63)</f>
        <v/>
      </c>
      <c r="E63" s="251" t="str">
        <f t="shared" ref="E63" si="62">IF($I$53="","",AE63)</f>
        <v/>
      </c>
      <c r="F63" s="251" t="str">
        <f t="shared" ref="F63" si="63">IF($I$53="","",AF63)</f>
        <v/>
      </c>
      <c r="G63" s="264" t="str">
        <f t="shared" ref="G63" si="64">IF($I$53="","",AG63)</f>
        <v/>
      </c>
      <c r="H63" s="264" t="str">
        <f t="shared" ref="H63" si="65">IF($I$53="","",AH63)</f>
        <v/>
      </c>
      <c r="I63" s="264" t="str">
        <f t="shared" ref="I63" si="66">IF($I$53="","",AI63)</f>
        <v/>
      </c>
      <c r="J63" s="264" t="str">
        <f t="shared" ref="J63" si="67">IF($I$53="","",AJ63)</f>
        <v/>
      </c>
      <c r="K63" s="264" t="str">
        <f t="shared" ref="K63" si="68">IF($I$53="","",AK63)</f>
        <v/>
      </c>
      <c r="L63" s="264" t="str">
        <f t="shared" ref="L63" si="69">IF($I$53="","",AL63)</f>
        <v/>
      </c>
      <c r="M63" s="264" t="str">
        <f t="shared" ref="M63" si="70">IF($I$53="","",AM63)</f>
        <v/>
      </c>
      <c r="N63" s="251" t="str">
        <f t="shared" si="60"/>
        <v/>
      </c>
      <c r="O63" s="1511" t="str">
        <f>IF(I53="","",IF(Q63,"",R63))</f>
        <v/>
      </c>
      <c r="P63" s="7"/>
      <c r="Q63" s="112" t="b">
        <f>OR(D56=0,N64=S63)</f>
        <v>0</v>
      </c>
      <c r="R63" s="353" t="s">
        <v>130</v>
      </c>
      <c r="S63" s="113">
        <v>1.0000000000000002</v>
      </c>
      <c r="T63" s="104"/>
      <c r="U63" s="104"/>
      <c r="V63" s="104"/>
      <c r="W63" s="104"/>
      <c r="X63" s="105"/>
      <c r="Y63" s="105"/>
      <c r="Z63" s="105"/>
      <c r="AA63" s="105"/>
      <c r="AB63" s="250" t="s">
        <v>128</v>
      </c>
      <c r="AC63" s="7"/>
      <c r="AD63" s="264" t="s">
        <v>8</v>
      </c>
      <c r="AE63" s="251" t="s">
        <v>165</v>
      </c>
      <c r="AF63" s="251" t="s">
        <v>122</v>
      </c>
      <c r="AG63" s="264" t="s">
        <v>9</v>
      </c>
      <c r="AH63" s="264" t="s">
        <v>119</v>
      </c>
      <c r="AI63" s="264" t="s">
        <v>126</v>
      </c>
      <c r="AJ63" s="264" t="s">
        <v>125</v>
      </c>
      <c r="AK63" s="264" t="s">
        <v>11</v>
      </c>
      <c r="AL63" s="264" t="s">
        <v>124</v>
      </c>
      <c r="AM63" s="264" t="s">
        <v>123</v>
      </c>
      <c r="AN63" s="251" t="s">
        <v>121</v>
      </c>
      <c r="AO63" s="1511">
        <f>IF(AI53="","",IF(AQ63,"",AR63))</f>
        <v>0</v>
      </c>
    </row>
    <row r="64" spans="1:41" ht="15" customHeight="1" thickBot="1">
      <c r="A64" s="7"/>
      <c r="B64" s="250" t="str">
        <f t="shared" si="58"/>
        <v/>
      </c>
      <c r="C64" s="128" t="str">
        <f t="shared" si="58"/>
        <v/>
      </c>
      <c r="D64" s="89"/>
      <c r="E64" s="89"/>
      <c r="F64" s="89"/>
      <c r="G64" s="89"/>
      <c r="H64" s="89"/>
      <c r="I64" s="89"/>
      <c r="J64" s="89"/>
      <c r="K64" s="89"/>
      <c r="L64" s="89"/>
      <c r="M64" s="89"/>
      <c r="N64" s="74" t="str">
        <f>IF(I53="","",SUM(D64:M64))</f>
        <v/>
      </c>
      <c r="O64" s="1512"/>
      <c r="P64" s="7"/>
      <c r="Q64" s="112"/>
      <c r="R64" s="104"/>
      <c r="S64" s="104"/>
      <c r="T64" s="104"/>
      <c r="U64" s="104"/>
      <c r="V64" s="104"/>
      <c r="W64" s="104"/>
      <c r="X64" s="105"/>
      <c r="Y64" s="105"/>
      <c r="Z64" s="105"/>
      <c r="AA64" s="105"/>
      <c r="AB64" s="250" t="s">
        <v>129</v>
      </c>
      <c r="AC64" s="128" t="s">
        <v>164</v>
      </c>
      <c r="AD64" s="88"/>
      <c r="AE64" s="88"/>
      <c r="AF64" s="88"/>
      <c r="AG64" s="88"/>
      <c r="AH64" s="88"/>
      <c r="AI64" s="88"/>
      <c r="AJ64" s="88"/>
      <c r="AK64" s="88"/>
      <c r="AL64" s="88"/>
      <c r="AM64" s="88"/>
      <c r="AN64" s="74">
        <f>IF(AI53="","",SUM(AD64:AM64))</f>
        <v>0</v>
      </c>
      <c r="AO64" s="1512"/>
    </row>
    <row r="65" spans="1:41" ht="15" customHeight="1" thickBot="1">
      <c r="A65" s="7"/>
      <c r="B65" s="250" t="str">
        <f t="shared" si="58"/>
        <v/>
      </c>
      <c r="C65" s="415" t="str">
        <f t="shared" si="58"/>
        <v/>
      </c>
      <c r="D65" s="71">
        <f>IFERROR(IF($I$53="",0,$I$60*D64),0)</f>
        <v>0</v>
      </c>
      <c r="E65" s="71">
        <f t="shared" ref="E65:M65" si="71">IFERROR(IF($I$53="",0,$I$60*E64),0)</f>
        <v>0</v>
      </c>
      <c r="F65" s="71">
        <f t="shared" si="71"/>
        <v>0</v>
      </c>
      <c r="G65" s="71">
        <f t="shared" si="71"/>
        <v>0</v>
      </c>
      <c r="H65" s="71">
        <f t="shared" si="71"/>
        <v>0</v>
      </c>
      <c r="I65" s="71">
        <f t="shared" si="71"/>
        <v>0</v>
      </c>
      <c r="J65" s="71">
        <f t="shared" si="71"/>
        <v>0</v>
      </c>
      <c r="K65" s="71">
        <f t="shared" si="71"/>
        <v>0</v>
      </c>
      <c r="L65" s="71">
        <f t="shared" si="71"/>
        <v>0</v>
      </c>
      <c r="M65" s="71">
        <f t="shared" si="71"/>
        <v>0</v>
      </c>
      <c r="N65" s="71" t="str">
        <f>IF(I53="","",SUM(D65:M65))</f>
        <v/>
      </c>
      <c r="O65" s="1512"/>
      <c r="P65" s="7"/>
      <c r="Q65" s="112"/>
      <c r="R65" s="104"/>
      <c r="S65" s="104"/>
      <c r="T65" s="104"/>
      <c r="U65" s="104"/>
      <c r="V65" s="104"/>
      <c r="W65" s="104"/>
      <c r="X65" s="105"/>
      <c r="Y65" s="105"/>
      <c r="Z65" s="105"/>
      <c r="AA65" s="105"/>
      <c r="AB65" s="265" t="s">
        <v>127</v>
      </c>
      <c r="AC65" s="266" t="s">
        <v>121</v>
      </c>
      <c r="AD65" s="71" t="str">
        <f t="shared" ref="AD65:AM65" si="72">IF($I53="","",$I60*AD64)</f>
        <v/>
      </c>
      <c r="AE65" s="71" t="str">
        <f t="shared" si="72"/>
        <v/>
      </c>
      <c r="AF65" s="71" t="str">
        <f t="shared" si="72"/>
        <v/>
      </c>
      <c r="AG65" s="71" t="str">
        <f t="shared" si="72"/>
        <v/>
      </c>
      <c r="AH65" s="71" t="str">
        <f t="shared" si="72"/>
        <v/>
      </c>
      <c r="AI65" s="71" t="str">
        <f t="shared" si="72"/>
        <v/>
      </c>
      <c r="AJ65" s="71" t="str">
        <f t="shared" si="72"/>
        <v/>
      </c>
      <c r="AK65" s="71" t="str">
        <f t="shared" si="72"/>
        <v/>
      </c>
      <c r="AL65" s="71" t="str">
        <f t="shared" si="72"/>
        <v/>
      </c>
      <c r="AM65" s="71" t="str">
        <f t="shared" si="72"/>
        <v/>
      </c>
      <c r="AN65" s="71">
        <f>IF(AI53="","",SUM(AD65:AM65))</f>
        <v>0</v>
      </c>
      <c r="AO65" s="1513"/>
    </row>
    <row r="66" spans="1:41" ht="3.75" customHeight="1">
      <c r="A66" s="7"/>
      <c r="B66" s="257"/>
      <c r="C66" s="7"/>
      <c r="D66" s="42"/>
      <c r="E66" s="43"/>
      <c r="F66" s="43"/>
      <c r="G66" s="43"/>
      <c r="H66" s="43"/>
      <c r="I66" s="43"/>
      <c r="J66" s="43"/>
      <c r="K66" s="43"/>
      <c r="L66" s="43"/>
      <c r="M66" s="43"/>
      <c r="N66" s="43"/>
      <c r="O66" s="414"/>
      <c r="P66" s="7"/>
      <c r="Q66" s="112"/>
      <c r="R66" s="104"/>
      <c r="S66" s="104"/>
      <c r="T66" s="104"/>
      <c r="U66" s="104"/>
      <c r="V66" s="104"/>
      <c r="W66" s="104"/>
      <c r="X66" s="105"/>
      <c r="Y66" s="105"/>
      <c r="Z66" s="105"/>
      <c r="AA66" s="105"/>
      <c r="AB66" s="40"/>
      <c r="AC66" s="41"/>
      <c r="AD66" s="42"/>
      <c r="AE66" s="43"/>
      <c r="AF66" s="43"/>
      <c r="AG66" s="43"/>
      <c r="AH66" s="43"/>
      <c r="AI66" s="43"/>
      <c r="AJ66" s="43"/>
      <c r="AK66" s="43"/>
      <c r="AL66" s="43"/>
      <c r="AM66" s="43"/>
      <c r="AN66" s="43"/>
      <c r="AO66" s="44"/>
    </row>
    <row r="67" spans="1:41" ht="17.25" customHeight="1" thickBot="1">
      <c r="A67" s="7"/>
      <c r="B67" s="1546" t="str">
        <f t="shared" ref="B67" si="73">IF($I$53="","",AB67)</f>
        <v/>
      </c>
      <c r="C67" s="1547" t="str">
        <f t="shared" ref="C67" si="74">IF($I$53="","",AC67)</f>
        <v/>
      </c>
      <c r="D67" s="1547" t="str">
        <f t="shared" ref="D67" si="75">IF($I$53="","",AD67)</f>
        <v/>
      </c>
      <c r="E67" s="1547" t="str">
        <f t="shared" ref="E67" si="76">IF($I$53="","",AE67)</f>
        <v/>
      </c>
      <c r="F67" s="1547" t="str">
        <f t="shared" ref="F67" si="77">IF($I$53="","",AF67)</f>
        <v/>
      </c>
      <c r="G67" s="1547" t="str">
        <f t="shared" ref="G67" si="78">IF($I$53="","",AG67)</f>
        <v/>
      </c>
      <c r="H67" s="1547" t="str">
        <f t="shared" ref="H67" si="79">IF($I$53="","",AH67)</f>
        <v/>
      </c>
      <c r="I67" s="1547" t="str">
        <f t="shared" ref="I67" si="80">IF($I$53="","",AI67)</f>
        <v/>
      </c>
      <c r="J67" s="1547" t="str">
        <f t="shared" ref="J67" si="81">IF($I$53="","",AJ67)</f>
        <v/>
      </c>
      <c r="K67" s="1547" t="str">
        <f t="shared" ref="K67" si="82">IF($I$53="","",AK67)</f>
        <v/>
      </c>
      <c r="L67" s="1547" t="str">
        <f t="shared" ref="L67" si="83">IF($I$53="","",AL67)</f>
        <v/>
      </c>
      <c r="M67" s="1547" t="str">
        <f t="shared" ref="M67" si="84">IF($I$53="","",AM67)</f>
        <v/>
      </c>
      <c r="N67" s="1547" t="str">
        <f t="shared" ref="N67" si="85">IF($I$53="","",AN67)</f>
        <v/>
      </c>
      <c r="O67" s="1548" t="str">
        <f t="shared" ref="O67" si="86">IF($I$53="","",AO67)</f>
        <v/>
      </c>
      <c r="P67" s="7"/>
      <c r="Q67" s="112"/>
      <c r="R67" s="104"/>
      <c r="S67" s="104"/>
      <c r="T67" s="104"/>
      <c r="U67" s="104"/>
      <c r="V67" s="104"/>
      <c r="W67" s="104"/>
      <c r="X67" s="105"/>
      <c r="Y67" s="105"/>
      <c r="Z67" s="105"/>
      <c r="AA67" s="105"/>
      <c r="AB67" s="1505" t="s">
        <v>6699</v>
      </c>
      <c r="AC67" s="1531"/>
      <c r="AD67" s="1531"/>
      <c r="AE67" s="1531"/>
      <c r="AF67" s="1531"/>
      <c r="AG67" s="1531"/>
      <c r="AH67" s="1531"/>
      <c r="AI67" s="1531"/>
      <c r="AJ67" s="1531"/>
      <c r="AK67" s="1531"/>
      <c r="AL67" s="1531"/>
      <c r="AM67" s="1531"/>
      <c r="AN67" s="1531"/>
      <c r="AO67" s="1532"/>
    </row>
    <row r="68" spans="1:41" ht="49.5" customHeight="1" thickBot="1">
      <c r="A68" s="7"/>
      <c r="B68" s="1480" t="s">
        <v>7240</v>
      </c>
      <c r="C68" s="1544"/>
      <c r="D68" s="1544"/>
      <c r="E68" s="1544"/>
      <c r="F68" s="1544"/>
      <c r="G68" s="1544"/>
      <c r="H68" s="1544"/>
      <c r="I68" s="1544"/>
      <c r="J68" s="1544"/>
      <c r="K68" s="1544"/>
      <c r="L68" s="1544"/>
      <c r="M68" s="1544"/>
      <c r="N68" s="1544"/>
      <c r="O68" s="1545"/>
      <c r="P68" s="7"/>
      <c r="Q68" s="112"/>
      <c r="R68" s="104"/>
      <c r="S68" s="104"/>
      <c r="T68" s="104"/>
      <c r="U68" s="104"/>
      <c r="V68" s="104"/>
      <c r="W68" s="104"/>
      <c r="X68" s="105"/>
      <c r="Y68" s="105"/>
      <c r="Z68" s="105"/>
      <c r="AA68" s="105"/>
      <c r="AB68" s="1514"/>
      <c r="AC68" s="1515"/>
      <c r="AD68" s="1515"/>
      <c r="AE68" s="1515"/>
      <c r="AF68" s="1515"/>
      <c r="AG68" s="1515"/>
      <c r="AH68" s="1515"/>
      <c r="AI68" s="1515"/>
      <c r="AJ68" s="1515"/>
      <c r="AK68" s="1515"/>
      <c r="AL68" s="1515"/>
      <c r="AM68" s="1515"/>
      <c r="AN68" s="1515"/>
      <c r="AO68" s="1516"/>
    </row>
    <row r="69" spans="1:41" ht="12" customHeight="1">
      <c r="A69" s="7"/>
      <c r="B69" s="128"/>
      <c r="C69" s="7"/>
      <c r="D69" s="7"/>
      <c r="E69" s="7"/>
      <c r="F69" s="7"/>
      <c r="G69" s="7"/>
      <c r="H69" s="7"/>
      <c r="I69" s="7"/>
      <c r="J69" s="7"/>
      <c r="K69" s="7"/>
      <c r="L69" s="7"/>
      <c r="M69" s="7"/>
      <c r="N69" s="7"/>
      <c r="O69" s="7"/>
      <c r="P69" s="7"/>
      <c r="Q69" s="112"/>
      <c r="R69" s="104"/>
      <c r="S69" s="104"/>
      <c r="T69" s="104"/>
      <c r="U69" s="104"/>
      <c r="V69" s="104"/>
      <c r="W69" s="104"/>
      <c r="X69" s="105"/>
      <c r="Y69" s="105"/>
      <c r="Z69" s="105"/>
      <c r="AA69" s="105"/>
      <c r="AB69" s="105"/>
      <c r="AC69" s="105"/>
    </row>
    <row r="70" spans="1:41" ht="5.25" customHeight="1">
      <c r="A70" s="7"/>
      <c r="B70" s="142"/>
      <c r="C70" s="142"/>
      <c r="D70" s="143"/>
      <c r="E70" s="143"/>
      <c r="F70" s="143"/>
      <c r="G70" s="143"/>
      <c r="H70" s="143"/>
      <c r="I70" s="143"/>
      <c r="J70" s="143"/>
      <c r="K70" s="143"/>
      <c r="L70" s="143"/>
      <c r="M70" s="143"/>
      <c r="N70" s="143"/>
      <c r="O70" s="143"/>
      <c r="P70" s="7"/>
      <c r="Q70" s="104"/>
      <c r="R70" s="117"/>
      <c r="S70" s="104"/>
      <c r="T70" s="104"/>
      <c r="U70" s="104"/>
      <c r="V70" s="104"/>
      <c r="W70" s="104"/>
      <c r="X70" s="105"/>
      <c r="Y70" s="105"/>
      <c r="Z70" s="105"/>
      <c r="AA70" s="105"/>
      <c r="AB70" s="105"/>
      <c r="AC70" s="105"/>
    </row>
    <row r="71" spans="1:41" ht="31.5" customHeight="1" thickBot="1">
      <c r="A71" s="19" t="s">
        <v>186</v>
      </c>
      <c r="B71" s="7"/>
      <c r="C71" s="7"/>
      <c r="D71" s="7"/>
      <c r="E71" s="7"/>
      <c r="F71" s="7"/>
      <c r="G71" s="7"/>
      <c r="H71" s="7"/>
      <c r="I71" s="7"/>
      <c r="J71" s="7"/>
      <c r="K71" s="7"/>
      <c r="L71" s="7"/>
      <c r="M71" s="7"/>
      <c r="N71" s="7"/>
      <c r="O71" s="22" t="str">
        <f>'TAB 1 Proj. ID &amp; Prim Narrative'!M1</f>
        <v>USG CAPITAL PLAN -  FY 27-30 PROJECT TEMPLATE</v>
      </c>
      <c r="P71" s="7"/>
      <c r="Q71" s="104"/>
      <c r="R71" s="117"/>
      <c r="S71" s="104"/>
      <c r="T71" s="104"/>
      <c r="U71" s="104"/>
      <c r="V71" s="104"/>
      <c r="W71" s="104"/>
      <c r="X71" s="105"/>
      <c r="Y71" s="105"/>
      <c r="Z71" s="105"/>
      <c r="AA71" s="105"/>
      <c r="AB71" s="105"/>
      <c r="AC71" s="105"/>
    </row>
    <row r="72" spans="1:41" ht="21" customHeight="1" thickBot="1">
      <c r="A72" s="30" t="s">
        <v>187</v>
      </c>
      <c r="B72" s="142"/>
      <c r="C72" s="142"/>
      <c r="D72" s="143"/>
      <c r="E72" s="70" t="str">
        <f>IF('TAB 1 Proj. ID &amp; Prim Narrative'!$B$7="","",'TAB 1 Proj. ID &amp; Prim Narrative'!$B$7)</f>
        <v/>
      </c>
      <c r="F72" s="1559" t="str">
        <f>IF('TAB 1 Proj. ID &amp; Prim Narrative'!U13="","",'TAB 1 Proj. ID &amp; Prim Narrative'!U13)</f>
        <v/>
      </c>
      <c r="G72" s="1560"/>
      <c r="H72" s="70" t="str">
        <f>IF('TAB 1 Proj. ID &amp; Prim Narrative'!$AB$97="","",IF('TAB 1 Proj. ID &amp; Prim Narrative'!O1='TAB 1 Proj. ID &amp; Prim Narrative'!T3,'TAB 1 Proj. ID &amp; Prim Narrative'!$AD$95,'TAB 1 Proj. ID &amp; Prim Narrative'!AC95))</f>
        <v/>
      </c>
      <c r="I72" s="1578" t="str">
        <f>IF('TAB 1 Proj. ID &amp; Prim Narrative'!$D$10="","",'TAB 1 Proj. ID &amp; Prim Narrative'!$D$10)</f>
        <v/>
      </c>
      <c r="J72" s="1579"/>
      <c r="K72" s="1579"/>
      <c r="L72" s="1579"/>
      <c r="M72" s="1579"/>
      <c r="N72" s="1579"/>
      <c r="O72" s="1580"/>
      <c r="P72" s="7"/>
      <c r="Q72" s="104"/>
      <c r="R72" s="104"/>
      <c r="S72" s="104"/>
      <c r="T72" s="104"/>
      <c r="U72" s="104"/>
      <c r="V72" s="104"/>
      <c r="W72" s="104"/>
      <c r="X72" s="105"/>
      <c r="Y72" s="105"/>
      <c r="Z72" s="105"/>
      <c r="AA72" s="105"/>
      <c r="AB72" s="105"/>
      <c r="AC72" s="105"/>
    </row>
    <row r="73" spans="1:41" ht="23.25" customHeight="1" thickBot="1">
      <c r="A73" s="7"/>
      <c r="B73" s="7"/>
      <c r="C73" s="7"/>
      <c r="D73" s="7"/>
      <c r="E73" s="7"/>
      <c r="F73" s="7"/>
      <c r="G73" s="7"/>
      <c r="H73" s="7"/>
      <c r="I73" s="7"/>
      <c r="J73" s="7"/>
      <c r="K73" s="7"/>
      <c r="L73" s="7"/>
      <c r="M73" s="7"/>
      <c r="N73" s="7"/>
      <c r="O73" s="7"/>
      <c r="P73" s="7"/>
      <c r="Q73" s="104"/>
      <c r="R73" s="104"/>
      <c r="S73" s="104"/>
      <c r="T73" s="104"/>
      <c r="U73" s="104"/>
      <c r="V73" s="104"/>
      <c r="W73" s="104"/>
      <c r="X73" s="105"/>
      <c r="Y73" s="105"/>
      <c r="Z73" s="105"/>
      <c r="AA73" s="105"/>
      <c r="AB73" s="105"/>
      <c r="AC73" s="105"/>
    </row>
    <row r="74" spans="1:41" ht="18.75" customHeight="1">
      <c r="A74" s="36"/>
      <c r="B74" s="625" t="s">
        <v>2</v>
      </c>
      <c r="C74" s="626"/>
      <c r="D74" s="627" t="s">
        <v>137</v>
      </c>
      <c r="E74" s="225"/>
      <c r="F74" s="225"/>
      <c r="G74" s="225"/>
      <c r="H74" s="225"/>
      <c r="I74" s="225"/>
      <c r="J74" s="225"/>
      <c r="K74" s="225"/>
      <c r="L74" s="225"/>
      <c r="M74" s="225"/>
      <c r="N74" s="225"/>
      <c r="O74" s="226"/>
      <c r="P74" s="7"/>
      <c r="Q74" s="104"/>
      <c r="U74" s="104"/>
      <c r="V74" s="104"/>
      <c r="W74" s="104"/>
      <c r="X74" s="108"/>
      <c r="Y74" s="105"/>
      <c r="Z74" s="105"/>
      <c r="AA74" s="105"/>
      <c r="AB74" s="105"/>
      <c r="AC74" s="105"/>
    </row>
    <row r="75" spans="1:41" s="4" customFormat="1" ht="6.75" customHeight="1" thickBot="1">
      <c r="A75" s="33"/>
      <c r="B75" s="546"/>
      <c r="C75" s="261"/>
      <c r="D75" s="128"/>
      <c r="E75" s="7"/>
      <c r="F75" s="7"/>
      <c r="G75" s="247"/>
      <c r="H75" s="8"/>
      <c r="I75" s="128"/>
      <c r="J75" s="8"/>
      <c r="K75" s="128"/>
      <c r="L75" s="8"/>
      <c r="M75" s="247"/>
      <c r="N75" s="7"/>
      <c r="O75" s="295"/>
      <c r="P75" s="247"/>
      <c r="Q75" s="104"/>
      <c r="R75" s="106"/>
      <c r="S75" s="106"/>
      <c r="T75" s="106"/>
      <c r="U75" s="106"/>
      <c r="V75" s="106"/>
      <c r="W75" s="106"/>
      <c r="X75" s="108"/>
      <c r="Y75" s="108"/>
      <c r="Z75" s="108"/>
      <c r="AA75" s="108"/>
      <c r="AB75" s="108"/>
      <c r="AC75" s="108"/>
    </row>
    <row r="76" spans="1:41" s="4" customFormat="1" ht="17.25" customHeight="1" thickBot="1">
      <c r="A76" s="33"/>
      <c r="B76" s="541" t="s">
        <v>6915</v>
      </c>
      <c r="C76" s="261"/>
      <c r="D76" s="128"/>
      <c r="F76" s="256" t="s">
        <v>6887</v>
      </c>
      <c r="G76" s="1593"/>
      <c r="H76" s="1449"/>
      <c r="I76" s="1449"/>
      <c r="J76" s="1449"/>
      <c r="K76" s="1449"/>
      <c r="L76" s="1450"/>
      <c r="M76" s="12"/>
      <c r="N76" s="256" t="s">
        <v>135</v>
      </c>
      <c r="O76" s="94"/>
      <c r="P76" s="247"/>
      <c r="Q76" s="104"/>
      <c r="R76" s="106"/>
      <c r="S76" s="106"/>
      <c r="T76" s="106"/>
      <c r="U76" s="106"/>
      <c r="V76" s="106"/>
      <c r="W76" s="106"/>
      <c r="X76" s="108"/>
      <c r="Y76" s="108"/>
      <c r="Z76" s="108"/>
      <c r="AA76" s="108"/>
      <c r="AB76" s="108"/>
      <c r="AC76" s="108"/>
    </row>
    <row r="77" spans="1:41" s="4" customFormat="1" ht="3.75" customHeight="1" thickBot="1">
      <c r="A77" s="33"/>
      <c r="B77" s="547"/>
      <c r="C77" s="261"/>
      <c r="D77" s="128"/>
      <c r="E77" s="7"/>
      <c r="F77" s="247"/>
      <c r="G77" s="247"/>
      <c r="H77" s="8"/>
      <c r="I77" s="128"/>
      <c r="J77" s="8"/>
      <c r="K77" s="128"/>
      <c r="L77" s="8"/>
      <c r="M77" s="357"/>
      <c r="N77" s="7"/>
      <c r="O77" s="295"/>
      <c r="P77" s="247"/>
      <c r="Q77" s="104"/>
      <c r="R77" s="106"/>
      <c r="S77" s="106"/>
      <c r="T77" s="106"/>
      <c r="U77" s="106"/>
      <c r="V77" s="106"/>
      <c r="W77" s="106"/>
      <c r="X77" s="108"/>
      <c r="Y77" s="108"/>
      <c r="Z77" s="108"/>
      <c r="AA77" s="108"/>
      <c r="AB77" s="108"/>
      <c r="AC77" s="108"/>
    </row>
    <row r="78" spans="1:41" s="4" customFormat="1" ht="15" customHeight="1" thickBot="1">
      <c r="A78" s="33"/>
      <c r="B78" s="667" t="s">
        <v>386</v>
      </c>
      <c r="C78" s="326"/>
      <c r="D78" s="335" t="str">
        <f>IF(G76="","",INDEX('Fall 2025 FIDC'!$G$2:$G$3596,MATCH('TAB 2 Project Specs'!G76,'Fall 2025 FIDC'!$N$2:$N$3596,0)))</f>
        <v/>
      </c>
      <c r="E78" s="274"/>
      <c r="F78" s="255"/>
      <c r="G78" s="704" t="s">
        <v>7896</v>
      </c>
      <c r="H78" s="337">
        <v>1</v>
      </c>
      <c r="I78" s="247"/>
      <c r="J78" s="704" t="s">
        <v>7175</v>
      </c>
      <c r="K78" s="705" t="str">
        <f>IF(G76="","",INDEX('Fall 2025 FIDC'!$H$2:$H$3596,MATCH('TAB 2 Project Specs'!G76,'Fall 2025 FIDC'!$N$2:$N$3596,0)))</f>
        <v/>
      </c>
      <c r="M78" s="256" t="s">
        <v>139</v>
      </c>
      <c r="N78" s="335">
        <f>IF(G76="",0,D78*H78)</f>
        <v>0</v>
      </c>
      <c r="O78" s="543"/>
      <c r="P78" s="247"/>
      <c r="Q78" s="106"/>
      <c r="R78" s="334" t="str">
        <f>CONCATENATE(E2,"_",G76)</f>
        <v>_</v>
      </c>
      <c r="S78" s="106"/>
      <c r="T78" s="106"/>
      <c r="U78" s="106"/>
      <c r="V78" s="106"/>
      <c r="W78" s="106"/>
      <c r="X78" s="105"/>
      <c r="Y78" s="108"/>
      <c r="Z78" s="108"/>
      <c r="AA78" s="108"/>
      <c r="AB78" s="108"/>
      <c r="AC78" s="108"/>
    </row>
    <row r="79" spans="1:41" s="4" customFormat="1" ht="3.75" customHeight="1">
      <c r="A79" s="629"/>
      <c r="B79" s="624"/>
      <c r="C79" s="326"/>
      <c r="D79" s="542"/>
      <c r="E79" s="274"/>
      <c r="F79" s="255"/>
      <c r="G79" s="136"/>
      <c r="H79" s="260"/>
      <c r="I79" s="260"/>
      <c r="J79" s="736"/>
      <c r="K79" s="247"/>
      <c r="L79" s="154"/>
      <c r="M79" s="247"/>
      <c r="N79" s="542"/>
      <c r="O79" s="543"/>
      <c r="P79" s="247"/>
      <c r="Q79" s="106"/>
      <c r="R79" s="628"/>
      <c r="S79" s="106"/>
      <c r="T79" s="106"/>
      <c r="U79" s="106"/>
      <c r="V79" s="106"/>
      <c r="W79" s="106"/>
      <c r="X79" s="105"/>
      <c r="Y79" s="108"/>
      <c r="Z79" s="108"/>
      <c r="AA79" s="108"/>
      <c r="AB79" s="108"/>
      <c r="AC79" s="108"/>
    </row>
    <row r="80" spans="1:41" ht="6.75" customHeight="1" thickBot="1">
      <c r="A80"/>
      <c r="B80" s="40"/>
      <c r="C80" s="41"/>
      <c r="D80" s="630" t="s">
        <v>138</v>
      </c>
      <c r="E80" s="631"/>
      <c r="F80" s="631"/>
      <c r="G80" s="631"/>
      <c r="H80" s="631"/>
      <c r="I80" s="631"/>
      <c r="J80" s="631"/>
      <c r="K80" s="631"/>
      <c r="L80" s="631"/>
      <c r="M80" s="631"/>
      <c r="N80" s="631"/>
      <c r="O80" s="632"/>
      <c r="P80" s="7"/>
      <c r="Q80" s="117"/>
      <c r="R80" s="104"/>
      <c r="S80" s="104"/>
      <c r="T80" s="104"/>
      <c r="U80" s="104"/>
      <c r="V80" s="104"/>
      <c r="W80" s="104"/>
      <c r="X80" s="105"/>
      <c r="Y80" s="105"/>
      <c r="Z80" s="105"/>
      <c r="AA80" s="105"/>
      <c r="AB80" s="105"/>
      <c r="AC80" s="105"/>
    </row>
    <row r="81" spans="1:29" ht="18" customHeight="1" thickBot="1">
      <c r="A81"/>
      <c r="B81" s="541" t="s">
        <v>6916</v>
      </c>
      <c r="C81" s="261"/>
      <c r="D81" s="128"/>
      <c r="E81" s="4"/>
      <c r="F81" s="256" t="s">
        <v>6887</v>
      </c>
      <c r="G81" s="1593"/>
      <c r="H81" s="1449"/>
      <c r="I81" s="1449"/>
      <c r="J81" s="1449"/>
      <c r="K81" s="1449"/>
      <c r="L81" s="1450"/>
      <c r="M81" s="12"/>
      <c r="N81" s="256" t="s">
        <v>135</v>
      </c>
      <c r="O81" s="94"/>
      <c r="P81" s="7"/>
      <c r="Q81" s="117"/>
      <c r="R81" s="104"/>
      <c r="S81" s="104"/>
      <c r="T81" s="104"/>
      <c r="U81" s="104"/>
      <c r="V81" s="104"/>
      <c r="W81" s="104"/>
      <c r="X81" s="105"/>
      <c r="Y81" s="105"/>
      <c r="Z81" s="105"/>
      <c r="AA81" s="105"/>
      <c r="AB81" s="105"/>
      <c r="AC81" s="105"/>
    </row>
    <row r="82" spans="1:29" ht="3.75" customHeight="1" thickBot="1">
      <c r="A82"/>
      <c r="B82" s="547"/>
      <c r="C82" s="261"/>
      <c r="D82" s="128"/>
      <c r="E82" s="7"/>
      <c r="F82" s="247"/>
      <c r="G82" s="247"/>
      <c r="H82" s="8"/>
      <c r="I82" s="128"/>
      <c r="J82" s="8"/>
      <c r="K82" s="128"/>
      <c r="L82" s="8"/>
      <c r="M82" s="357"/>
      <c r="N82" s="7"/>
      <c r="O82" s="295"/>
      <c r="P82" s="7"/>
      <c r="Q82" s="117"/>
      <c r="R82" s="104"/>
      <c r="S82" s="104"/>
      <c r="T82" s="104"/>
      <c r="U82" s="104"/>
      <c r="V82" s="104"/>
      <c r="W82" s="104"/>
      <c r="X82" s="105"/>
      <c r="Y82" s="105"/>
      <c r="Z82" s="105"/>
      <c r="AA82" s="105"/>
      <c r="AB82" s="105"/>
      <c r="AC82" s="105"/>
    </row>
    <row r="83" spans="1:29" ht="15.75" customHeight="1" thickBot="1">
      <c r="A83"/>
      <c r="B83" s="667" t="s">
        <v>386</v>
      </c>
      <c r="C83" s="326"/>
      <c r="D83" s="335" t="str">
        <f>IF(G81="","",INDEX('Fall 2025 FIDC'!$G$2:$G$3596,MATCH('TAB 2 Project Specs'!G81,'Fall 2025 FIDC'!$N$2:$N$3596,0)))</f>
        <v/>
      </c>
      <c r="E83" s="274"/>
      <c r="F83" s="255"/>
      <c r="G83" s="704" t="s">
        <v>7896</v>
      </c>
      <c r="H83" s="337">
        <v>1</v>
      </c>
      <c r="I83" s="247"/>
      <c r="J83" s="704" t="s">
        <v>7175</v>
      </c>
      <c r="K83" s="705" t="str">
        <f>IF(G81="","",INDEX('Fall 2025 FIDC'!$H$2:$H$3596,MATCH('TAB 2 Project Specs'!G81,'Fall 2025 FIDC'!$N$2:$N$3596,0)))</f>
        <v/>
      </c>
      <c r="L83" s="154"/>
      <c r="M83" s="256" t="s">
        <v>139</v>
      </c>
      <c r="N83" s="335">
        <f>IF(G81="",0,D83*H83)</f>
        <v>0</v>
      </c>
      <c r="O83" s="543"/>
      <c r="P83" s="7"/>
      <c r="Q83" s="117"/>
      <c r="R83" s="104"/>
      <c r="S83" s="104"/>
      <c r="T83" s="104"/>
      <c r="U83" s="104"/>
      <c r="V83" s="104"/>
      <c r="W83" s="104"/>
      <c r="X83" s="105"/>
      <c r="Y83" s="105"/>
      <c r="Z83" s="105"/>
      <c r="AA83" s="105"/>
      <c r="AB83" s="105"/>
      <c r="AC83" s="105"/>
    </row>
    <row r="84" spans="1:29" ht="3" customHeight="1" thickBot="1">
      <c r="A84"/>
      <c r="B84" s="541"/>
      <c r="C84" s="326"/>
      <c r="D84" s="542"/>
      <c r="E84" s="274"/>
      <c r="F84" s="255"/>
      <c r="G84" s="136"/>
      <c r="H84" s="260"/>
      <c r="I84" s="260"/>
      <c r="J84" s="736"/>
      <c r="K84" s="247"/>
      <c r="L84" s="154"/>
      <c r="M84" s="247"/>
      <c r="N84" s="542"/>
      <c r="O84" s="545"/>
      <c r="P84" s="7"/>
      <c r="Q84" s="117"/>
      <c r="R84" s="104"/>
      <c r="S84" s="104"/>
      <c r="T84" s="104"/>
      <c r="U84" s="104"/>
      <c r="V84" s="104"/>
      <c r="W84" s="104"/>
      <c r="X84" s="105"/>
      <c r="Y84" s="105"/>
      <c r="Z84" s="105"/>
      <c r="AA84" s="105"/>
      <c r="AB84" s="105"/>
      <c r="AC84" s="105"/>
    </row>
    <row r="85" spans="1:29" ht="7.5" customHeight="1" thickBot="1">
      <c r="A85"/>
      <c r="B85" s="40"/>
      <c r="C85" s="41"/>
      <c r="D85" s="630" t="s">
        <v>138</v>
      </c>
      <c r="E85" s="631"/>
      <c r="F85" s="631"/>
      <c r="G85" s="631"/>
      <c r="H85" s="631"/>
      <c r="I85" s="631"/>
      <c r="J85" s="631"/>
      <c r="K85" s="631"/>
      <c r="L85" s="631"/>
      <c r="M85" s="631"/>
      <c r="N85" s="631"/>
      <c r="O85" s="632"/>
      <c r="P85" s="7"/>
      <c r="Q85" s="117"/>
      <c r="R85" s="104"/>
      <c r="S85" s="104"/>
      <c r="T85" s="104"/>
      <c r="U85" s="104"/>
      <c r="V85" s="104"/>
      <c r="W85" s="104"/>
      <c r="X85" s="105"/>
      <c r="Y85" s="105"/>
      <c r="Z85" s="105"/>
      <c r="AA85" s="105"/>
      <c r="AB85" s="105"/>
      <c r="AC85" s="105"/>
    </row>
    <row r="86" spans="1:29" ht="17.25" customHeight="1" thickBot="1">
      <c r="A86"/>
      <c r="B86" s="541" t="s">
        <v>6917</v>
      </c>
      <c r="C86" s="261"/>
      <c r="D86" s="128"/>
      <c r="E86" s="4"/>
      <c r="F86" s="256" t="s">
        <v>6887</v>
      </c>
      <c r="G86" s="1593"/>
      <c r="H86" s="1449"/>
      <c r="I86" s="1449"/>
      <c r="J86" s="1449"/>
      <c r="K86" s="1449"/>
      <c r="L86" s="1450"/>
      <c r="M86" s="12"/>
      <c r="N86" s="256" t="s">
        <v>135</v>
      </c>
      <c r="O86" s="94"/>
      <c r="P86" s="7"/>
      <c r="Q86" s="117"/>
      <c r="R86" s="104"/>
      <c r="S86" s="104"/>
      <c r="T86" s="104"/>
      <c r="U86" s="104"/>
      <c r="V86" s="104"/>
      <c r="W86" s="104"/>
      <c r="X86" s="105"/>
      <c r="Y86" s="105"/>
      <c r="Z86" s="105"/>
      <c r="AA86" s="105"/>
      <c r="AB86" s="105"/>
      <c r="AC86" s="105"/>
    </row>
    <row r="87" spans="1:29" ht="3.75" customHeight="1" thickBot="1">
      <c r="A87"/>
      <c r="B87" s="547"/>
      <c r="C87" s="261"/>
      <c r="D87" s="128"/>
      <c r="E87" s="7"/>
      <c r="F87" s="247"/>
      <c r="G87" s="247"/>
      <c r="H87" s="8"/>
      <c r="I87" s="128"/>
      <c r="J87" s="8"/>
      <c r="K87" s="128"/>
      <c r="L87" s="8"/>
      <c r="M87" s="357"/>
      <c r="N87" s="7"/>
      <c r="O87" s="295"/>
      <c r="P87" s="7"/>
      <c r="Q87" s="117"/>
      <c r="R87" s="104"/>
      <c r="S87" s="104"/>
      <c r="T87" s="104"/>
      <c r="U87" s="104"/>
      <c r="V87" s="104"/>
      <c r="W87" s="104"/>
      <c r="X87" s="105"/>
      <c r="Y87" s="105"/>
      <c r="Z87" s="105"/>
      <c r="AA87" s="105"/>
      <c r="AB87" s="105"/>
      <c r="AC87" s="105"/>
    </row>
    <row r="88" spans="1:29" ht="15.75" customHeight="1" thickBot="1">
      <c r="A88"/>
      <c r="B88" s="667" t="s">
        <v>386</v>
      </c>
      <c r="C88" s="326"/>
      <c r="D88" s="335" t="str">
        <f>IF(G86="","",INDEX('Fall 2025 FIDC'!$G$2:$G$3596,MATCH('TAB 2 Project Specs'!G86,'Fall 2025 FIDC'!$N$2:$N$3596,0)))</f>
        <v/>
      </c>
      <c r="E88" s="274"/>
      <c r="F88" s="255"/>
      <c r="G88" s="704" t="s">
        <v>7896</v>
      </c>
      <c r="H88" s="337">
        <v>1</v>
      </c>
      <c r="I88" s="247"/>
      <c r="J88" s="704" t="s">
        <v>7175</v>
      </c>
      <c r="K88" s="705" t="str">
        <f>IF(G86="","",INDEX('Fall 2025 FIDC'!$H$2:$H$3596,MATCH('TAB 2 Project Specs'!G86,'Fall 2025 FIDC'!$N$2:$N$3596,0)))</f>
        <v/>
      </c>
      <c r="L88" s="154"/>
      <c r="M88" s="256" t="s">
        <v>139</v>
      </c>
      <c r="N88" s="335">
        <f>IF(G86="",0,D88*H88)</f>
        <v>0</v>
      </c>
      <c r="O88" s="342"/>
      <c r="P88" s="7"/>
      <c r="Q88" s="117"/>
      <c r="R88" s="104"/>
      <c r="S88" s="104"/>
      <c r="T88" s="104"/>
      <c r="U88" s="104"/>
      <c r="V88" s="104"/>
      <c r="W88" s="104"/>
      <c r="X88" s="105"/>
      <c r="Y88" s="105"/>
      <c r="Z88" s="105"/>
      <c r="AA88" s="105"/>
      <c r="AB88" s="105"/>
      <c r="AC88" s="105"/>
    </row>
    <row r="89" spans="1:29" ht="3.75" customHeight="1">
      <c r="A89"/>
      <c r="B89" s="257"/>
      <c r="C89" s="7"/>
      <c r="D89" s="544"/>
      <c r="E89" s="43"/>
      <c r="F89" s="43"/>
      <c r="G89" s="43"/>
      <c r="H89" s="43"/>
      <c r="I89" s="43"/>
      <c r="J89" s="43"/>
      <c r="K89" s="43"/>
      <c r="L89" s="43"/>
      <c r="M89" s="43"/>
      <c r="N89" s="43"/>
      <c r="O89" s="414"/>
      <c r="P89" s="7"/>
      <c r="Q89" s="117"/>
      <c r="R89" s="104"/>
      <c r="S89" s="104"/>
      <c r="T89" s="104"/>
      <c r="U89" s="104"/>
      <c r="V89" s="104"/>
      <c r="W89" s="104"/>
      <c r="X89" s="105"/>
      <c r="Y89" s="105"/>
      <c r="Z89" s="105"/>
      <c r="AA89" s="105"/>
      <c r="AB89" s="105"/>
      <c r="AC89" s="105"/>
    </row>
    <row r="90" spans="1:29" ht="17.25" customHeight="1" thickBot="1">
      <c r="A90"/>
      <c r="B90" s="1546" t="str">
        <f>IF(G76="","","BRIEF NARRATIVE specific to Demolition (building characteristics/condition, reason for demolition, replacement strategy, operating/life cycle implications, etc.)")</f>
        <v/>
      </c>
      <c r="C90" s="1557"/>
      <c r="D90" s="1557"/>
      <c r="E90" s="1557"/>
      <c r="F90" s="1557"/>
      <c r="G90" s="1557"/>
      <c r="H90" s="1557"/>
      <c r="I90" s="1557"/>
      <c r="J90" s="1557"/>
      <c r="K90" s="1557"/>
      <c r="L90" s="1557"/>
      <c r="M90" s="1557"/>
      <c r="N90" s="1557"/>
      <c r="O90" s="1558"/>
      <c r="P90" s="7"/>
      <c r="Q90" s="117" t="s">
        <v>215</v>
      </c>
      <c r="R90" s="104"/>
      <c r="S90" s="104"/>
      <c r="T90" s="104"/>
      <c r="U90" s="104"/>
      <c r="V90" s="104"/>
      <c r="W90" s="104"/>
      <c r="X90" s="105"/>
      <c r="Y90" s="105"/>
      <c r="Z90" s="105"/>
      <c r="AA90" s="105"/>
      <c r="AB90" s="105"/>
      <c r="AC90" s="105"/>
    </row>
    <row r="91" spans="1:29" ht="72.75" customHeight="1" thickBot="1">
      <c r="A91"/>
      <c r="B91" s="1480" t="s">
        <v>8112</v>
      </c>
      <c r="C91" s="1544"/>
      <c r="D91" s="1544"/>
      <c r="E91" s="1544"/>
      <c r="F91" s="1544"/>
      <c r="G91" s="1544"/>
      <c r="H91" s="1544"/>
      <c r="I91" s="1544"/>
      <c r="J91" s="1544"/>
      <c r="K91" s="1544"/>
      <c r="L91" s="1544"/>
      <c r="M91" s="1544"/>
      <c r="N91" s="1544"/>
      <c r="O91" s="1545"/>
      <c r="P91" s="7"/>
      <c r="Q91" s="117" t="s">
        <v>216</v>
      </c>
      <c r="R91" s="117"/>
      <c r="S91" s="104"/>
      <c r="T91" s="104"/>
      <c r="U91" s="104"/>
      <c r="V91" s="104"/>
      <c r="W91" s="104"/>
      <c r="X91" s="105"/>
      <c r="Y91" s="105"/>
      <c r="Z91" s="105"/>
      <c r="AA91" s="105"/>
      <c r="AB91" s="105"/>
      <c r="AC91" s="105"/>
    </row>
    <row r="92" spans="1:29" ht="15" customHeight="1">
      <c r="A92" s="128"/>
      <c r="B92" s="7"/>
      <c r="C92" s="7"/>
      <c r="D92" s="7"/>
      <c r="E92" s="7"/>
      <c r="F92" s="7"/>
      <c r="G92" s="7"/>
      <c r="H92" s="7"/>
      <c r="I92" s="7"/>
      <c r="J92" s="7"/>
      <c r="K92" s="7"/>
      <c r="L92" s="7"/>
      <c r="M92" s="7"/>
      <c r="N92" s="7"/>
      <c r="O92" s="7"/>
      <c r="P92" s="7"/>
      <c r="Q92" s="104"/>
      <c r="R92" s="104"/>
      <c r="S92" s="104"/>
      <c r="T92" s="104"/>
      <c r="U92" s="104"/>
      <c r="V92" s="104"/>
      <c r="W92" s="104"/>
      <c r="X92" s="105"/>
      <c r="Y92" s="105"/>
      <c r="Z92" s="105"/>
      <c r="AA92" s="105"/>
      <c r="AB92" s="105"/>
      <c r="AC92" s="105"/>
    </row>
    <row r="93" spans="1:29" ht="28.5" customHeight="1">
      <c r="A93" s="16" t="s">
        <v>217</v>
      </c>
      <c r="B93" s="31"/>
      <c r="C93" s="7"/>
      <c r="D93" s="7"/>
      <c r="E93" s="7"/>
      <c r="F93" s="7"/>
      <c r="G93" s="7"/>
      <c r="H93" s="7"/>
      <c r="I93" s="7"/>
      <c r="J93" s="7"/>
      <c r="K93" s="7"/>
      <c r="L93" s="7"/>
      <c r="M93" s="7"/>
      <c r="N93" s="7"/>
      <c r="O93" s="7"/>
      <c r="P93" s="7"/>
      <c r="Q93" s="104"/>
      <c r="R93" s="104"/>
      <c r="S93" s="104"/>
      <c r="T93" s="104"/>
      <c r="U93" s="104"/>
      <c r="V93" s="104"/>
      <c r="W93" s="104"/>
      <c r="X93" s="105"/>
      <c r="Y93" s="105"/>
      <c r="Z93" s="105"/>
      <c r="AA93" s="105"/>
      <c r="AB93" s="105"/>
      <c r="AC93" s="105"/>
    </row>
    <row r="94" spans="1:29" ht="27" customHeight="1">
      <c r="A94" s="1590" t="s">
        <v>7914</v>
      </c>
      <c r="B94" s="1591"/>
      <c r="C94" s="1591"/>
      <c r="D94" s="1591"/>
      <c r="E94" s="1591"/>
      <c r="F94" s="1591"/>
      <c r="G94" s="1591"/>
      <c r="H94" s="1591"/>
      <c r="I94" s="1591"/>
      <c r="J94" s="1591"/>
      <c r="K94" s="1591"/>
      <c r="L94" s="1591"/>
      <c r="M94" s="1591"/>
      <c r="N94" s="1591"/>
      <c r="O94" s="1591"/>
      <c r="P94" s="7"/>
      <c r="Q94" s="104"/>
      <c r="R94" s="104"/>
      <c r="S94" s="118"/>
      <c r="T94" s="104"/>
      <c r="U94" s="104"/>
      <c r="V94" s="104"/>
      <c r="W94" s="104"/>
      <c r="X94" s="105"/>
      <c r="Y94" s="105"/>
      <c r="Z94" s="105"/>
      <c r="AA94" s="105"/>
      <c r="AB94" s="105"/>
      <c r="AC94" s="105"/>
    </row>
    <row r="95" spans="1:29" ht="15" customHeight="1" thickBot="1">
      <c r="A95" s="144"/>
      <c r="B95" s="7"/>
      <c r="C95" s="7"/>
      <c r="D95" s="42"/>
      <c r="E95" s="43"/>
      <c r="F95" s="43"/>
      <c r="G95" s="43"/>
      <c r="H95" s="43"/>
      <c r="I95" s="43"/>
      <c r="J95" s="43"/>
      <c r="K95" s="43"/>
      <c r="L95" s="43"/>
      <c r="M95" s="43"/>
      <c r="N95" s="43"/>
      <c r="O95" s="145"/>
      <c r="P95" s="7"/>
      <c r="Q95" s="104"/>
      <c r="R95" s="104"/>
      <c r="S95" s="104"/>
      <c r="T95" s="104"/>
      <c r="U95" s="104"/>
      <c r="V95" s="104"/>
      <c r="W95" s="104"/>
      <c r="X95" s="108"/>
      <c r="Y95" s="105"/>
      <c r="Z95" s="105"/>
      <c r="AA95" s="105"/>
      <c r="AB95" s="105"/>
      <c r="AC95" s="105"/>
    </row>
    <row r="96" spans="1:29" s="4" customFormat="1" ht="22.5" customHeight="1" thickBot="1">
      <c r="A96" s="33"/>
      <c r="B96" s="186" t="s">
        <v>7</v>
      </c>
      <c r="C96" s="268"/>
      <c r="D96" s="1581" t="s">
        <v>7897</v>
      </c>
      <c r="E96" s="1582"/>
      <c r="F96" s="1582"/>
      <c r="G96" s="1582"/>
      <c r="H96" s="1582"/>
      <c r="I96" s="1582"/>
      <c r="J96" s="1582"/>
      <c r="K96" s="1582"/>
      <c r="L96" s="1582"/>
      <c r="M96" s="1582"/>
      <c r="N96" s="1582"/>
      <c r="O96" s="1583"/>
      <c r="P96" s="247"/>
      <c r="Q96" s="106"/>
      <c r="R96" s="106"/>
      <c r="S96" s="106"/>
      <c r="T96" s="106"/>
      <c r="U96" s="106"/>
      <c r="V96" s="106"/>
      <c r="W96" s="106"/>
      <c r="X96" s="108"/>
      <c r="Y96" s="108"/>
      <c r="Z96" s="108"/>
      <c r="AA96" s="108"/>
      <c r="AB96" s="108"/>
      <c r="AC96" s="108"/>
    </row>
    <row r="97" spans="1:29" s="4" customFormat="1" ht="15" customHeight="1" thickBot="1">
      <c r="A97" s="33"/>
      <c r="B97" s="46" t="s">
        <v>156</v>
      </c>
      <c r="C97" s="269"/>
      <c r="D97" s="1569" t="s">
        <v>7235</v>
      </c>
      <c r="E97" s="1570"/>
      <c r="F97" s="1570"/>
      <c r="G97" s="1570"/>
      <c r="H97" s="1570"/>
      <c r="I97" s="1570"/>
      <c r="J97" s="1570"/>
      <c r="K97" s="1570"/>
      <c r="L97" s="1570"/>
      <c r="M97" s="1570"/>
      <c r="N97" s="1570"/>
      <c r="O97" s="1571"/>
      <c r="P97" s="247"/>
      <c r="Q97" s="106"/>
      <c r="R97" s="104"/>
      <c r="S97" s="106"/>
      <c r="T97" s="106"/>
      <c r="U97" s="106"/>
      <c r="V97" s="106"/>
      <c r="W97" s="106"/>
      <c r="X97" s="105"/>
      <c r="Y97" s="108"/>
      <c r="Z97" s="108"/>
      <c r="AA97" s="108"/>
      <c r="AB97" s="108"/>
      <c r="AC97" s="108"/>
    </row>
    <row r="98" spans="1:29" ht="15" customHeight="1" thickBot="1">
      <c r="A98"/>
      <c r="B98" s="90"/>
      <c r="C98" s="270"/>
      <c r="D98" s="1572"/>
      <c r="E98" s="1573"/>
      <c r="F98" s="1573"/>
      <c r="G98" s="1573"/>
      <c r="H98" s="1573"/>
      <c r="I98" s="1573"/>
      <c r="J98" s="1573"/>
      <c r="K98" s="1573"/>
      <c r="L98" s="1573"/>
      <c r="M98" s="1573"/>
      <c r="N98" s="1573"/>
      <c r="O98" s="1574"/>
      <c r="P98" s="43"/>
      <c r="Q98" s="104"/>
      <c r="R98" s="104"/>
      <c r="S98" s="104"/>
      <c r="T98" s="104"/>
      <c r="U98" s="104"/>
      <c r="V98" s="104"/>
      <c r="W98" s="104"/>
      <c r="X98" s="105"/>
      <c r="Y98" s="105"/>
      <c r="Z98" s="105"/>
      <c r="AA98" s="105"/>
      <c r="AB98" s="105"/>
      <c r="AC98" s="105"/>
    </row>
    <row r="99" spans="1:29" ht="15" customHeight="1" thickBot="1">
      <c r="A99"/>
      <c r="B99" s="46" t="s">
        <v>157</v>
      </c>
      <c r="C99" s="271"/>
      <c r="D99" s="1572"/>
      <c r="E99" s="1573"/>
      <c r="F99" s="1573"/>
      <c r="G99" s="1573"/>
      <c r="H99" s="1573"/>
      <c r="I99" s="1573"/>
      <c r="J99" s="1573"/>
      <c r="K99" s="1573"/>
      <c r="L99" s="1573"/>
      <c r="M99" s="1573"/>
      <c r="N99" s="1573"/>
      <c r="O99" s="1574"/>
      <c r="P99" s="43"/>
      <c r="Q99" s="104"/>
      <c r="R99" s="104"/>
      <c r="S99" s="104"/>
      <c r="T99" s="104"/>
      <c r="U99" s="104"/>
      <c r="V99" s="104"/>
      <c r="W99" s="104"/>
      <c r="X99" s="105"/>
      <c r="Y99" s="105"/>
      <c r="Z99" s="105"/>
      <c r="AA99" s="105"/>
      <c r="AB99" s="105"/>
      <c r="AC99" s="105"/>
    </row>
    <row r="100" spans="1:29" ht="15" customHeight="1" thickBot="1">
      <c r="A100"/>
      <c r="B100" s="90"/>
      <c r="C100" s="272"/>
      <c r="D100" s="1575"/>
      <c r="E100" s="1576"/>
      <c r="F100" s="1576"/>
      <c r="G100" s="1576"/>
      <c r="H100" s="1576"/>
      <c r="I100" s="1576"/>
      <c r="J100" s="1576"/>
      <c r="K100" s="1576"/>
      <c r="L100" s="1576"/>
      <c r="M100" s="1576"/>
      <c r="N100" s="1576"/>
      <c r="O100" s="1577"/>
      <c r="P100" s="43"/>
      <c r="Q100" s="104"/>
      <c r="R100" s="104"/>
      <c r="S100" s="104"/>
      <c r="T100" s="104"/>
      <c r="U100" s="104"/>
      <c r="V100" s="104"/>
      <c r="W100" s="104"/>
      <c r="X100" s="105"/>
      <c r="Y100" s="105"/>
      <c r="Z100" s="105"/>
      <c r="AA100" s="105"/>
      <c r="AB100" s="105"/>
      <c r="AC100" s="105"/>
    </row>
    <row r="101" spans="1:29" ht="18.75" customHeight="1" thickBot="1">
      <c r="A101" s="144"/>
      <c r="B101" s="7"/>
      <c r="C101" s="7"/>
      <c r="D101" s="42"/>
      <c r="E101" s="43"/>
      <c r="F101" s="43"/>
      <c r="G101" s="43"/>
      <c r="H101" s="43"/>
      <c r="I101" s="43"/>
      <c r="J101" s="43"/>
      <c r="K101" s="43"/>
      <c r="L101" s="43"/>
      <c r="M101" s="43"/>
      <c r="N101" s="43"/>
      <c r="O101" s="145"/>
      <c r="P101" s="7"/>
      <c r="Q101" s="104"/>
      <c r="R101" s="104"/>
      <c r="S101" s="104"/>
      <c r="T101" s="104"/>
      <c r="U101" s="104"/>
      <c r="V101" s="104"/>
      <c r="W101" s="104"/>
      <c r="X101" s="105"/>
      <c r="Y101" s="105"/>
      <c r="Z101" s="105"/>
      <c r="AA101" s="105"/>
      <c r="AB101" s="105"/>
      <c r="AC101" s="105"/>
    </row>
    <row r="102" spans="1:29" ht="25.5" customHeight="1" thickBot="1">
      <c r="B102" s="186" t="s">
        <v>140</v>
      </c>
      <c r="C102" s="268"/>
      <c r="D102" s="1581" t="s">
        <v>7898</v>
      </c>
      <c r="E102" s="1582"/>
      <c r="F102" s="1582"/>
      <c r="G102" s="1582"/>
      <c r="H102" s="1582"/>
      <c r="I102" s="1582"/>
      <c r="J102" s="1582"/>
      <c r="K102" s="1582"/>
      <c r="L102" s="1582"/>
      <c r="M102" s="1582"/>
      <c r="N102" s="1582"/>
      <c r="O102" s="1583"/>
      <c r="P102" s="7"/>
      <c r="Q102" s="104"/>
      <c r="R102" s="104"/>
      <c r="S102" s="104"/>
      <c r="T102" s="104"/>
      <c r="U102" s="104"/>
      <c r="V102" s="104"/>
      <c r="W102" s="104"/>
      <c r="X102" s="105"/>
      <c r="Y102" s="105"/>
      <c r="Z102" s="105"/>
      <c r="AA102" s="105"/>
      <c r="AB102" s="105"/>
      <c r="AC102" s="105"/>
    </row>
    <row r="103" spans="1:29" ht="99" customHeight="1" thickBot="1">
      <c r="B103" s="47"/>
      <c r="C103" s="29"/>
      <c r="D103" s="1480" t="s">
        <v>7234</v>
      </c>
      <c r="E103" s="1544"/>
      <c r="F103" s="1544"/>
      <c r="G103" s="1544"/>
      <c r="H103" s="1544"/>
      <c r="I103" s="1544"/>
      <c r="J103" s="1544"/>
      <c r="K103" s="1544"/>
      <c r="L103" s="1544"/>
      <c r="M103" s="1544"/>
      <c r="N103" s="1544"/>
      <c r="O103" s="1545"/>
      <c r="P103" s="7"/>
      <c r="Q103" s="104"/>
      <c r="R103" s="104"/>
      <c r="S103" s="104"/>
      <c r="T103" s="104"/>
      <c r="U103" s="104"/>
      <c r="V103" s="104"/>
      <c r="W103" s="104"/>
      <c r="X103" s="105"/>
      <c r="Y103" s="105"/>
      <c r="Z103" s="105"/>
      <c r="AA103" s="105"/>
      <c r="AB103" s="105"/>
      <c r="AC103" s="105"/>
    </row>
    <row r="104" spans="1:29" ht="18.75" customHeight="1" thickBot="1">
      <c r="A104" s="128"/>
      <c r="B104" s="8"/>
      <c r="C104" s="7"/>
      <c r="D104" s="42"/>
      <c r="E104" s="43"/>
      <c r="F104" s="43"/>
      <c r="G104" s="43"/>
      <c r="H104" s="43"/>
      <c r="I104" s="43"/>
      <c r="J104" s="43"/>
      <c r="K104" s="43"/>
      <c r="L104" s="43"/>
      <c r="M104" s="43"/>
      <c r="N104" s="43"/>
      <c r="O104" s="146"/>
      <c r="P104" s="7"/>
      <c r="Q104" s="104"/>
      <c r="R104" s="104"/>
      <c r="S104" s="104"/>
      <c r="T104" s="104"/>
      <c r="U104" s="104"/>
      <c r="V104" s="104"/>
      <c r="W104" s="104"/>
      <c r="X104" s="105"/>
      <c r="Y104" s="105"/>
      <c r="Z104" s="105"/>
      <c r="AA104" s="105"/>
      <c r="AB104" s="105"/>
      <c r="AC104" s="105"/>
    </row>
    <row r="105" spans="1:29" ht="23.25" customHeight="1" thickBot="1">
      <c r="B105" s="186" t="s">
        <v>136</v>
      </c>
      <c r="C105" s="268"/>
      <c r="D105" s="1592" t="s">
        <v>7899</v>
      </c>
      <c r="E105" s="1582"/>
      <c r="F105" s="1582"/>
      <c r="G105" s="1582"/>
      <c r="H105" s="1582"/>
      <c r="I105" s="1582"/>
      <c r="J105" s="1582"/>
      <c r="K105" s="1582"/>
      <c r="L105" s="1582"/>
      <c r="M105" s="1582"/>
      <c r="N105" s="1582"/>
      <c r="O105" s="1583"/>
      <c r="P105" s="7"/>
      <c r="Q105" s="104"/>
      <c r="R105" s="104"/>
      <c r="S105" s="104"/>
      <c r="T105" s="104"/>
      <c r="U105" s="104"/>
      <c r="V105" s="104"/>
      <c r="W105" s="104"/>
      <c r="X105" s="105"/>
      <c r="Y105" s="105"/>
      <c r="Z105" s="105"/>
      <c r="AA105" s="105"/>
      <c r="AB105" s="105"/>
      <c r="AC105" s="105"/>
    </row>
    <row r="106" spans="1:29" ht="99" customHeight="1" thickBot="1">
      <c r="B106" s="48"/>
      <c r="C106" s="49"/>
      <c r="D106" s="1480" t="s">
        <v>7233</v>
      </c>
      <c r="E106" s="1544"/>
      <c r="F106" s="1544"/>
      <c r="G106" s="1544"/>
      <c r="H106" s="1544"/>
      <c r="I106" s="1544"/>
      <c r="J106" s="1544"/>
      <c r="K106" s="1544"/>
      <c r="L106" s="1544"/>
      <c r="M106" s="1544"/>
      <c r="N106" s="1544"/>
      <c r="O106" s="1545"/>
      <c r="P106" s="7"/>
      <c r="Q106" s="104"/>
      <c r="R106" s="104"/>
      <c r="S106" s="104"/>
      <c r="T106" s="104"/>
      <c r="U106" s="104"/>
      <c r="V106" s="104"/>
      <c r="W106" s="104"/>
      <c r="X106" s="105"/>
      <c r="Y106" s="105"/>
      <c r="Z106" s="105"/>
      <c r="AA106" s="105"/>
      <c r="AB106" s="105"/>
      <c r="AC106" s="105"/>
    </row>
    <row r="107" spans="1:29" ht="17.25" customHeight="1" thickBot="1">
      <c r="A107" s="144"/>
      <c r="B107" s="7"/>
      <c r="C107" s="7"/>
      <c r="D107" s="42"/>
      <c r="E107" s="43"/>
      <c r="F107" s="43"/>
      <c r="G107" s="43"/>
      <c r="H107" s="43"/>
      <c r="I107" s="43"/>
      <c r="J107" s="43"/>
      <c r="K107" s="43"/>
      <c r="L107" s="43"/>
      <c r="M107" s="43"/>
      <c r="N107" s="43"/>
      <c r="O107" s="145"/>
      <c r="P107" s="7"/>
      <c r="Q107" s="102"/>
      <c r="R107" s="102"/>
      <c r="S107" s="102"/>
      <c r="T107" s="102"/>
      <c r="U107" s="102"/>
      <c r="V107" s="102"/>
      <c r="W107" s="102"/>
    </row>
    <row r="108" spans="1:29" ht="28.5" customHeight="1" thickBot="1">
      <c r="B108" s="186" t="s">
        <v>4</v>
      </c>
      <c r="C108" s="268"/>
      <c r="D108" s="1587" t="s">
        <v>7900</v>
      </c>
      <c r="E108" s="1588"/>
      <c r="F108" s="1588"/>
      <c r="G108" s="1588"/>
      <c r="H108" s="1588"/>
      <c r="I108" s="1588"/>
      <c r="J108" s="1588"/>
      <c r="K108" s="1588"/>
      <c r="L108" s="1588"/>
      <c r="M108" s="1588"/>
      <c r="N108" s="1588"/>
      <c r="O108" s="1589"/>
      <c r="P108" s="7"/>
      <c r="Q108" s="102"/>
      <c r="R108" s="102"/>
      <c r="S108" s="102"/>
      <c r="T108" s="102"/>
      <c r="U108" s="102"/>
      <c r="V108" s="102"/>
      <c r="W108" s="102"/>
    </row>
    <row r="109" spans="1:29" ht="84.75" customHeight="1" thickBot="1">
      <c r="B109" s="47"/>
      <c r="C109" s="29"/>
      <c r="D109" s="1480" t="s">
        <v>7232</v>
      </c>
      <c r="E109" s="1544"/>
      <c r="F109" s="1544"/>
      <c r="G109" s="1544"/>
      <c r="H109" s="1544"/>
      <c r="I109" s="1544"/>
      <c r="J109" s="1544"/>
      <c r="K109" s="1544"/>
      <c r="L109" s="1544"/>
      <c r="M109" s="1544"/>
      <c r="N109" s="1544"/>
      <c r="O109" s="1545"/>
      <c r="P109" s="7"/>
      <c r="Q109" s="102"/>
      <c r="R109" s="102"/>
      <c r="S109" s="102"/>
      <c r="T109" s="102"/>
      <c r="U109" s="102"/>
      <c r="V109" s="102"/>
      <c r="W109" s="102"/>
    </row>
    <row r="110" spans="1:29" ht="14.25" customHeight="1">
      <c r="A110" s="128"/>
      <c r="B110" s="128"/>
      <c r="C110" s="7"/>
      <c r="D110" s="7"/>
      <c r="E110" s="7"/>
      <c r="F110" s="7"/>
      <c r="G110" s="7"/>
      <c r="H110" s="7"/>
      <c r="I110" s="7"/>
      <c r="J110" s="7"/>
      <c r="K110" s="7"/>
      <c r="L110" s="7"/>
      <c r="M110" s="7"/>
      <c r="N110" s="7"/>
      <c r="O110" s="7"/>
      <c r="P110" s="7"/>
      <c r="Q110" s="102"/>
      <c r="R110" s="102"/>
      <c r="S110" s="102"/>
      <c r="T110" s="102"/>
      <c r="U110" s="102"/>
      <c r="V110" s="102"/>
      <c r="W110" s="102"/>
    </row>
    <row r="111" spans="1:29" ht="18" customHeight="1">
      <c r="A111" s="31" t="s">
        <v>218</v>
      </c>
      <c r="B111" s="31"/>
      <c r="C111" s="7"/>
      <c r="D111" s="7"/>
      <c r="E111" s="7"/>
      <c r="F111" s="7"/>
      <c r="G111" s="7"/>
      <c r="H111" s="7"/>
      <c r="I111" s="7"/>
      <c r="J111" s="7"/>
      <c r="K111" s="7"/>
      <c r="L111" s="7"/>
      <c r="M111" s="7"/>
      <c r="N111" s="7"/>
      <c r="O111" s="7"/>
      <c r="P111" s="7"/>
      <c r="Q111" s="102"/>
      <c r="R111" s="102"/>
      <c r="S111" s="102"/>
      <c r="T111" s="102"/>
      <c r="U111" s="102"/>
      <c r="V111" s="102"/>
      <c r="W111" s="102"/>
    </row>
    <row r="112" spans="1:29" ht="30.75" customHeight="1" thickBot="1">
      <c r="A112" s="1590" t="s">
        <v>242</v>
      </c>
      <c r="B112" s="1591"/>
      <c r="C112" s="1591"/>
      <c r="D112" s="1591"/>
      <c r="E112" s="1591"/>
      <c r="F112" s="1591"/>
      <c r="G112" s="1591"/>
      <c r="H112" s="1591"/>
      <c r="I112" s="1591"/>
      <c r="J112" s="1591"/>
      <c r="K112" s="1591"/>
      <c r="L112" s="1591"/>
      <c r="M112" s="1591"/>
      <c r="N112" s="1591"/>
      <c r="O112" s="1591"/>
      <c r="P112" s="7"/>
      <c r="Q112" s="102"/>
      <c r="R112" s="103"/>
      <c r="S112" s="102"/>
      <c r="T112" s="102"/>
      <c r="U112" s="102"/>
      <c r="V112" s="102"/>
      <c r="W112" s="102"/>
      <c r="X112" s="4"/>
    </row>
    <row r="113" spans="1:24" s="4" customFormat="1" ht="27.75" customHeight="1" thickBot="1">
      <c r="A113" s="629"/>
      <c r="B113" s="186" t="s">
        <v>146</v>
      </c>
      <c r="C113" s="268"/>
      <c r="D113" s="1584" t="s">
        <v>6739</v>
      </c>
      <c r="E113" s="1585"/>
      <c r="F113" s="1585"/>
      <c r="G113" s="1585"/>
      <c r="H113" s="1585"/>
      <c r="I113" s="1585"/>
      <c r="J113" s="1585"/>
      <c r="K113" s="1585"/>
      <c r="L113" s="1585"/>
      <c r="M113" s="1585"/>
      <c r="N113" s="1585"/>
      <c r="O113" s="1586"/>
      <c r="P113" s="7"/>
      <c r="Q113" s="103"/>
      <c r="R113" s="103"/>
      <c r="S113" s="103"/>
      <c r="T113" s="103"/>
      <c r="U113" s="103"/>
      <c r="V113" s="103"/>
      <c r="W113" s="103"/>
    </row>
    <row r="114" spans="1:24" s="4" customFormat="1" ht="21.75" customHeight="1" thickBot="1">
      <c r="A114" s="629"/>
      <c r="B114" s="668" t="s">
        <v>147</v>
      </c>
      <c r="C114" s="269"/>
      <c r="D114" s="1569" t="s">
        <v>7231</v>
      </c>
      <c r="E114" s="1570"/>
      <c r="F114" s="1570"/>
      <c r="G114" s="1570"/>
      <c r="H114" s="1570"/>
      <c r="I114" s="1570"/>
      <c r="J114" s="1570"/>
      <c r="K114" s="1570"/>
      <c r="L114" s="1570"/>
      <c r="M114" s="1570"/>
      <c r="N114" s="1570"/>
      <c r="O114" s="1571"/>
      <c r="P114" s="247"/>
      <c r="Q114" s="103"/>
      <c r="R114" s="102"/>
      <c r="S114" s="103"/>
      <c r="T114" s="103"/>
      <c r="U114" s="103"/>
      <c r="V114" s="103"/>
      <c r="W114" s="103"/>
      <c r="X114"/>
    </row>
    <row r="115" spans="1:24" ht="14.25" customHeight="1" thickBot="1">
      <c r="A115" s="7"/>
      <c r="B115" s="93"/>
      <c r="C115" s="270"/>
      <c r="D115" s="1572"/>
      <c r="E115" s="1573"/>
      <c r="F115" s="1573"/>
      <c r="G115" s="1573"/>
      <c r="H115" s="1573"/>
      <c r="I115" s="1573"/>
      <c r="J115" s="1573"/>
      <c r="K115" s="1573"/>
      <c r="L115" s="1573"/>
      <c r="M115" s="1573"/>
      <c r="N115" s="1573"/>
      <c r="O115" s="1574"/>
      <c r="P115" s="43"/>
      <c r="Q115" s="102"/>
      <c r="R115" s="102"/>
      <c r="S115" s="102"/>
      <c r="T115" s="102"/>
      <c r="U115" s="102"/>
      <c r="V115" s="102"/>
      <c r="W115" s="102"/>
    </row>
    <row r="116" spans="1:24" ht="18.75" customHeight="1" thickBot="1">
      <c r="A116" s="7"/>
      <c r="B116" s="668" t="s">
        <v>118</v>
      </c>
      <c r="C116" s="271"/>
      <c r="D116" s="1572"/>
      <c r="E116" s="1573"/>
      <c r="F116" s="1573"/>
      <c r="G116" s="1573"/>
      <c r="H116" s="1573"/>
      <c r="I116" s="1573"/>
      <c r="J116" s="1573"/>
      <c r="K116" s="1573"/>
      <c r="L116" s="1573"/>
      <c r="M116" s="1573"/>
      <c r="N116" s="1573"/>
      <c r="O116" s="1574"/>
      <c r="P116" s="43"/>
      <c r="Q116" s="102"/>
      <c r="R116" s="102"/>
      <c r="S116" s="102"/>
      <c r="T116" s="102"/>
      <c r="U116" s="102"/>
      <c r="V116" s="102"/>
      <c r="W116" s="102"/>
    </row>
    <row r="117" spans="1:24" ht="16.5" customHeight="1" thickBot="1">
      <c r="A117" s="7"/>
      <c r="B117" s="90"/>
      <c r="C117" s="272"/>
      <c r="D117" s="1575"/>
      <c r="E117" s="1576"/>
      <c r="F117" s="1576"/>
      <c r="G117" s="1576"/>
      <c r="H117" s="1576"/>
      <c r="I117" s="1576"/>
      <c r="J117" s="1576"/>
      <c r="K117" s="1576"/>
      <c r="L117" s="1576"/>
      <c r="M117" s="1576"/>
      <c r="N117" s="1576"/>
      <c r="O117" s="1577"/>
      <c r="P117" s="43"/>
      <c r="Q117" s="102"/>
      <c r="R117" s="102"/>
      <c r="S117" s="102"/>
      <c r="T117" s="102"/>
      <c r="U117" s="102"/>
      <c r="V117" s="102"/>
      <c r="W117" s="102"/>
    </row>
    <row r="118" spans="1:24" ht="9.75" customHeight="1">
      <c r="A118" s="144"/>
      <c r="B118" s="7"/>
      <c r="C118" s="7"/>
      <c r="D118" s="669"/>
      <c r="E118" s="43"/>
      <c r="F118" s="43"/>
      <c r="G118" s="43"/>
      <c r="H118" s="43"/>
      <c r="I118" s="43"/>
      <c r="J118" s="43"/>
      <c r="K118" s="43"/>
      <c r="L118" s="43"/>
      <c r="M118" s="43"/>
      <c r="N118" s="43"/>
      <c r="O118" s="145"/>
      <c r="P118" s="7"/>
      <c r="Q118" s="102"/>
      <c r="R118" s="102"/>
      <c r="S118" s="102"/>
      <c r="T118" s="102"/>
      <c r="U118" s="102"/>
      <c r="V118" s="102"/>
      <c r="W118" s="102"/>
    </row>
  </sheetData>
  <sheetProtection algorithmName="SHA-512" hashValue="b6dm21h31EncwmUaiWFloCYPkcB9ZD0fhzLE7J1z/cOCuMegj/8G0vaQkyvsRfkwhnYPecIRbBdXMUqyB+CKgw==" saltValue="TVikyUMu9Imx4su+/3PqRQ==" spinCount="100000" sheet="1" objects="1" scenarios="1"/>
  <mergeCells count="85">
    <mergeCell ref="D114:O117"/>
    <mergeCell ref="I72:O72"/>
    <mergeCell ref="D97:O100"/>
    <mergeCell ref="D103:O103"/>
    <mergeCell ref="D106:O106"/>
    <mergeCell ref="D102:O102"/>
    <mergeCell ref="D113:O113"/>
    <mergeCell ref="D96:O96"/>
    <mergeCell ref="D108:O108"/>
    <mergeCell ref="A112:O112"/>
    <mergeCell ref="A94:O94"/>
    <mergeCell ref="D109:O109"/>
    <mergeCell ref="D105:O105"/>
    <mergeCell ref="G76:L76"/>
    <mergeCell ref="G81:L81"/>
    <mergeCell ref="G86:L86"/>
    <mergeCell ref="F2:G2"/>
    <mergeCell ref="A3:O3"/>
    <mergeCell ref="A5:O5"/>
    <mergeCell ref="A6:O6"/>
    <mergeCell ref="B91:O91"/>
    <mergeCell ref="I8:K8"/>
    <mergeCell ref="O11:O13"/>
    <mergeCell ref="B90:O90"/>
    <mergeCell ref="F72:G72"/>
    <mergeCell ref="I2:O2"/>
    <mergeCell ref="J7:L7"/>
    <mergeCell ref="E27:G27"/>
    <mergeCell ref="E43:F43"/>
    <mergeCell ref="E44:G44"/>
    <mergeCell ref="O46:O48"/>
    <mergeCell ref="B50:O50"/>
    <mergeCell ref="Q13:Q15"/>
    <mergeCell ref="B16:O16"/>
    <mergeCell ref="B34:O34"/>
    <mergeCell ref="B33:O33"/>
    <mergeCell ref="B15:O15"/>
    <mergeCell ref="O29:O31"/>
    <mergeCell ref="M20:O20"/>
    <mergeCell ref="I19:O19"/>
    <mergeCell ref="F19:H19"/>
    <mergeCell ref="B51:O51"/>
    <mergeCell ref="E26:F26"/>
    <mergeCell ref="M37:O37"/>
    <mergeCell ref="I36:O36"/>
    <mergeCell ref="F36:H36"/>
    <mergeCell ref="O63:O65"/>
    <mergeCell ref="B67:O67"/>
    <mergeCell ref="M54:O54"/>
    <mergeCell ref="E60:F60"/>
    <mergeCell ref="E61:G61"/>
    <mergeCell ref="F53:H53"/>
    <mergeCell ref="I53:O53"/>
    <mergeCell ref="AB67:AO67"/>
    <mergeCell ref="AB68:AO68"/>
    <mergeCell ref="AE44:AG44"/>
    <mergeCell ref="AO46:AO48"/>
    <mergeCell ref="AB50:AO50"/>
    <mergeCell ref="AB51:AO51"/>
    <mergeCell ref="AF53:AH54"/>
    <mergeCell ref="AI53:AI54"/>
    <mergeCell ref="AM53:AO53"/>
    <mergeCell ref="AM54:AO54"/>
    <mergeCell ref="AE60:AF60"/>
    <mergeCell ref="AE61:AG61"/>
    <mergeCell ref="AO63:AO65"/>
    <mergeCell ref="B68:O68"/>
    <mergeCell ref="AF36:AH37"/>
    <mergeCell ref="AI36:AI37"/>
    <mergeCell ref="AM36:AO36"/>
    <mergeCell ref="AM37:AO37"/>
    <mergeCell ref="AE43:AF43"/>
    <mergeCell ref="AO29:AO31"/>
    <mergeCell ref="AB33:AO33"/>
    <mergeCell ref="AB34:AO34"/>
    <mergeCell ref="AF19:AH20"/>
    <mergeCell ref="AI19:AI20"/>
    <mergeCell ref="AM19:AO19"/>
    <mergeCell ref="AM20:AO20"/>
    <mergeCell ref="AE26:AF26"/>
    <mergeCell ref="AQ4:AS4"/>
    <mergeCell ref="AP5:AR5"/>
    <mergeCell ref="AV8:AV10"/>
    <mergeCell ref="AI12:AV12"/>
    <mergeCell ref="AE27:AG27"/>
  </mergeCells>
  <phoneticPr fontId="1" type="noConversion"/>
  <conditionalFormatting sqref="C24">
    <cfRule type="expression" dxfId="54" priority="5">
      <formula>D24&lt;0.001</formula>
    </cfRule>
  </conditionalFormatting>
  <conditionalFormatting sqref="C41">
    <cfRule type="expression" dxfId="53" priority="6">
      <formula>D41&lt;0.001</formula>
    </cfRule>
  </conditionalFormatting>
  <conditionalFormatting sqref="C58">
    <cfRule type="expression" dxfId="52" priority="7">
      <formula>D58&lt;0.001</formula>
    </cfRule>
  </conditionalFormatting>
  <conditionalFormatting sqref="E26:F26">
    <cfRule type="expression" dxfId="51" priority="10">
      <formula>G26&lt;1</formula>
    </cfRule>
  </conditionalFormatting>
  <conditionalFormatting sqref="E43:F43">
    <cfRule type="expression" dxfId="50" priority="9">
      <formula>G43&lt;1</formula>
    </cfRule>
  </conditionalFormatting>
  <conditionalFormatting sqref="E60:F60">
    <cfRule type="expression" dxfId="49" priority="8">
      <formula>G60&lt;1</formula>
    </cfRule>
  </conditionalFormatting>
  <conditionalFormatting sqref="G8">
    <cfRule type="expression" dxfId="48" priority="3">
      <formula>AND($D$8&gt;0,$H$8="")</formula>
    </cfRule>
  </conditionalFormatting>
  <conditionalFormatting sqref="I7">
    <cfRule type="expression" dxfId="47" priority="12">
      <formula>AND(D8&gt;0,J7="")</formula>
    </cfRule>
  </conditionalFormatting>
  <conditionalFormatting sqref="L20">
    <cfRule type="expression" dxfId="46" priority="13">
      <formula>M20=""</formula>
    </cfRule>
  </conditionalFormatting>
  <conditionalFormatting sqref="L37">
    <cfRule type="expression" dxfId="45" priority="14">
      <formula>M37=""</formula>
    </cfRule>
  </conditionalFormatting>
  <conditionalFormatting sqref="L54">
    <cfRule type="expression" dxfId="44" priority="11">
      <formula>M54=""</formula>
    </cfRule>
  </conditionalFormatting>
  <conditionalFormatting sqref="AN5">
    <cfRule type="expression" dxfId="43" priority="1">
      <formula>AND($D$8&gt;0,$H$8="")</formula>
    </cfRule>
  </conditionalFormatting>
  <conditionalFormatting sqref="AP4">
    <cfRule type="expression" dxfId="42" priority="2">
      <formula>AND(AK5&gt;0,AQ4="")</formula>
    </cfRule>
  </conditionalFormatting>
  <dataValidations xWindow="1395" yWindow="471" count="43">
    <dataValidation type="textLength" allowBlank="1" showInputMessage="1" showErrorMessage="1" promptTitle="LAND/BUILDING ACQUSITION" prompt="Enter narrative specific to proposed Land/Building acquisitions (maximum length 750 characters)" sqref="D114:O117" xr:uid="{00000000-0002-0000-0200-000000000000}">
      <formula1>0</formula1>
      <formula2>750</formula2>
    </dataValidation>
    <dataValidation type="textLength" allowBlank="1" showInputMessage="1" showErrorMessage="1" promptTitle="NEW CONSTRUCTION" prompt="Enter narrative specific to New Construction project element (maximum length 1000 characters)" sqref="B16:O16" xr:uid="{00000000-0002-0000-0200-000001000000}">
      <formula1>0</formula1>
      <formula2>1000</formula2>
    </dataValidation>
    <dataValidation type="textLength" allowBlank="1" showInputMessage="1" showErrorMessage="1" promptTitle="DEMOLITION" prompt="Enter narrative specific to Demolition project element (maximum length 1,000 characters)" sqref="B91:O91" xr:uid="{00000000-0002-0000-0200-000002000000}">
      <formula1>0</formula1>
      <formula2>1000</formula2>
    </dataValidation>
    <dataValidation type="textLength" allowBlank="1" showInputMessage="1" showErrorMessage="1" promptTitle="PARKING" prompt="Enter narrative specific to proposed Parking project element (maximum length 750 characters)" sqref="D97:O100" xr:uid="{00000000-0002-0000-0200-000003000000}">
      <formula1>0</formula1>
      <formula2>750</formula2>
    </dataValidation>
    <dataValidation type="textLength" allowBlank="1" showInputMessage="1" showErrorMessage="1" promptTitle="MECHANICAL INFRASTRUCTURE" prompt="Enter narrative specific to proposed Mechanical Infrastructure project element (maximum length 750 characters)" sqref="D103:O103" xr:uid="{00000000-0002-0000-0200-000004000000}">
      <formula1>0</formula1>
      <formula2>750</formula2>
    </dataValidation>
    <dataValidation type="textLength" allowBlank="1" showInputMessage="1" showErrorMessage="1" promptTitle="UTILITY INFRASTRUCTURE" prompt="Enter narrative specific to proposed Utility Infrastrucuture project element (maximum length 750 characters)" sqref="D106:O106" xr:uid="{00000000-0002-0000-0200-000005000000}">
      <formula1>0</formula1>
      <formula2>750</formula2>
    </dataValidation>
    <dataValidation type="textLength" allowBlank="1" showInputMessage="1" showErrorMessage="1" promptTitle="OTHER INFRASTRUCTURE" prompt="Enter narrative specific to proposed &quot;Other&quot; Infrastructure project element (maximum length 750 characters)" sqref="D109:O109" xr:uid="{00000000-0002-0000-0200-000006000000}">
      <formula1>0</formula1>
      <formula2>750</formula2>
    </dataValidation>
    <dataValidation type="decimal" allowBlank="1" showInputMessage="1" showErrorMessage="1" promptTitle="% Building ASF - Instruc. Labs" prompt="Enter the percentage of the total ASF of this project element that is anticipated to be for instructional and open laboratories and related service areas not primarily used for research (FICM 211-235)" sqref="E30 E12 AE64 E47 AE30 AE47 E64 AL9" xr:uid="{00000000-0002-0000-0200-000007000000}">
      <formula1>0</formula1>
      <formula2>1</formula2>
    </dataValidation>
    <dataValidation type="decimal" allowBlank="1" showInputMessage="1" showErrorMessage="1" promptTitle="% Building ASF - Research Lab" prompt="Enter the percentage of the total ASF of this project element that is anticipated to be for instructional and open laboratories and related service areas not primarily used for research (FICM 250/255)" sqref="F30 F12 AF64 F47 AF30 AF47 F64 AM9" xr:uid="{00000000-0002-0000-0200-000008000000}">
      <formula1>0</formula1>
      <formula2>1</formula2>
    </dataValidation>
    <dataValidation type="decimal" allowBlank="1" showInputMessage="1" showErrorMessage="1" promptTitle="% Building ASF - Office" prompt="Enter the percentage of the total ASF of this project element that is anticipated to be for offices, conference rooms, and related service areas (FICM 310-355)" sqref="G30 G12 AG64 G47 AG30 AG47 G64 AN9" xr:uid="{00000000-0002-0000-0200-000009000000}">
      <formula1>0</formula1>
      <formula2>1</formula2>
    </dataValidation>
    <dataValidation type="decimal" allowBlank="1" showInputMessage="1" showErrorMessage="1" promptTitle="% Building ASF - Classroom" prompt="Enter the percentage of the total ASF of this project element that is anticipated to be Classroom and related service area (FICM 110/115)" sqref="D30 D12 AD64 D47 AD30 AD47 D64 AK9" xr:uid="{00000000-0002-0000-0200-00000A000000}">
      <formula1>0</formula1>
      <formula2>1</formula2>
    </dataValidation>
    <dataValidation type="decimal" allowBlank="1" showInputMessage="1" showErrorMessage="1" promptTitle="% Building ASF - Library/Study" prompt="Enter the percentage of the total ASF of this project element that is anticipated to be for library and study uses and related service areas (FICM 410-455)" sqref="H30 H12 AH64 H47 AH30 AH47 H64 AO9" xr:uid="{00000000-0002-0000-0200-00000B000000}">
      <formula1>0</formula1>
      <formula2>1</formula2>
    </dataValidation>
    <dataValidation type="decimal" allowBlank="1" showInputMessage="1" showErrorMessage="1" promptTitle="% Building ASF - Special Use" prompt="Enter the percentage of the total ASF of this project element that is anticipated to be for special instructional uses and related service areas (FICM 510-590)" sqref="I30 I12 AI64 I47 AI30 AI47 I64 AP9" xr:uid="{00000000-0002-0000-0200-00000C000000}">
      <formula1>0</formula1>
      <formula2>1</formula2>
    </dataValidation>
    <dataValidation type="decimal" allowBlank="1" showInputMessage="1" showErrorMessage="1" promptTitle="% Building ASF - General Use" prompt="Enter the percentage of the total ASF of this project element that is anticipated to be for general uses and related service areas (FICM 610-690)" sqref="J30 J12 AJ64 J47 AJ30 AJ47 J64 AQ9" xr:uid="{00000000-0002-0000-0200-00000D000000}">
      <formula1>0</formula1>
      <formula2>1</formula2>
    </dataValidation>
    <dataValidation type="decimal" allowBlank="1" showInputMessage="1" showErrorMessage="1" promptTitle="% Building ASF - Support Use" prompt="Enter the percentage of the total ASF of this project element that is anticipated to be for central building and campus support uses and related service areas (FICM 710-775)" sqref="K30 K12 AK64 K47 AK30 AK47 K64 AR9" xr:uid="{00000000-0002-0000-0200-00000E000000}">
      <formula1>0</formula1>
      <formula2>1</formula2>
    </dataValidation>
    <dataValidation type="decimal" allowBlank="1" showInputMessage="1" showErrorMessage="1" promptTitle="% Building ASF - Clincal Use" prompt="Enter the percentage of the total ASF of this project element that is anticipated to be for clinical uses and related service areas (FICM 810-895)" sqref="L30 L12 AL64 L47 AL30 AL47 L64 AS9" xr:uid="{00000000-0002-0000-0200-00000F000000}">
      <formula1>0</formula1>
      <formula2>1</formula2>
    </dataValidation>
    <dataValidation type="decimal" allowBlank="1" showInputMessage="1" showErrorMessage="1" promptTitle="% Building ASF - Housing Use" prompt="Enter the percentage of the total ASF of this project element that is anticipated to be for housing uses and related service areas (FICM 910-970)" sqref="M30 M12 AM64 M47 AM30 AM47 M64 AT9" xr:uid="{00000000-0002-0000-0200-000010000000}">
      <formula1>0</formula1>
      <formula2>1</formula2>
    </dataValidation>
    <dataValidation type="whole" operator="greaterThanOrEqual" showInputMessage="1" showErrorMessage="1" promptTitle="PROPOSED GSF - NEW CONSTRUCTION" prompt="Enter the total building GSF of proposed new construction" sqref="D8 AK5" xr:uid="{00000000-0002-0000-0200-000011000000}">
      <formula1>0</formula1>
    </dataValidation>
    <dataValidation allowBlank="1" showInputMessage="1" showErrorMessage="1" promptTitle="PROPOSED GSF -  RENOVATION" prompt="Enter the total GSF of the primary building proposed for renovation as submitted in the most recent USG FIDC, or the portion of the building GSF that s proposed for renovation." sqref="AD60 AD56 AD39 AD26 AD43 AD22" xr:uid="{00000000-0002-0000-0200-000012000000}"/>
    <dataValidation type="textLength" allowBlank="1" showInputMessage="1" showErrorMessage="1" promptTitle="RENOVATION #1" prompt="Enter narrative specific to Renovation #1 project element (maximum length 1000 characters)" sqref="AB34:AO34 AB68:AO68 AB51:AO51" xr:uid="{00000000-0002-0000-0200-000013000000}">
      <formula1>0</formula1>
      <formula2>1000</formula2>
    </dataValidation>
    <dataValidation type="decimal" allowBlank="1" showInputMessage="1" showErrorMessage="1" promptTitle="BURDEN FACTOR" prompt="Enter the anticipated burden factor applied to the building's total ASF to determine total building GSF (typically between 1.55 and 1.75)_x000a_" sqref="AG60 AG26 AG43" xr:uid="{00000000-0002-0000-0200-000014000000}">
      <formula1>1</formula1>
      <formula2>2</formula2>
    </dataValidation>
    <dataValidation type="list" allowBlank="1" showInputMessage="1" showErrorMessage="1" promptTitle="PRIMARY SPACE FUNCTION" prompt="From the drop-down menu, choose the most appropriate description of the building's anticipated primary space function" sqref="AK59:AL59 AK42:AL42 AK25:AL25" xr:uid="{00000000-0002-0000-0200-000016000000}">
      <formula1>$AE$8:$AF$8</formula1>
    </dataValidation>
    <dataValidation type="list" allowBlank="1" showInputMessage="1" showErrorMessage="1" promptTitle="PRIMARY SPACE FUNCTION" prompt="From the drop-down menu, choose the most appropriate description of the building's anticipated primary space function" sqref="J7:L7 AQ4:AS4" xr:uid="{00000000-0002-0000-0200-000017000000}">
      <formula1>$R$18:$R1048575</formula1>
    </dataValidation>
    <dataValidation type="list" allowBlank="1" showInputMessage="1" showErrorMessage="1" promptTitle="PRIMARY SPACE FUNCTION" prompt="From the drop-down menu, choose the most appropriate description of the building's anticipated primary space function" sqref="M20 M37 M54 AM20 AM37 AM54" xr:uid="{00000000-0002-0000-0200-000018000000}">
      <formula1>$R$2:$R$17</formula1>
    </dataValidation>
    <dataValidation type="list" allowBlank="1" showInputMessage="1" showErrorMessage="1" promptTitle="HISTORIC STATUS" prompt="From the drop-down menu, choose the most appropriate description of the building's historic status (&quot;Listed&quot; on the NRHP; &quot;Eligible&quot; for the NRHP; or &quot;N/A&quot;)" sqref="AO59 AO42 AO25" xr:uid="{00000000-0002-0000-0200-000019000000}">
      <formula1>$Q$24:$Q$28</formula1>
    </dataValidation>
    <dataValidation type="list" allowBlank="1" showInputMessage="1" showErrorMessage="1" promptTitle="HISTORIC STATUS" prompt="From the drop-down menu, choose the most appropriate description of the building's historic status (&quot;Listed&quot; on the NRHP; &quot;Eligible&quot; for the NRHP; or &quot;Not Eligible&quot; for listing (i.e.&lt;50 years old)" sqref="O76 O24 O41 O58 AO24 AO41 AO58 O81 O86" xr:uid="{00000000-0002-0000-0200-00001A000000}">
      <formula1>$Q$24:$S$24</formula1>
    </dataValidation>
    <dataValidation type="decimal" allowBlank="1" showInputMessage="1" showErrorMessage="1" sqref="AD58 AD24 AD41" xr:uid="{00000000-0002-0000-0200-00001B000000}">
      <formula1>0.01</formula1>
      <formula2>1</formula2>
    </dataValidation>
    <dataValidation allowBlank="1" showErrorMessage="1" promptTitle="PROPOSED GSF -  RENOVATION" prompt="Enter the total GSF of the primary building proposed for renovation as submitted in the most recent USG FIDC, or the portion of the building GSF that s proposed for renovation." sqref="H24 H41 H58 AH24 AH41 AH58" xr:uid="{00000000-0002-0000-0200-00001C000000}"/>
    <dataValidation allowBlank="1" showInputMessage="1" showErrorMessage="1" sqref="K23:L23 O23 K40:L40 O40 K57:L57 O57 AK23:AL23 AO23 AK40:AL40 AO40 AK57:AL57 AO57" xr:uid="{00000000-0002-0000-0200-00001D000000}"/>
    <dataValidation type="list" allowBlank="1" showInputMessage="1" showErrorMessage="1" sqref="U19" xr:uid="{00000000-0002-0000-0200-00001E000000}">
      <formula1>#REF!</formula1>
    </dataValidation>
    <dataValidation type="decimal" allowBlank="1" showInputMessage="1" showErrorMessage="1" promptTitle="BURDEN FACTOR" prompt="Enter the anticipated burden factor applied to the building's total ASF to determine total building GSF (see typical range below based on selected primary use)_x000a_" sqref="G60 G43" xr:uid="{00000000-0002-0000-0200-00001F000000}">
      <formula1>1</formula1>
      <formula2>2</formula2>
    </dataValidation>
    <dataValidation type="decimal" allowBlank="1" showInputMessage="1" showErrorMessage="1" promptTitle="BURDEN FACTOR" prompt="Enter the anticipated burden factor applied to the building's total ASF to determine total building GSF (see typical range below based on selected primary use)" sqref="G26" xr:uid="{00000000-0002-0000-0200-000020000000}">
      <formula1>1</formula1>
      <formula2>2</formula2>
    </dataValidation>
    <dataValidation type="decimal" allowBlank="1" showInputMessage="1" showErrorMessage="1" promptTitle="BURDEN FACTOR" prompt="Enter the anticipated burden factor applied to the building's total ASF to determine total building GSF (see typical range note based on selected primary use)" sqref="H8 AO5" xr:uid="{00000000-0002-0000-0200-000021000000}">
      <formula1>1</formula1>
      <formula2>2</formula2>
    </dataValidation>
    <dataValidation type="decimal" allowBlank="1" showInputMessage="1" showErrorMessage="1" promptTitle="% GSF IN SCOPE" prompt="Enter % of building square footage that is to be included within the scope of the renovation project.  This field is important for understanding and comparing renovation unit costs." sqref="D24 D41 D58" xr:uid="{00000000-0002-0000-0200-000022000000}">
      <formula1>0.01</formula1>
      <formula2>1</formula2>
    </dataValidation>
    <dataValidation type="decimal" allowBlank="1" showInputMessage="1" showErrorMessage="1" promptTitle="% OF BUILDING TO BE DEMOLISHED" prompt="Enter percentage of building to be demolished.  100% is default value unless only a portion of the building is being demolished." sqref="H88 H78 J84 H83" xr:uid="{00000000-0002-0000-0200-000023000000}">
      <formula1>0.01</formula1>
      <formula2>1</formula2>
    </dataValidation>
    <dataValidation type="textLength" allowBlank="1" showInputMessage="1" showErrorMessage="1" promptTitle="RENOVATION #2" prompt="Enter narrative specific to Renovation #2 project element (maximum length 1000 characters)" sqref="B51:O51 B34:O34" xr:uid="{00000000-0002-0000-0200-000024000000}">
      <formula1>0</formula1>
      <formula2>1000</formula2>
    </dataValidation>
    <dataValidation type="textLength" allowBlank="1" showInputMessage="1" showErrorMessage="1" promptTitle="RENOVATION #3" prompt="Enter narrative specific to Renovation #3 project element (maximum length 1000 characters)" sqref="B68:O68" xr:uid="{00000000-0002-0000-0200-000025000000}">
      <formula1>0</formula1>
      <formula2>1000</formula2>
    </dataValidation>
    <dataValidation allowBlank="1" showInputMessage="1" showErrorMessage="1" promptTitle="BUILDING GSF" prompt="Total GSF of the selected building based on Fall 2020 FIDC." sqref="D22 O26 O43 O56 L22 L24 O22 O60 D56 L56 L58 D39 L39 L41 O39 D78:D79 D83:D84 D88" xr:uid="{00000000-0002-0000-0200-000026000000}"/>
    <dataValidation allowBlank="1" showInputMessage="1" showErrorMessage="1" promptTitle="RENOVATION GSF" prompt="The GSF contained in the renovation scope based on total GSF and the percentage entered for &quot;% GSF IN SCOPE&quot;.  This total is used to calculate renovation costs based on the unit cost values entered in Tab 3 Project Cost." sqref="D26 D43 D60" xr:uid="{00000000-0002-0000-0200-000027000000}"/>
    <dataValidation allowBlank="1" showInputMessage="1" showErrorMessage="1" promptTitle="DEMOLITION GSF" prompt="The total GSF to be demolished based on total building GSF and the percentage entered for &quot;% OF BLDG TO BE DEMOLISHED&quot;.  This total is used to calculate demolition costs based on the demolition unit cost values entered in Tab 3 Project Cost." sqref="N78:N79 N88 N83:N84" xr:uid="{00000000-0002-0000-0200-000028000000}"/>
    <dataValidation type="list" allowBlank="1" showInputMessage="1" showErrorMessage="1" promptTitle="REGENTS BUILDING CODE" prompt="Select Regents Building Code from the dropdown menu for building to be renovated.  Data current as of Fall 2020 FIDC.  RBC and associated programmed field data are located in &quot;Fall 2020 FIDC&quot; tab at end of workbook." sqref="M81 M86 M76" xr:uid="{821E6016-161C-41EA-9B42-07BC1F10E1FE}">
      <formula1>$CA:$CA</formula1>
    </dataValidation>
    <dataValidation type="list" allowBlank="1" showInputMessage="1" showErrorMessage="1" promptTitle="BUILDING NAME (CODE)" prompt="Select building name and associated Regents Building Code from the dropdown list.  Data are populated from Spring 2022 FRPT60 tab." sqref="I19:O19 G86:L86 G76:L76 I53:O53 I36:O36" xr:uid="{CF738263-F347-49AA-B784-D8094CB98B42}">
      <formula1>$CA:$CA</formula1>
    </dataValidation>
    <dataValidation type="list" allowBlank="1" showInputMessage="1" showErrorMessage="1" promptTitle="BUILDING NAME (COCE)" prompt="Select building name and associated Regents Building Code from the dropdown list.  Data are populated from Spring 2022 FRPT60 tab." sqref="G81:L81" xr:uid="{98ECEEDD-D56D-4E88-B1D7-9D5926E6C4DF}">
      <formula1>$CA:$CA</formula1>
    </dataValidation>
  </dataValidations>
  <pageMargins left="0.2" right="0.2" top="0.25" bottom="0.25" header="0.3" footer="0.3"/>
  <pageSetup paperSize="5" scale="78" fitToHeight="0" orientation="portrait" r:id="rId1"/>
  <headerFooter alignWithMargins="0"/>
  <rowBreaks count="1" manualBreakCount="1">
    <brk id="69" max="14" man="1"/>
  </rowBreaks>
  <ignoredErrors>
    <ignoredError sqref="D43 D60 D26" formula="1"/>
  </ignoredErrors>
  <drawing r:id="rId2"/>
  <extLst>
    <ext xmlns:x14="http://schemas.microsoft.com/office/spreadsheetml/2009/9/main" uri="{CCE6A557-97BC-4b89-ADB6-D9C93CAAB3DF}">
      <x14:dataValidations xmlns:xm="http://schemas.microsoft.com/office/excel/2006/main" xWindow="1395" yWindow="471" count="2">
        <x14:dataValidation type="list" allowBlank="1" showInputMessage="1" showErrorMessage="1" xr:uid="{00000000-0002-0000-0200-000029000000}">
          <x14:formula1>
            <xm:f>INDIRECT('TAB 1 Proj. ID &amp; Prim Narrative'!$AE$98)</xm:f>
          </x14:formula1>
          <xm:sqref>AI53 AI36 K18 AI19</xm:sqref>
        </x14:dataValidation>
        <x14:dataValidation type="list" allowBlank="1" showInputMessage="1" showErrorMessage="1" promptTitle="REGENTS BUILDING CODE" prompt="Select Regents Building Code from the dropdown menu for building to be renovated.  Data current as of Fall 2020 FIDC.  RBC and associated programmed field data are located in &quot;Fall 2020 FIDC&quot; tab at end of workbook." xr:uid="{00000000-0002-0000-0200-00002A000000}">
          <x14:formula1>
            <xm:f>INDIRECT('TAB 1 Proj. ID &amp; Prim Narrative'!$AE$98)</xm:f>
          </x14:formula1>
          <xm:sqref>I37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8080"/>
    <pageSetUpPr fitToPage="1"/>
  </sheetPr>
  <dimension ref="A1:BO119"/>
  <sheetViews>
    <sheetView topLeftCell="A50" workbookViewId="0">
      <selection activeCell="H39" sqref="H39"/>
    </sheetView>
  </sheetViews>
  <sheetFormatPr defaultColWidth="0" defaultRowHeight="12.75" zeroHeight="1"/>
  <cols>
    <col min="1" max="1" width="1.140625" customWidth="1"/>
    <col min="2" max="3" width="2" customWidth="1"/>
    <col min="4" max="4" width="32.140625" customWidth="1"/>
    <col min="5" max="5" width="13" customWidth="1"/>
    <col min="6" max="6" width="12.85546875" customWidth="1"/>
    <col min="7" max="7" width="12.7109375" customWidth="1"/>
    <col min="8" max="8" width="10.28515625" customWidth="1"/>
    <col min="9" max="10" width="15.5703125" customWidth="1"/>
    <col min="11" max="11" width="5.28515625" customWidth="1"/>
    <col min="12" max="12" width="24.7109375" hidden="1" customWidth="1"/>
    <col min="13" max="14" width="9.140625" hidden="1" customWidth="1"/>
    <col min="15" max="15" width="28.5703125" hidden="1" customWidth="1"/>
    <col min="16" max="16" width="12.140625" hidden="1" customWidth="1"/>
    <col min="17" max="17" width="23.5703125" hidden="1" customWidth="1"/>
    <col min="18" max="18" width="9.140625" hidden="1" customWidth="1"/>
    <col min="19" max="19" width="17.28515625" hidden="1" customWidth="1"/>
    <col min="20" max="20" width="13.42578125" hidden="1" customWidth="1"/>
    <col min="21" max="21" width="11.85546875" hidden="1" customWidth="1"/>
    <col min="22" max="22" width="11.28515625" hidden="1" customWidth="1"/>
    <col min="23" max="23" width="9.85546875" hidden="1" customWidth="1"/>
    <col min="24" max="24" width="9" hidden="1" customWidth="1"/>
    <col min="25" max="25" width="10.42578125" hidden="1" customWidth="1"/>
    <col min="26" max="28" width="9.140625" hidden="1" customWidth="1"/>
    <col min="29" max="29" width="14.85546875" hidden="1" customWidth="1"/>
    <col min="30" max="30" width="15.28515625" hidden="1" customWidth="1"/>
    <col min="31" max="32" width="14.5703125" hidden="1" customWidth="1"/>
    <col min="33" max="33" width="13" hidden="1" customWidth="1"/>
    <col min="34" max="37" width="9.140625" hidden="1" customWidth="1"/>
    <col min="38" max="38" width="10.7109375" hidden="1" customWidth="1"/>
    <col min="39" max="39" width="9.7109375" hidden="1" customWidth="1"/>
    <col min="40" max="41" width="10" hidden="1" customWidth="1"/>
    <col min="42" max="42" width="12.42578125" hidden="1" customWidth="1"/>
    <col min="43" max="44" width="9.140625" hidden="1" customWidth="1"/>
    <col min="45" max="45" width="9.85546875" hidden="1" customWidth="1"/>
    <col min="46" max="46" width="12.28515625" hidden="1" customWidth="1"/>
    <col min="47" max="47" width="12.42578125" hidden="1" customWidth="1"/>
    <col min="48" max="49" width="10.140625" hidden="1" customWidth="1"/>
    <col min="50" max="52" width="10.7109375" hidden="1" customWidth="1"/>
    <col min="53" max="57" width="11.85546875" hidden="1" customWidth="1"/>
    <col min="58" max="60" width="11.7109375" hidden="1" customWidth="1"/>
    <col min="61" max="16384" width="9.140625" hidden="1"/>
  </cols>
  <sheetData>
    <row r="1" spans="1:42" ht="25.5" customHeight="1" thickBot="1">
      <c r="A1" s="66" t="s">
        <v>200</v>
      </c>
      <c r="B1" s="27"/>
      <c r="C1" s="27"/>
      <c r="D1" s="27"/>
      <c r="E1" s="148"/>
      <c r="F1" s="149"/>
      <c r="G1" s="549"/>
      <c r="H1" s="549"/>
      <c r="J1" s="22" t="str">
        <f>'TAB 1 Proj. ID &amp; Prim Narrative'!M1</f>
        <v>USG CAPITAL PLAN -  FY 27-30 PROJECT TEMPLATE</v>
      </c>
      <c r="K1" s="7"/>
      <c r="L1" s="7"/>
      <c r="M1" s="164"/>
      <c r="N1" s="164"/>
      <c r="O1" s="164"/>
      <c r="P1" s="164"/>
      <c r="Q1" s="164"/>
      <c r="R1" s="164"/>
      <c r="S1" s="164"/>
      <c r="T1" s="168"/>
      <c r="U1" s="168"/>
      <c r="V1" s="168"/>
      <c r="W1" s="168"/>
      <c r="X1" s="168"/>
      <c r="Y1" s="168"/>
      <c r="Z1" s="168"/>
      <c r="AA1" s="168"/>
      <c r="AB1" s="168"/>
      <c r="AC1" s="168"/>
      <c r="AD1" s="168"/>
      <c r="AE1" s="168"/>
    </row>
    <row r="2" spans="1:42" ht="18" customHeight="1" thickBot="1">
      <c r="A2" s="31"/>
      <c r="B2" s="7"/>
      <c r="C2" s="7"/>
      <c r="D2" s="320" t="str">
        <f>IF('TAB 1 Proj. ID &amp; Prim Narrative'!$B$7="","",'TAB 1 Proj. ID &amp; Prim Narrative'!$B$7)</f>
        <v/>
      </c>
      <c r="E2" s="1131" t="str">
        <f>IF('TAB 1 Proj. ID &amp; Prim Narrative'!U13="","",'TAB 1 Proj. ID &amp; Prim Narrative'!U13)</f>
        <v/>
      </c>
      <c r="F2" s="320" t="str">
        <f>IF('TAB 2 Project Specs'!H2="","",'TAB 2 Project Specs'!H2)</f>
        <v/>
      </c>
      <c r="G2" s="1578" t="str">
        <f>IF('TAB 1 Proj. ID &amp; Prim Narrative'!$D$10="","",'TAB 1 Proj. ID &amp; Prim Narrative'!$D$10)</f>
        <v/>
      </c>
      <c r="H2" s="1439"/>
      <c r="I2" s="1439"/>
      <c r="J2" s="1440"/>
      <c r="K2" s="7"/>
      <c r="L2" s="7"/>
      <c r="M2" s="169"/>
      <c r="N2" s="169"/>
      <c r="O2" s="169"/>
      <c r="P2" s="169"/>
      <c r="Q2" s="169"/>
      <c r="R2" s="169"/>
      <c r="S2" s="169"/>
      <c r="T2" s="169"/>
      <c r="U2" s="169"/>
      <c r="V2" s="169"/>
      <c r="W2" s="169"/>
      <c r="X2" s="169"/>
    </row>
    <row r="3" spans="1:42" ht="6.75" customHeight="1" thickBot="1">
      <c r="A3" s="20"/>
      <c r="B3" s="7"/>
      <c r="C3" s="7"/>
      <c r="D3" s="7"/>
      <c r="E3" s="7"/>
      <c r="G3" s="7"/>
      <c r="H3" s="7"/>
      <c r="I3" s="7"/>
      <c r="J3" s="7"/>
      <c r="K3" s="7"/>
      <c r="L3" s="7"/>
      <c r="M3" s="170"/>
      <c r="N3" s="169"/>
      <c r="O3" s="171"/>
      <c r="P3" s="172"/>
      <c r="Q3" s="169"/>
      <c r="R3" s="169"/>
      <c r="S3" s="169"/>
      <c r="T3" s="169"/>
      <c r="U3" s="169"/>
      <c r="V3" s="169"/>
      <c r="W3" s="169"/>
      <c r="X3" s="169"/>
    </row>
    <row r="4" spans="1:42" ht="23.25" customHeight="1" thickBot="1">
      <c r="A4" s="20"/>
      <c r="B4" s="7"/>
      <c r="C4" s="7"/>
      <c r="D4" s="675" t="s">
        <v>190</v>
      </c>
      <c r="E4" s="675" t="s">
        <v>7004</v>
      </c>
      <c r="F4" s="675" t="s">
        <v>197</v>
      </c>
      <c r="G4" s="1632" t="s">
        <v>7005</v>
      </c>
      <c r="H4" s="1633"/>
      <c r="I4" s="675" t="s">
        <v>408</v>
      </c>
      <c r="J4" s="7"/>
      <c r="K4" s="7"/>
      <c r="L4" s="7"/>
      <c r="M4" s="170"/>
      <c r="N4" s="169"/>
      <c r="O4" s="69">
        <f>'TAB 1 Proj. ID &amp; Prim Narrative'!L17</f>
        <v>0</v>
      </c>
      <c r="P4" s="172"/>
      <c r="W4" s="169"/>
      <c r="X4" s="169"/>
    </row>
    <row r="5" spans="1:42" ht="16.5" customHeight="1" thickBot="1">
      <c r="A5" s="147"/>
      <c r="B5" s="128"/>
      <c r="C5" s="128"/>
      <c r="D5" s="525">
        <f>IFERROR(G34+G65+G80+G104+G112,"")</f>
        <v>0</v>
      </c>
      <c r="E5" s="525">
        <f>IFERROR(F5-D5,"")</f>
        <v>0</v>
      </c>
      <c r="F5" s="540">
        <f>IFERROR(ROUNDUP(D5,-5),"")</f>
        <v>0</v>
      </c>
      <c r="G5" s="1631">
        <f>G20+G51+G96</f>
        <v>0</v>
      </c>
      <c r="H5" s="1447"/>
      <c r="I5" s="525" t="str">
        <f>IF(O4=0,"",O4)</f>
        <v/>
      </c>
      <c r="J5" s="1148" t="s">
        <v>7864</v>
      </c>
      <c r="K5" s="7"/>
      <c r="L5" s="7"/>
      <c r="M5" s="170"/>
      <c r="N5" s="169"/>
      <c r="O5" s="169" t="s">
        <v>391</v>
      </c>
      <c r="P5" s="181"/>
      <c r="Q5" s="182"/>
      <c r="V5" s="169"/>
      <c r="W5" s="169"/>
      <c r="X5" s="169"/>
      <c r="AG5" t="b">
        <f>AG13=0</f>
        <v>0</v>
      </c>
    </row>
    <row r="6" spans="1:42" ht="7.5" customHeight="1">
      <c r="A6" s="147"/>
      <c r="B6" s="7"/>
      <c r="C6" s="7"/>
      <c r="D6" s="7"/>
      <c r="E6" s="7"/>
      <c r="F6" s="7"/>
      <c r="G6" s="637"/>
      <c r="H6" s="7"/>
      <c r="I6" s="7"/>
      <c r="J6" s="706"/>
      <c r="K6" s="7"/>
      <c r="L6" s="7"/>
      <c r="M6" s="170"/>
      <c r="N6" s="169"/>
      <c r="P6" s="181"/>
      <c r="R6" s="7"/>
      <c r="S6" s="169"/>
      <c r="T6" s="169"/>
      <c r="U6" s="169"/>
      <c r="V6" s="169"/>
      <c r="W6" s="169"/>
      <c r="X6" s="169"/>
    </row>
    <row r="7" spans="1:42" ht="3.75" customHeight="1">
      <c r="A7" s="147"/>
      <c r="B7" s="7"/>
      <c r="C7" s="128"/>
      <c r="D7" s="7"/>
      <c r="E7" s="7"/>
      <c r="F7" s="7"/>
      <c r="G7" s="7"/>
      <c r="H7" s="7"/>
      <c r="I7" s="7"/>
      <c r="J7" s="7"/>
      <c r="K7" s="7"/>
      <c r="L7" s="7"/>
      <c r="M7" s="170"/>
      <c r="N7" s="169"/>
      <c r="P7" s="172"/>
      <c r="Q7" s="169"/>
      <c r="R7" s="169"/>
      <c r="S7" s="169"/>
      <c r="T7" s="169"/>
      <c r="U7" s="169"/>
      <c r="V7" s="169"/>
      <c r="W7" s="169"/>
      <c r="X7" s="169"/>
    </row>
    <row r="8" spans="1:42" ht="18" customHeight="1">
      <c r="A8" s="31" t="s">
        <v>423</v>
      </c>
      <c r="B8" s="7"/>
      <c r="C8" s="7"/>
      <c r="D8" s="7"/>
      <c r="E8" s="7"/>
      <c r="F8" s="7"/>
      <c r="G8" s="7"/>
      <c r="H8" s="7"/>
      <c r="I8" s="7"/>
      <c r="J8" s="7"/>
      <c r="K8" s="7"/>
      <c r="L8" s="7"/>
      <c r="M8" s="170"/>
      <c r="N8" s="169"/>
      <c r="O8" s="169"/>
      <c r="P8" s="172"/>
      <c r="Q8" s="169"/>
      <c r="R8" s="169"/>
      <c r="S8" s="169"/>
      <c r="T8" s="169"/>
      <c r="U8" s="169"/>
      <c r="V8" s="169"/>
      <c r="W8" s="169"/>
      <c r="X8" s="169"/>
    </row>
    <row r="9" spans="1:42" ht="7.5" customHeight="1" thickBot="1">
      <c r="A9" s="7"/>
      <c r="B9" s="7"/>
      <c r="C9" s="7"/>
      <c r="D9" s="7"/>
      <c r="E9" s="7"/>
      <c r="F9" s="7"/>
      <c r="G9" s="7"/>
      <c r="H9" s="7"/>
      <c r="I9" s="7"/>
      <c r="J9" s="7"/>
      <c r="K9" s="7"/>
      <c r="L9" s="7"/>
      <c r="M9" s="169"/>
      <c r="N9" s="169"/>
      <c r="O9" s="169"/>
      <c r="P9" s="169"/>
      <c r="Q9" s="169"/>
      <c r="R9" s="169"/>
      <c r="S9" s="169"/>
      <c r="T9" s="169"/>
      <c r="U9" s="169"/>
      <c r="V9" s="169"/>
      <c r="W9" s="169"/>
      <c r="X9" s="169"/>
    </row>
    <row r="10" spans="1:42" ht="22.5" customHeight="1" thickBot="1">
      <c r="B10" s="186" t="str">
        <f>'TAB 2 Project Specs'!B7</f>
        <v>New Construction</v>
      </c>
      <c r="C10" s="187"/>
      <c r="D10" s="188"/>
      <c r="E10" s="188"/>
      <c r="F10" s="50" t="s">
        <v>118</v>
      </c>
      <c r="G10" s="76">
        <f>'TAB 2 Project Specs'!D8</f>
        <v>0</v>
      </c>
      <c r="H10" s="28"/>
      <c r="I10" s="1628" t="str">
        <f>IF('TAB 2 Project Specs'!J7="","",'TAB 2 Project Specs'!J7)</f>
        <v/>
      </c>
      <c r="J10" s="1629"/>
      <c r="K10" s="7"/>
      <c r="L10" s="7"/>
      <c r="M10" s="169"/>
      <c r="N10" s="169"/>
      <c r="O10" s="169"/>
      <c r="P10" s="169"/>
      <c r="Q10" s="169" t="s">
        <v>327</v>
      </c>
      <c r="R10" s="173">
        <f>F22+F29+F32+F33</f>
        <v>3.4999999999999996E-2</v>
      </c>
      <c r="S10" s="169"/>
      <c r="T10" s="169"/>
      <c r="U10" s="169"/>
      <c r="V10" s="169"/>
      <c r="W10" s="169"/>
      <c r="X10" s="169"/>
      <c r="AF10" s="1181" t="s">
        <v>7885</v>
      </c>
      <c r="AG10" s="1182">
        <f>SUM(G15:G16)+SUM(G46:G47)+G92</f>
        <v>0</v>
      </c>
    </row>
    <row r="11" spans="1:42" ht="15" customHeight="1" thickBot="1">
      <c r="B11" s="189"/>
      <c r="C11" s="188"/>
      <c r="D11" s="190"/>
      <c r="E11" s="191" t="s">
        <v>143</v>
      </c>
      <c r="F11" s="191" t="s">
        <v>6745</v>
      </c>
      <c r="G11" s="559" t="s">
        <v>193</v>
      </c>
      <c r="H11" s="191" t="s">
        <v>192</v>
      </c>
      <c r="I11" s="560" t="s">
        <v>323</v>
      </c>
      <c r="J11" s="561"/>
      <c r="K11" s="7"/>
      <c r="L11" s="7"/>
      <c r="M11" s="169"/>
      <c r="N11" s="169"/>
      <c r="O11" s="169"/>
      <c r="P11" s="169"/>
      <c r="Q11" s="169"/>
      <c r="R11" s="169"/>
      <c r="S11" s="169"/>
      <c r="T11" s="169"/>
      <c r="U11" s="169"/>
      <c r="V11" s="169"/>
      <c r="W11" s="169" t="s">
        <v>7008</v>
      </c>
      <c r="X11" s="169"/>
    </row>
    <row r="12" spans="1:42" ht="19.5" customHeight="1" thickBot="1">
      <c r="B12" s="609"/>
      <c r="C12" s="193"/>
      <c r="D12" s="193" t="s">
        <v>6746</v>
      </c>
      <c r="E12" s="194"/>
      <c r="F12" s="52"/>
      <c r="G12" s="78">
        <f>+H12*G10</f>
        <v>0</v>
      </c>
      <c r="H12" s="91">
        <v>0</v>
      </c>
      <c r="I12" s="1630" t="str">
        <f>IF(AND(G10&gt;0,H12=0),S12,IF(H12&gt;M12,N12,""))</f>
        <v/>
      </c>
      <c r="J12" s="1624"/>
      <c r="K12" s="7"/>
      <c r="L12" s="7"/>
      <c r="M12" s="281" t="str">
        <f>IF(I10="","",INDEX($W$12:$W$26,MATCH(I10,$X$12:$X$26,0)))</f>
        <v/>
      </c>
      <c r="N12" s="169" t="s">
        <v>235</v>
      </c>
      <c r="O12" s="169"/>
      <c r="P12" s="169"/>
      <c r="S12" s="169" t="s">
        <v>7172</v>
      </c>
      <c r="T12" s="169"/>
      <c r="U12" s="169"/>
      <c r="V12" s="169"/>
      <c r="W12" s="690">
        <v>425</v>
      </c>
      <c r="X12" s="691" t="s">
        <v>249</v>
      </c>
      <c r="Y12" s="692"/>
      <c r="Z12" s="687"/>
      <c r="AC12" s="169" t="s">
        <v>170</v>
      </c>
      <c r="AD12" s="169">
        <v>275</v>
      </c>
      <c r="AF12" s="3" t="s">
        <v>7877</v>
      </c>
      <c r="AG12" s="3" t="s">
        <v>7880</v>
      </c>
      <c r="AH12" s="3" t="s">
        <v>7878</v>
      </c>
    </row>
    <row r="13" spans="1:42" ht="18" customHeight="1" thickBot="1">
      <c r="B13" s="426"/>
      <c r="C13" s="197"/>
      <c r="D13" s="197" t="s">
        <v>336</v>
      </c>
      <c r="E13" s="427" t="s">
        <v>238</v>
      </c>
      <c r="F13" s="428">
        <v>0.02</v>
      </c>
      <c r="G13" s="81">
        <f>F13*G$12</f>
        <v>0</v>
      </c>
      <c r="H13" s="81">
        <f>IF(G10=0,0,G13/G10)</f>
        <v>0</v>
      </c>
      <c r="I13" s="1636" t="str">
        <f>IF(F13&gt;M13,N13,"")</f>
        <v/>
      </c>
      <c r="J13" s="1637"/>
      <c r="K13" s="161"/>
      <c r="L13" s="161"/>
      <c r="M13" s="169">
        <v>2.5000000000000001E-2</v>
      </c>
      <c r="N13" s="169" t="s">
        <v>240</v>
      </c>
      <c r="O13" s="169"/>
      <c r="P13" s="169"/>
      <c r="R13" s="823" t="str">
        <f>IF($G$10&gt;0,F13,"")</f>
        <v/>
      </c>
      <c r="S13" s="169"/>
      <c r="T13" s="169"/>
      <c r="U13" s="169"/>
      <c r="V13" s="169"/>
      <c r="W13" s="693">
        <v>525</v>
      </c>
      <c r="X13" s="422" t="s">
        <v>246</v>
      </c>
      <c r="Y13" s="3"/>
      <c r="Z13" s="688"/>
      <c r="AC13" s="169" t="s">
        <v>9</v>
      </c>
      <c r="AD13" s="169">
        <v>235</v>
      </c>
      <c r="AG13" s="1178">
        <f>SUM(AG14:AG21)</f>
        <v>1</v>
      </c>
      <c r="AI13" s="1183" t="s">
        <v>7883</v>
      </c>
    </row>
    <row r="14" spans="1:42" ht="18" customHeight="1" thickBot="1">
      <c r="B14" s="132"/>
      <c r="C14" s="200"/>
      <c r="D14" s="200" t="str">
        <f>IF($I$5=$O$5,"",$S$14)</f>
        <v>General Conditions (DBB/DB)</v>
      </c>
      <c r="E14" s="724" t="str">
        <f>IF(I5=O5,"",T14)</f>
        <v>5% - 8%</v>
      </c>
      <c r="F14" s="722">
        <v>7.0000000000000007E-2</v>
      </c>
      <c r="G14" s="310">
        <f>IF(G10=0,0,IF($O$4=$O$5,0,F14*(G12+G16+G13)))</f>
        <v>0</v>
      </c>
      <c r="H14" s="310" t="str">
        <f>IF(G14=0,"",G14/G10)</f>
        <v/>
      </c>
      <c r="I14" s="1625" t="str">
        <f>IF($O$4&lt;&gt;$O$5,"",IF(F14&gt;M14,N14,""))</f>
        <v/>
      </c>
      <c r="J14" s="1626"/>
      <c r="K14" s="161"/>
      <c r="L14" s="161"/>
      <c r="M14" s="169">
        <v>0.08</v>
      </c>
      <c r="N14" s="169" t="s">
        <v>8067</v>
      </c>
      <c r="O14" s="169"/>
      <c r="P14" s="169"/>
      <c r="R14" s="823" t="str">
        <f>IF(AND($G$10&gt;0,I5&lt;&gt;O5),F14,"")</f>
        <v/>
      </c>
      <c r="S14" s="169" t="s">
        <v>6742</v>
      </c>
      <c r="T14" s="202" t="s">
        <v>8076</v>
      </c>
      <c r="U14" s="169"/>
      <c r="V14" s="169"/>
      <c r="W14" s="693">
        <v>575</v>
      </c>
      <c r="X14" s="422" t="s">
        <v>247</v>
      </c>
      <c r="Y14" s="3"/>
      <c r="Z14" s="688"/>
      <c r="AC14" s="169" t="s">
        <v>175</v>
      </c>
      <c r="AD14" s="169">
        <v>325</v>
      </c>
      <c r="AE14" t="s">
        <v>7855</v>
      </c>
      <c r="AF14" t="b">
        <f>$AG$10&lt;AU25</f>
        <v>1</v>
      </c>
      <c r="AG14">
        <f>IF(AF14=TRUE,1,0)</f>
        <v>1</v>
      </c>
      <c r="AI14" s="1164" t="str">
        <f>IF($O$4&lt;&gt;$O$5,"",IF(F17="","",IF(F17="0.00%",Q48,IF(F17=0,Q48,IF(F17&gt;M17,N17,"")))))</f>
        <v/>
      </c>
    </row>
    <row r="15" spans="1:42" ht="19.5" customHeight="1" thickBot="1">
      <c r="B15" s="429"/>
      <c r="C15" s="190"/>
      <c r="D15" s="190" t="s">
        <v>7526</v>
      </c>
      <c r="E15" s="430"/>
      <c r="F15" s="431"/>
      <c r="G15" s="78">
        <f>IF(G10=0,0,SUM(G12:G14))</f>
        <v>0</v>
      </c>
      <c r="H15" s="78">
        <f>IF(G15=0,0,G15/G10)</f>
        <v>0</v>
      </c>
      <c r="I15" s="1625"/>
      <c r="J15" s="1626"/>
      <c r="K15" s="161"/>
      <c r="L15" s="161"/>
      <c r="M15" s="169"/>
      <c r="N15" s="169"/>
      <c r="O15" s="169"/>
      <c r="P15" s="169"/>
      <c r="S15" s="169"/>
      <c r="T15" s="169"/>
      <c r="U15" s="169"/>
      <c r="V15" s="169"/>
      <c r="W15" s="693">
        <v>550</v>
      </c>
      <c r="X15" s="422" t="s">
        <v>362</v>
      </c>
      <c r="Y15" s="3"/>
      <c r="Z15" s="688"/>
      <c r="AC15" s="169" t="s">
        <v>176</v>
      </c>
      <c r="AD15" s="169">
        <v>300</v>
      </c>
      <c r="AE15" t="s">
        <v>7856</v>
      </c>
      <c r="AF15" t="b">
        <f>AND($AF$14=FALSE,$AG$10&lt;(AU26-0.001))</f>
        <v>0</v>
      </c>
      <c r="AG15">
        <f>IF(AF15=TRUE,2,0)</f>
        <v>0</v>
      </c>
      <c r="AI15" s="1165" t="str">
        <f>IF($O$4&lt;&gt;$O$5,"",IF(F18="","",IF(F18="0.00%",Q50,IF(F18=0,Q50,IF(F18&gt;M19,N18,"")))))</f>
        <v/>
      </c>
      <c r="AM15" s="1143">
        <f>SUM(AK25:AM25)</f>
        <v>1</v>
      </c>
      <c r="AP15" s="1143">
        <f>SUM(AN25:AP25)</f>
        <v>1</v>
      </c>
    </row>
    <row r="16" spans="1:42" ht="19.5" customHeight="1" thickBot="1">
      <c r="B16" s="195"/>
      <c r="C16" s="196"/>
      <c r="D16" s="197" t="s">
        <v>7523</v>
      </c>
      <c r="E16" s="198"/>
      <c r="F16" s="64"/>
      <c r="G16" s="91">
        <v>0</v>
      </c>
      <c r="H16" s="77">
        <f>IF(G10=0,0,G16/G10)</f>
        <v>0</v>
      </c>
      <c r="I16" s="1634"/>
      <c r="J16" s="1635"/>
      <c r="K16" s="7"/>
      <c r="L16" s="7"/>
      <c r="P16" s="169"/>
      <c r="S16" s="169"/>
      <c r="T16" s="169"/>
      <c r="U16" s="169"/>
      <c r="V16" s="169"/>
      <c r="W16" s="693">
        <v>650</v>
      </c>
      <c r="X16" s="422" t="s">
        <v>248</v>
      </c>
      <c r="Y16" s="3"/>
      <c r="Z16" s="688"/>
      <c r="AC16" s="169" t="s">
        <v>10</v>
      </c>
      <c r="AD16" s="169">
        <v>275</v>
      </c>
      <c r="AE16" t="s">
        <v>7857</v>
      </c>
      <c r="AF16" t="b">
        <f>IF($AF$14=TRUE,FALSE,IF($AF$15=TRUE,FALSE,IF($AG$10&lt;(AU27-0.001),TRUE,FALSE)))</f>
        <v>0</v>
      </c>
      <c r="AG16">
        <f>IF(AF16=TRUE,3,0)</f>
        <v>0</v>
      </c>
      <c r="AI16" s="1166" t="str">
        <f>IF($O$4&lt;&gt;$O$5,"",IF(F19="","",IF(F19="0.00%",Q49,IF(F19=0,Q49,IF(F19&gt;M18,N19,"")))))</f>
        <v/>
      </c>
      <c r="AM16" s="1143">
        <f t="shared" ref="AM16:AM22" si="0">SUM(AK26:AM26)</f>
        <v>1</v>
      </c>
      <c r="AP16" s="1143">
        <f t="shared" ref="AP16:AP22" si="1">SUM(AN26:AP26)</f>
        <v>1</v>
      </c>
    </row>
    <row r="17" spans="2:67" ht="17.25" customHeight="1" thickBot="1">
      <c r="B17" s="1650" t="str">
        <f>IF($O$4=$O$5,"CM Fees","")</f>
        <v/>
      </c>
      <c r="C17" s="1651"/>
      <c r="D17" s="590" t="str">
        <f>IF(I$5=$O$5,$S$17,"")</f>
        <v/>
      </c>
      <c r="E17" s="1244" t="str">
        <f>IF(I$5="CM at Risk",$T$17,"")</f>
        <v/>
      </c>
      <c r="F17" s="701" t="str">
        <f>IF($O$4&lt;&gt;$O$5,"",IF($G$10=0,"",IFERROR(G17/$G$20,"")))</f>
        <v/>
      </c>
      <c r="G17" s="1176">
        <f>IF($O$4&lt;&gt;$O$5,0,IF($G$10=0,0,INDEX($BG$25:$BG$32,MATCH($AG$13,$AF$25:$AF$32,0))))</f>
        <v>0</v>
      </c>
      <c r="H17" s="310">
        <f>IF(G10=0,0,G17/$G$10)</f>
        <v>0</v>
      </c>
      <c r="I17" s="1160"/>
      <c r="J17" s="1136"/>
      <c r="K17" s="257"/>
      <c r="L17" s="1197" t="str">
        <f>IF($O$4=$O$5,$G$20*$M17,"")</f>
        <v/>
      </c>
      <c r="M17" s="169">
        <v>8.5000000000000006E-3</v>
      </c>
      <c r="N17" s="169" t="s">
        <v>6932</v>
      </c>
      <c r="O17" s="169"/>
      <c r="P17" s="171">
        <f>IF($O$4=$O$5,G17,0)</f>
        <v>0</v>
      </c>
      <c r="S17" s="197" t="s">
        <v>6928</v>
      </c>
      <c r="T17" s="1243" t="s">
        <v>7881</v>
      </c>
      <c r="U17" s="432">
        <f>G17</f>
        <v>0</v>
      </c>
      <c r="V17" s="171">
        <f>G18</f>
        <v>0</v>
      </c>
      <c r="W17" s="693">
        <v>375</v>
      </c>
      <c r="X17" s="422" t="s">
        <v>251</v>
      </c>
      <c r="Y17" s="3"/>
      <c r="Z17" s="688"/>
      <c r="AC17" s="169"/>
      <c r="AD17" s="169"/>
      <c r="AE17" t="s">
        <v>7858</v>
      </c>
      <c r="AF17" t="b">
        <f>IF($AF$14=TRUE,FALSE,IF($AF$15=TRUE,FALSE,IF($AF$16=TRUE,FALSE,IF($AG$10&lt;(AU28-0.001),TRUE,FALSE))))</f>
        <v>0</v>
      </c>
      <c r="AG17">
        <f>IF(AF17=TRUE,4,0)</f>
        <v>0</v>
      </c>
      <c r="AI17" s="1167" t="str">
        <f>IF($O$4&lt;&gt;$O$5,"",IF(F48="","",IF(F48="0.00%",Q48,IF(F48=0,Q48,IF(F48&gt;M48,N48,"")))))</f>
        <v/>
      </c>
      <c r="AM17" s="1143">
        <f t="shared" si="0"/>
        <v>1</v>
      </c>
      <c r="AP17" s="1143">
        <f t="shared" si="1"/>
        <v>1</v>
      </c>
    </row>
    <row r="18" spans="2:67" ht="17.25" customHeight="1" thickBot="1">
      <c r="B18" s="1652"/>
      <c r="C18" s="1653"/>
      <c r="D18" s="1036" t="str">
        <f>IF($I$5=$O$5,$S$18,"")</f>
        <v/>
      </c>
      <c r="E18" s="1245" t="str">
        <f>IF(I$5="CM at Risk",$T$18,"")</f>
        <v/>
      </c>
      <c r="F18" s="701" t="str">
        <f>IF($O$4&lt;&gt;$O$5,"",IF($G$10=0,"",IFERROR(G18/$G$20,"")))</f>
        <v/>
      </c>
      <c r="G18" s="1176">
        <f>IF($O$4&lt;&gt;$O$5,0,IF($G$10=0,0,INDEX($BH$25:$BH$32,MATCH($AG$13,$AF$25:$AF$32,0))))</f>
        <v>0</v>
      </c>
      <c r="H18" s="310">
        <f>IF(G10=0,0,G18/G10)</f>
        <v>0</v>
      </c>
      <c r="I18" s="1161"/>
      <c r="J18" s="1162"/>
      <c r="K18" s="257"/>
      <c r="L18" s="1197" t="str">
        <f>IF($O$4=$O$5,$G$20*$M19,"")</f>
        <v/>
      </c>
      <c r="M18" s="169">
        <v>4.4999999999999998E-2</v>
      </c>
      <c r="N18" s="169" t="s">
        <v>6944</v>
      </c>
      <c r="O18" s="169"/>
      <c r="P18" s="171">
        <f>IF($O$4=$O$5,G19,0)</f>
        <v>0</v>
      </c>
      <c r="S18" s="169" t="s">
        <v>6930</v>
      </c>
      <c r="T18" s="1243" t="s">
        <v>7889</v>
      </c>
      <c r="U18" s="177" t="e">
        <f>F18*G15</f>
        <v>#VALUE!</v>
      </c>
      <c r="V18" s="171"/>
      <c r="W18" s="693">
        <v>450</v>
      </c>
      <c r="X18" s="422" t="s">
        <v>10</v>
      </c>
      <c r="Y18" s="3"/>
      <c r="Z18" s="688"/>
      <c r="AC18" s="169" t="s">
        <v>185</v>
      </c>
      <c r="AD18" s="169">
        <v>600</v>
      </c>
      <c r="AE18" t="s">
        <v>7859</v>
      </c>
      <c r="AF18" t="b">
        <f>IF($AF$14=TRUE,FALSE,IF($AF$15=TRUE,FALSE,IF($AF$16=TRUE,FALSE,IF($AF$17=TRUE,FALSE,IF($AG$10&lt;(AU29-0.001),TRUE,FALSE)))))</f>
        <v>0</v>
      </c>
      <c r="AG18">
        <f>IF(AF18=TRUE,5,0)</f>
        <v>0</v>
      </c>
      <c r="AI18" s="1168" t="str">
        <f>IF($O$4&lt;&gt;$O$5,"",IF(F49="","",IF(F49="0.00%",Q50,IF(F49=0,Q50,IF(F49&gt;M49,N49,"")))))</f>
        <v/>
      </c>
      <c r="AM18" s="1143">
        <f t="shared" si="0"/>
        <v>1</v>
      </c>
      <c r="AP18" s="1143">
        <f t="shared" si="1"/>
        <v>1</v>
      </c>
    </row>
    <row r="19" spans="2:67" ht="17.25" customHeight="1" thickBot="1">
      <c r="B19" s="1654"/>
      <c r="C19" s="1655"/>
      <c r="D19" s="1138" t="str">
        <f>IF(I$5=$O$5,$S$19,"")</f>
        <v/>
      </c>
      <c r="E19" s="1246" t="str">
        <f>IF(I$5="CM at Risk",$T$19,"")</f>
        <v/>
      </c>
      <c r="F19" s="701" t="str">
        <f>IF($O$4&lt;&gt;$O$5,"",IF($G$10=0,"",IFERROR(G19/$G$20,"")))</f>
        <v/>
      </c>
      <c r="G19" s="1176">
        <f>IF($O$4&lt;&gt;$O$5,0,IF($G$10=0,0,INDEX($BI$25:$BI$32,MATCH($AG$13,$AF$25:$AF$32,0))))</f>
        <v>0</v>
      </c>
      <c r="H19" s="310">
        <f>IF(G10=0,0,G19/$G$10)</f>
        <v>0</v>
      </c>
      <c r="I19" s="1163"/>
      <c r="J19" s="1137"/>
      <c r="K19" s="257"/>
      <c r="L19" s="1197" t="str">
        <f>IF($O$4=$O$5,$G$20*$M18,"")</f>
        <v/>
      </c>
      <c r="M19" s="169">
        <v>0.09</v>
      </c>
      <c r="N19" s="169" t="s">
        <v>6943</v>
      </c>
      <c r="O19" s="169"/>
      <c r="P19" s="171">
        <f>IF($O$4=$O$5,G18,0)</f>
        <v>0</v>
      </c>
      <c r="S19" s="136" t="s">
        <v>6929</v>
      </c>
      <c r="T19" s="1243" t="s">
        <v>7890</v>
      </c>
      <c r="U19" s="432"/>
      <c r="V19" s="169"/>
      <c r="W19" s="693">
        <v>450</v>
      </c>
      <c r="X19" s="422" t="s">
        <v>250</v>
      </c>
      <c r="Y19" s="3"/>
      <c r="Z19" s="688"/>
      <c r="AC19" s="169" t="s">
        <v>178</v>
      </c>
      <c r="AD19" s="169">
        <v>250</v>
      </c>
      <c r="AE19" t="s">
        <v>7860</v>
      </c>
      <c r="AF19" t="b">
        <f>IF($AF$14=TRUE,FALSE,IF($AF$15=TRUE,FALSE,IF($AF$16=TRUE,FALSE,IF($AF$17=TRUE,FALSE,IF($AF$18=TRUE,FALSE,IF($AG$10&lt;(AU30-0.001),TRUE,FALSE))))))</f>
        <v>0</v>
      </c>
      <c r="AG19">
        <f>IF(AF19=TRUE,6,0)</f>
        <v>0</v>
      </c>
      <c r="AI19" s="1168" t="str">
        <f>IF($O$4&lt;&gt;$O$5,"",IF(F50="","",IF(F50="0.00%",Q49,IF(F50=0,Q49,IF(F50&gt;M50,N50,"")))))</f>
        <v/>
      </c>
      <c r="AM19" s="1143">
        <f t="shared" si="0"/>
        <v>1</v>
      </c>
      <c r="AP19" s="1143">
        <f t="shared" si="1"/>
        <v>1</v>
      </c>
    </row>
    <row r="20" spans="2:67" ht="19.5" customHeight="1" thickBot="1">
      <c r="B20" s="132"/>
      <c r="C20" s="190" t="s">
        <v>6740</v>
      </c>
      <c r="D20" s="200"/>
      <c r="E20" s="201"/>
      <c r="F20" s="55"/>
      <c r="G20" s="78">
        <f>IF(O4=O5,INDEX($BD$25:$BD$32,MATCH($AG$13,$AF$25:$AF$32,0)),G15+G16)</f>
        <v>0</v>
      </c>
      <c r="H20" s="78">
        <f>IF(G10=0,0,G20/G10)</f>
        <v>0</v>
      </c>
      <c r="I20" s="1638"/>
      <c r="J20" s="1626"/>
      <c r="K20" s="257"/>
      <c r="L20" s="7"/>
      <c r="M20" s="169"/>
      <c r="N20" s="169"/>
      <c r="O20" s="169"/>
      <c r="P20" s="169"/>
      <c r="S20" s="169"/>
      <c r="T20" s="202" t="s">
        <v>6895</v>
      </c>
      <c r="U20" s="169"/>
      <c r="V20" s="169"/>
      <c r="W20" s="693">
        <v>450</v>
      </c>
      <c r="X20" s="422" t="s">
        <v>361</v>
      </c>
      <c r="Y20" s="3"/>
      <c r="Z20" s="688"/>
      <c r="AC20" s="169" t="s">
        <v>171</v>
      </c>
      <c r="AD20" s="169">
        <v>250</v>
      </c>
      <c r="AE20" t="s">
        <v>7861</v>
      </c>
      <c r="AF20" t="b">
        <f>IF($AF$14=TRUE,FALSE,IF($AF$15=TRUE,FALSE,IF($AF$16=TRUE,FALSE,IF($AF$17=TRUE,FALSE,IF($AF$18=TRUE,FALSE,IF($AF$19=TRUE,FALSE,IF($AG$10&lt;(AU31-0.001),TRUE,FALSE)))))))</f>
        <v>0</v>
      </c>
      <c r="AG20">
        <f>IF(AF20=TRUE,7,0)</f>
        <v>0</v>
      </c>
      <c r="AI20" s="1169" t="str">
        <f>IF($O$4&lt;&gt;$O$5,"",IF(F93="","",IF(F93="0.00%",Q93,IF(F93=0,Q93,IF(F93&gt;M93,N93,"")))))</f>
        <v/>
      </c>
      <c r="AM20" s="1143">
        <f t="shared" si="0"/>
        <v>1</v>
      </c>
      <c r="AP20" s="1143">
        <f t="shared" si="1"/>
        <v>1</v>
      </c>
    </row>
    <row r="21" spans="2:67" ht="19.5" customHeight="1" thickBot="1">
      <c r="B21" s="132"/>
      <c r="C21" s="190" t="s">
        <v>141</v>
      </c>
      <c r="D21" s="200"/>
      <c r="E21" s="602" t="s">
        <v>6764</v>
      </c>
      <c r="F21" s="79">
        <f>IF(G21=0,0,G21/G20)</f>
        <v>0</v>
      </c>
      <c r="G21" s="78">
        <f>SUM(G22:G29)+G32+G33</f>
        <v>0</v>
      </c>
      <c r="H21" s="78">
        <f>IF(G10=0,0,G21/G10)</f>
        <v>0</v>
      </c>
      <c r="I21" s="1625" t="str">
        <f>IF(F21&gt;M21,N21,"")</f>
        <v/>
      </c>
      <c r="J21" s="1626"/>
      <c r="K21" s="161"/>
      <c r="L21" s="161"/>
      <c r="M21" s="169">
        <v>0.27</v>
      </c>
      <c r="N21" s="169" t="s">
        <v>6765</v>
      </c>
      <c r="O21" s="169"/>
      <c r="P21" s="169"/>
      <c r="S21" s="169"/>
      <c r="T21" s="202" t="s">
        <v>6896</v>
      </c>
      <c r="U21" s="169"/>
      <c r="V21" s="169"/>
      <c r="W21" s="693">
        <v>450</v>
      </c>
      <c r="X21" s="422" t="s">
        <v>172</v>
      </c>
      <c r="Y21" s="3"/>
      <c r="Z21" s="688"/>
      <c r="AC21" s="169" t="s">
        <v>174</v>
      </c>
      <c r="AD21" s="169">
        <v>80</v>
      </c>
      <c r="AE21" t="s">
        <v>7862</v>
      </c>
      <c r="AF21" t="b">
        <f>IF($AF$14=TRUE,FALSE,IF($AF$15=TRUE,FALSE,IF($AF$16=TRUE,FALSE,IF($AF$17=TRUE,FALSE,IF($AF$18=TRUE,FALSE,IF($AF$19=TRUE,FALSE,IF($AF$20=TRUE,FALSE,IF($AG$10&gt;(AU32-0.001),TRUE,FALSE))))))))</f>
        <v>0</v>
      </c>
      <c r="AG21">
        <f>IF(AF21=TRUE,8,0)</f>
        <v>0</v>
      </c>
      <c r="AI21" s="1167" t="str">
        <f>IF($O$4&lt;&gt;$O$5,"",IF(F95="","",IF(F95="0.00%",Q95,IF(F95=0,Q95,IF(F95&gt;M94,N94,"")))))</f>
        <v/>
      </c>
      <c r="AM21" s="1143">
        <f t="shared" si="0"/>
        <v>1</v>
      </c>
      <c r="AP21" s="1143">
        <f t="shared" si="1"/>
        <v>1</v>
      </c>
    </row>
    <row r="22" spans="2:67" ht="18" customHeight="1" thickBot="1">
      <c r="B22" s="132"/>
      <c r="C22" s="200"/>
      <c r="D22" s="200" t="s">
        <v>6935</v>
      </c>
      <c r="E22" s="602" t="s">
        <v>6758</v>
      </c>
      <c r="F22" s="92">
        <v>1.4999999999999999E-2</v>
      </c>
      <c r="G22" s="77">
        <f>F22*(G20+G23+G24+G25+G26+G27+G28+G29+G32+G33)</f>
        <v>0</v>
      </c>
      <c r="H22" s="709"/>
      <c r="I22" s="1639" t="str">
        <f t="shared" ref="I22:I26" si="2">IF(F22&gt;M22,N22,"")</f>
        <v/>
      </c>
      <c r="J22" s="1640"/>
      <c r="K22" s="1380">
        <v>1.4999999999999999E-2</v>
      </c>
      <c r="L22" s="161"/>
      <c r="M22" s="169">
        <v>0.02</v>
      </c>
      <c r="N22" s="169" t="s">
        <v>6759</v>
      </c>
      <c r="O22" s="169"/>
      <c r="P22" s="169"/>
      <c r="R22" s="823" t="str">
        <f>IF($G$10&gt;0,F22,"")</f>
        <v/>
      </c>
      <c r="S22" s="169"/>
      <c r="T22" s="169"/>
      <c r="U22" s="169"/>
      <c r="V22" s="169"/>
      <c r="W22" s="693">
        <v>300</v>
      </c>
      <c r="X22" s="422" t="s">
        <v>173</v>
      </c>
      <c r="Y22" s="3"/>
      <c r="Z22" s="688"/>
      <c r="AC22" s="169" t="s">
        <v>173</v>
      </c>
      <c r="AD22" s="169">
        <v>150</v>
      </c>
      <c r="AI22" s="1170" t="str">
        <f>IF($O$4&lt;&gt;$O$5,"",IF(F94="","",IF(F94="0.00%",Q94,IF(F94=0,Q94,IF(F94&gt;M95,N95,"")))))</f>
        <v/>
      </c>
      <c r="AM22" s="1143">
        <f t="shared" si="0"/>
        <v>1</v>
      </c>
      <c r="AP22" s="1143">
        <f t="shared" si="1"/>
        <v>1</v>
      </c>
    </row>
    <row r="23" spans="2:67" ht="17.25" customHeight="1" thickTop="1" thickBot="1">
      <c r="B23" s="1597" t="s">
        <v>6937</v>
      </c>
      <c r="C23" s="1598"/>
      <c r="D23" s="610" t="s">
        <v>6936</v>
      </c>
      <c r="E23" s="599" t="s">
        <v>6934</v>
      </c>
      <c r="F23" s="600">
        <v>4.0000000000000001E-3</v>
      </c>
      <c r="G23" s="569">
        <f>F23*G$20</f>
        <v>0</v>
      </c>
      <c r="H23" s="707"/>
      <c r="I23" s="1623" t="str">
        <f t="shared" ref="I23" si="3">IF(F23&gt;M23,N23,"")</f>
        <v/>
      </c>
      <c r="J23" s="1624"/>
      <c r="K23" s="1380">
        <v>4.0000000000000001E-3</v>
      </c>
      <c r="L23" s="161"/>
      <c r="M23" s="169">
        <v>5.0000000000000001E-3</v>
      </c>
      <c r="N23" s="169" t="s">
        <v>6976</v>
      </c>
      <c r="O23" s="169"/>
      <c r="P23" s="169"/>
      <c r="R23" s="1139" t="str">
        <f t="shared" ref="R23:R29" si="4">IF($G$10&gt;0,F23,"")</f>
        <v/>
      </c>
      <c r="W23" s="693">
        <v>250</v>
      </c>
      <c r="X23" s="422" t="s">
        <v>174</v>
      </c>
      <c r="Y23" s="3"/>
      <c r="Z23" s="688"/>
      <c r="AC23" s="169" t="s">
        <v>172</v>
      </c>
      <c r="AD23" s="169">
        <v>250</v>
      </c>
      <c r="AK23" s="3" t="s">
        <v>7865</v>
      </c>
      <c r="AL23" s="3" t="s">
        <v>7863</v>
      </c>
      <c r="AN23" s="3" t="s">
        <v>7887</v>
      </c>
      <c r="AQ23" s="3" t="s">
        <v>7905</v>
      </c>
      <c r="AU23" s="1179" t="s">
        <v>7879</v>
      </c>
      <c r="AV23" s="1150" t="s">
        <v>1</v>
      </c>
      <c r="AW23" s="1142" t="s">
        <v>3</v>
      </c>
      <c r="AX23" s="1149" t="s">
        <v>0</v>
      </c>
      <c r="AY23" s="1150" t="s">
        <v>1</v>
      </c>
      <c r="AZ23" s="1142" t="s">
        <v>3</v>
      </c>
      <c r="BA23" s="1149" t="s">
        <v>0</v>
      </c>
      <c r="BB23" s="1150" t="s">
        <v>1</v>
      </c>
      <c r="BC23" s="1142" t="s">
        <v>3</v>
      </c>
      <c r="BD23" s="1157" t="s">
        <v>0</v>
      </c>
      <c r="BE23" s="1157" t="s">
        <v>1</v>
      </c>
      <c r="BF23" s="436" t="s">
        <v>3</v>
      </c>
      <c r="BG23" s="3" t="s">
        <v>0</v>
      </c>
      <c r="BJ23" s="3" t="s">
        <v>1</v>
      </c>
      <c r="BM23" s="3" t="s">
        <v>3</v>
      </c>
    </row>
    <row r="24" spans="2:67" ht="17.25" customHeight="1" thickTop="1" thickBot="1">
      <c r="B24" s="1599"/>
      <c r="C24" s="1600"/>
      <c r="D24" s="488" t="s">
        <v>6994</v>
      </c>
      <c r="E24" s="204" t="s">
        <v>6996</v>
      </c>
      <c r="F24" s="92">
        <v>0.05</v>
      </c>
      <c r="G24" s="77">
        <f>F24*G$20</f>
        <v>0</v>
      </c>
      <c r="H24" s="708"/>
      <c r="I24" s="672" t="str">
        <f t="shared" si="2"/>
        <v/>
      </c>
      <c r="J24" s="673"/>
      <c r="K24" s="1380">
        <v>0.05</v>
      </c>
      <c r="L24" s="161"/>
      <c r="M24" s="169">
        <v>5.5E-2</v>
      </c>
      <c r="N24" s="169" t="s">
        <v>6999</v>
      </c>
      <c r="O24" s="169"/>
      <c r="P24" s="169"/>
      <c r="R24" s="1139" t="str">
        <f t="shared" si="4"/>
        <v/>
      </c>
      <c r="W24" s="693">
        <v>1000</v>
      </c>
      <c r="X24" s="422" t="s">
        <v>124</v>
      </c>
      <c r="Y24" s="3"/>
      <c r="Z24" s="688"/>
      <c r="AC24" s="169" t="s">
        <v>123</v>
      </c>
      <c r="AD24" s="169">
        <v>150</v>
      </c>
      <c r="AF24" s="367"/>
      <c r="AG24" s="1157" t="s">
        <v>7854</v>
      </c>
      <c r="AH24" s="1212" t="s">
        <v>0</v>
      </c>
      <c r="AI24" s="1212" t="s">
        <v>1</v>
      </c>
      <c r="AJ24" s="1213" t="s">
        <v>3</v>
      </c>
      <c r="AK24" s="692" t="s">
        <v>7868</v>
      </c>
      <c r="AL24" s="692" t="s">
        <v>7869</v>
      </c>
      <c r="AM24" s="1142" t="s">
        <v>7867</v>
      </c>
      <c r="AN24" s="692" t="s">
        <v>7868</v>
      </c>
      <c r="AO24" s="692" t="s">
        <v>7869</v>
      </c>
      <c r="AP24" s="1142" t="s">
        <v>7867</v>
      </c>
      <c r="AQ24" s="692" t="s">
        <v>7868</v>
      </c>
      <c r="AR24" s="692" t="s">
        <v>7869</v>
      </c>
      <c r="AS24" s="1142" t="s">
        <v>7867</v>
      </c>
      <c r="AT24" s="180"/>
      <c r="AU24" s="1180" t="s">
        <v>7882</v>
      </c>
      <c r="AX24" s="693" t="s">
        <v>7875</v>
      </c>
      <c r="AY24" s="3" t="s">
        <v>7875</v>
      </c>
      <c r="AZ24" s="1151" t="s">
        <v>7875</v>
      </c>
      <c r="BA24" s="693" t="s">
        <v>7873</v>
      </c>
      <c r="BB24" s="3" t="s">
        <v>7873</v>
      </c>
      <c r="BC24" s="1151" t="s">
        <v>7873</v>
      </c>
      <c r="BD24" s="1" t="s">
        <v>6719</v>
      </c>
      <c r="BE24" s="1" t="s">
        <v>6719</v>
      </c>
      <c r="BF24" s="1"/>
      <c r="BG24" s="692" t="s">
        <v>7870</v>
      </c>
      <c r="BH24" s="692" t="s">
        <v>7871</v>
      </c>
      <c r="BI24" s="1142" t="s">
        <v>7872</v>
      </c>
      <c r="BJ24" s="692" t="s">
        <v>7870</v>
      </c>
      <c r="BK24" s="692" t="s">
        <v>7871</v>
      </c>
      <c r="BL24" s="1142" t="s">
        <v>7872</v>
      </c>
      <c r="BM24" s="692" t="s">
        <v>7870</v>
      </c>
      <c r="BN24" s="692" t="s">
        <v>7871</v>
      </c>
      <c r="BO24" s="1142" t="s">
        <v>7872</v>
      </c>
    </row>
    <row r="25" spans="2:67" ht="17.25" customHeight="1" thickBot="1">
      <c r="B25" s="1599"/>
      <c r="C25" s="1600"/>
      <c r="D25" s="611" t="s">
        <v>6995</v>
      </c>
      <c r="E25" s="603" t="s">
        <v>6997</v>
      </c>
      <c r="F25" s="428">
        <v>0.02</v>
      </c>
      <c r="G25" s="77">
        <f>F25*G$20</f>
        <v>0</v>
      </c>
      <c r="H25" s="708"/>
      <c r="I25" s="597" t="str">
        <f t="shared" ref="I25" si="5">IF(F25&gt;M25,N25,"")</f>
        <v/>
      </c>
      <c r="J25" s="684"/>
      <c r="K25" s="1380">
        <v>0.02</v>
      </c>
      <c r="L25" s="161"/>
      <c r="M25" s="169">
        <v>2.5000000000000001E-2</v>
      </c>
      <c r="N25" s="169" t="s">
        <v>6998</v>
      </c>
      <c r="O25" s="169"/>
      <c r="P25" s="169"/>
      <c r="Q25" s="169"/>
      <c r="R25" s="1139" t="str">
        <f t="shared" si="4"/>
        <v/>
      </c>
      <c r="W25" s="693">
        <v>300</v>
      </c>
      <c r="X25" s="422" t="s">
        <v>123</v>
      </c>
      <c r="Y25" s="3"/>
      <c r="Z25" s="688"/>
      <c r="AC25" s="169" t="s">
        <v>124</v>
      </c>
      <c r="AD25" s="169">
        <v>1000</v>
      </c>
      <c r="AF25" s="664">
        <v>1</v>
      </c>
      <c r="AG25" s="1158" t="s">
        <v>7855</v>
      </c>
      <c r="AH25" s="1230">
        <v>0.11</v>
      </c>
      <c r="AI25" s="1231">
        <v>0.125</v>
      </c>
      <c r="AJ25" s="1231">
        <v>0.1</v>
      </c>
      <c r="AK25" s="1143">
        <v>6.5000000000000002E-2</v>
      </c>
      <c r="AL25" s="1143">
        <f>1-AM25-AK25</f>
        <v>0.60000000000000009</v>
      </c>
      <c r="AM25" s="1144">
        <v>0.33500000000000002</v>
      </c>
      <c r="AN25" s="1143">
        <v>7.4999999999999997E-2</v>
      </c>
      <c r="AO25" s="1143">
        <f>1-AP25-AN25</f>
        <v>0.59000000000000008</v>
      </c>
      <c r="AP25" s="1144">
        <v>0.33500000000000002</v>
      </c>
      <c r="AQ25" s="1214">
        <f>AK25</f>
        <v>6.5000000000000002E-2</v>
      </c>
      <c r="AR25" s="1214">
        <f t="shared" ref="AR25:AS25" si="6">AL25</f>
        <v>0.60000000000000009</v>
      </c>
      <c r="AS25" s="1214">
        <f t="shared" si="6"/>
        <v>0.33500000000000002</v>
      </c>
      <c r="AT25" s="180">
        <v>5000000</v>
      </c>
      <c r="AU25" s="803">
        <f t="shared" ref="AU25:AW31" si="7">$AT25*(1-AH25)</f>
        <v>4450000</v>
      </c>
      <c r="AV25">
        <f t="shared" si="7"/>
        <v>4375000</v>
      </c>
      <c r="AW25">
        <f t="shared" si="7"/>
        <v>4500000</v>
      </c>
      <c r="AX25" s="1152">
        <f t="shared" ref="AX25:AX32" si="8">SUM($G$15:$G$16)*(AH25)</f>
        <v>0</v>
      </c>
      <c r="AY25" s="180">
        <f t="shared" ref="AY25:AY32" si="9">SUM($G$46:$G$47)*(AI25)</f>
        <v>0</v>
      </c>
      <c r="AZ25" s="1153">
        <f t="shared" ref="AZ25:AZ32" si="10">$G$92*AJ25</f>
        <v>0</v>
      </c>
      <c r="BA25" s="1152">
        <f>ROUND(AX25,-4)</f>
        <v>0</v>
      </c>
      <c r="BB25" s="180">
        <f>ROUND(AY25,-4)</f>
        <v>0</v>
      </c>
      <c r="BC25" s="1153">
        <f>ROUND(AZ25,-4)</f>
        <v>0</v>
      </c>
      <c r="BD25" s="780">
        <f>SUM($G$15:$G$16)+BA25</f>
        <v>0</v>
      </c>
      <c r="BE25" s="780">
        <f>SUM($G$46:$G$47)+BB25</f>
        <v>0</v>
      </c>
      <c r="BF25" s="780">
        <f>$G$92+BC25</f>
        <v>0</v>
      </c>
      <c r="BG25" s="311">
        <f t="shared" ref="BG25:BI32" si="11">$BA25*AK25</f>
        <v>0</v>
      </c>
      <c r="BH25" s="311">
        <f t="shared" si="11"/>
        <v>0</v>
      </c>
      <c r="BI25" s="311">
        <f t="shared" si="11"/>
        <v>0</v>
      </c>
      <c r="BJ25" s="311">
        <f t="shared" ref="BJ25:BL32" si="12">$BB25*AK25</f>
        <v>0</v>
      </c>
      <c r="BK25" s="311">
        <f t="shared" si="12"/>
        <v>0</v>
      </c>
      <c r="BL25" s="311">
        <f t="shared" si="12"/>
        <v>0</v>
      </c>
      <c r="BM25" s="311">
        <f t="shared" ref="BM25:BO32" si="13">$BC25*AK25</f>
        <v>0</v>
      </c>
      <c r="BN25" s="311">
        <f t="shared" si="13"/>
        <v>0</v>
      </c>
      <c r="BO25" s="311">
        <f t="shared" si="13"/>
        <v>0</v>
      </c>
    </row>
    <row r="26" spans="2:67" ht="17.25" customHeight="1" thickBot="1">
      <c r="B26" s="1601"/>
      <c r="C26" s="1602"/>
      <c r="D26" s="611" t="s">
        <v>417</v>
      </c>
      <c r="E26" s="603" t="s">
        <v>6749</v>
      </c>
      <c r="F26" s="428">
        <v>1.4999999999999999E-2</v>
      </c>
      <c r="G26" s="81">
        <f>F26*G$20</f>
        <v>0</v>
      </c>
      <c r="H26" s="710"/>
      <c r="I26" s="1622" t="str">
        <f t="shared" si="2"/>
        <v/>
      </c>
      <c r="J26" s="1615"/>
      <c r="K26" s="1380">
        <v>1.4999999999999999E-2</v>
      </c>
      <c r="L26" s="161"/>
      <c r="M26" s="169">
        <v>0.03</v>
      </c>
      <c r="N26" s="169" t="s">
        <v>6750</v>
      </c>
      <c r="O26" s="169"/>
      <c r="P26" s="169"/>
      <c r="Q26" s="437">
        <f>$G$20*$M$17</f>
        <v>0</v>
      </c>
      <c r="R26" s="1139" t="str">
        <f t="shared" si="4"/>
        <v/>
      </c>
      <c r="W26" s="694">
        <v>400</v>
      </c>
      <c r="X26" s="695" t="s">
        <v>4</v>
      </c>
      <c r="Y26" s="696"/>
      <c r="Z26" s="689"/>
      <c r="AF26" s="664">
        <v>2</v>
      </c>
      <c r="AG26" s="1158" t="s">
        <v>7856</v>
      </c>
      <c r="AH26" s="1232">
        <v>0.11</v>
      </c>
      <c r="AI26" s="1232">
        <v>0.125</v>
      </c>
      <c r="AJ26" s="1232">
        <v>0.09</v>
      </c>
      <c r="AK26" s="1143">
        <v>6.5000000000000002E-2</v>
      </c>
      <c r="AL26" s="1143">
        <f>1-AM26-AK26</f>
        <v>0.59499999999999997</v>
      </c>
      <c r="AM26" s="1144">
        <v>0.34</v>
      </c>
      <c r="AN26" s="1143">
        <v>7.0000000000000007E-2</v>
      </c>
      <c r="AO26" s="1143">
        <f>1-AP26-AN26</f>
        <v>0.58999999999999986</v>
      </c>
      <c r="AP26" s="1144">
        <v>0.34</v>
      </c>
      <c r="AQ26" s="1214">
        <f t="shared" ref="AQ26:AQ32" si="14">AK26</f>
        <v>6.5000000000000002E-2</v>
      </c>
      <c r="AR26" s="1214">
        <f t="shared" ref="AR26:AR32" si="15">AL26</f>
        <v>0.59499999999999997</v>
      </c>
      <c r="AS26" s="1214">
        <f t="shared" ref="AS26:AS32" si="16">AM26</f>
        <v>0.34</v>
      </c>
      <c r="AT26" s="180">
        <v>10000000</v>
      </c>
      <c r="AU26" s="803">
        <f t="shared" si="7"/>
        <v>8900000</v>
      </c>
      <c r="AV26">
        <f t="shared" si="7"/>
        <v>8750000</v>
      </c>
      <c r="AW26">
        <f t="shared" si="7"/>
        <v>9100000</v>
      </c>
      <c r="AX26" s="1152">
        <f t="shared" si="8"/>
        <v>0</v>
      </c>
      <c r="AY26" s="180">
        <f t="shared" si="9"/>
        <v>0</v>
      </c>
      <c r="AZ26" s="1153">
        <f t="shared" si="10"/>
        <v>0</v>
      </c>
      <c r="BA26" s="1152">
        <f t="shared" ref="BA26:BA32" si="17">ROUND(AX26,-4)</f>
        <v>0</v>
      </c>
      <c r="BB26" s="180">
        <f t="shared" ref="BB26:BC32" si="18">ROUND(AY26,-4)</f>
        <v>0</v>
      </c>
      <c r="BC26" s="1153">
        <f t="shared" si="18"/>
        <v>0</v>
      </c>
      <c r="BD26" s="780">
        <f t="shared" ref="BD26:BD32" si="19">SUM($G$15:$G$16)+BA26</f>
        <v>0</v>
      </c>
      <c r="BE26" s="780">
        <f t="shared" ref="BE26:BE32" si="20">SUM($G$46:$G$47)+BB26</f>
        <v>0</v>
      </c>
      <c r="BF26" s="780">
        <f t="shared" ref="BF26:BF32" si="21">$G$92+BC26</f>
        <v>0</v>
      </c>
      <c r="BG26" s="311">
        <f t="shared" si="11"/>
        <v>0</v>
      </c>
      <c r="BH26" s="311">
        <f t="shared" si="11"/>
        <v>0</v>
      </c>
      <c r="BI26" s="311">
        <f t="shared" si="11"/>
        <v>0</v>
      </c>
      <c r="BJ26" s="311">
        <f t="shared" si="12"/>
        <v>0</v>
      </c>
      <c r="BK26" s="311">
        <f t="shared" si="12"/>
        <v>0</v>
      </c>
      <c r="BL26" s="311">
        <f t="shared" si="12"/>
        <v>0</v>
      </c>
      <c r="BM26" s="311">
        <f t="shared" si="13"/>
        <v>0</v>
      </c>
      <c r="BN26" s="311">
        <f t="shared" si="13"/>
        <v>0</v>
      </c>
      <c r="BO26" s="311">
        <f t="shared" si="13"/>
        <v>0</v>
      </c>
    </row>
    <row r="27" spans="2:67" ht="17.25" customHeight="1" thickBot="1">
      <c r="B27" s="1597" t="s">
        <v>6938</v>
      </c>
      <c r="C27" s="1603"/>
      <c r="D27" s="590" t="s">
        <v>377</v>
      </c>
      <c r="E27" s="606" t="s">
        <v>6748</v>
      </c>
      <c r="F27" s="607">
        <v>0.1</v>
      </c>
      <c r="G27" s="570">
        <f t="shared" ref="G27:G28" si="22">F27*G$20</f>
        <v>0</v>
      </c>
      <c r="H27" s="601"/>
      <c r="I27" s="1659" t="str">
        <f>IF(F27&gt;M27,N27,IF(F27&lt;P27,O27,""))</f>
        <v/>
      </c>
      <c r="J27" s="1660"/>
      <c r="K27" s="1380">
        <v>0.1</v>
      </c>
      <c r="L27" s="161"/>
      <c r="M27" s="169">
        <v>0.1</v>
      </c>
      <c r="N27" s="169" t="s">
        <v>188</v>
      </c>
      <c r="O27" s="169" t="s">
        <v>322</v>
      </c>
      <c r="P27" s="169">
        <v>0.08</v>
      </c>
      <c r="Q27" s="437">
        <f>$G$20*$M$18</f>
        <v>0</v>
      </c>
      <c r="R27" s="1139" t="str">
        <f t="shared" si="4"/>
        <v/>
      </c>
      <c r="W27" s="169"/>
      <c r="X27" s="169"/>
      <c r="AF27" s="1216">
        <v>3</v>
      </c>
      <c r="AG27" s="1217" t="s">
        <v>7857</v>
      </c>
      <c r="AH27" s="1233">
        <v>8.5000000000000006E-2</v>
      </c>
      <c r="AI27" s="1233">
        <v>8.5000000000000006E-2</v>
      </c>
      <c r="AJ27" s="1233">
        <v>7.4999999999999997E-2</v>
      </c>
      <c r="AK27" s="1218">
        <v>3.5000000000000003E-2</v>
      </c>
      <c r="AL27" s="1218">
        <f t="shared" ref="AL27:AL29" si="23">1-AM27-AK27</f>
        <v>0.60499999999999998</v>
      </c>
      <c r="AM27" s="1219">
        <v>0.36</v>
      </c>
      <c r="AN27" s="1218">
        <v>3.5000000000000003E-2</v>
      </c>
      <c r="AO27" s="1218">
        <f t="shared" ref="AO27:AO32" si="24">1-AP27-AN27</f>
        <v>0.60499999999999998</v>
      </c>
      <c r="AP27" s="1219">
        <v>0.36</v>
      </c>
      <c r="AQ27" s="1220">
        <f t="shared" si="14"/>
        <v>3.5000000000000003E-2</v>
      </c>
      <c r="AR27" s="1220">
        <f t="shared" si="15"/>
        <v>0.60499999999999998</v>
      </c>
      <c r="AS27" s="1220">
        <f t="shared" si="16"/>
        <v>0.36</v>
      </c>
      <c r="AT27" s="180">
        <v>15000000</v>
      </c>
      <c r="AU27" s="803">
        <f t="shared" si="7"/>
        <v>13725000</v>
      </c>
      <c r="AV27">
        <f t="shared" si="7"/>
        <v>13725000</v>
      </c>
      <c r="AW27">
        <f t="shared" si="7"/>
        <v>13875000</v>
      </c>
      <c r="AX27" s="1152">
        <f t="shared" si="8"/>
        <v>0</v>
      </c>
      <c r="AY27" s="180">
        <f t="shared" si="9"/>
        <v>0</v>
      </c>
      <c r="AZ27" s="1153">
        <f t="shared" si="10"/>
        <v>0</v>
      </c>
      <c r="BA27" s="1152">
        <f t="shared" si="17"/>
        <v>0</v>
      </c>
      <c r="BB27" s="180">
        <f t="shared" si="18"/>
        <v>0</v>
      </c>
      <c r="BC27" s="1153">
        <f t="shared" si="18"/>
        <v>0</v>
      </c>
      <c r="BD27" s="780">
        <f t="shared" si="19"/>
        <v>0</v>
      </c>
      <c r="BE27" s="780">
        <f t="shared" si="20"/>
        <v>0</v>
      </c>
      <c r="BF27" s="780">
        <f t="shared" si="21"/>
        <v>0</v>
      </c>
      <c r="BG27" s="311">
        <f t="shared" si="11"/>
        <v>0</v>
      </c>
      <c r="BH27" s="311">
        <f t="shared" si="11"/>
        <v>0</v>
      </c>
      <c r="BI27" s="311">
        <f t="shared" si="11"/>
        <v>0</v>
      </c>
      <c r="BJ27" s="311">
        <f t="shared" si="12"/>
        <v>0</v>
      </c>
      <c r="BK27" s="311">
        <f t="shared" si="12"/>
        <v>0</v>
      </c>
      <c r="BL27" s="311">
        <f t="shared" si="12"/>
        <v>0</v>
      </c>
      <c r="BM27" s="311">
        <f t="shared" si="13"/>
        <v>0</v>
      </c>
      <c r="BN27" s="311">
        <f t="shared" si="13"/>
        <v>0</v>
      </c>
      <c r="BO27" s="311">
        <f t="shared" si="13"/>
        <v>0</v>
      </c>
    </row>
    <row r="28" spans="2:67" ht="17.25" customHeight="1" thickBot="1">
      <c r="B28" s="1604"/>
      <c r="C28" s="1605"/>
      <c r="D28" s="591" t="s">
        <v>378</v>
      </c>
      <c r="E28" s="282" t="s">
        <v>6752</v>
      </c>
      <c r="F28" s="608">
        <v>2.5000000000000001E-2</v>
      </c>
      <c r="G28" s="575">
        <f t="shared" si="22"/>
        <v>0</v>
      </c>
      <c r="H28" s="710"/>
      <c r="I28" s="1622" t="str">
        <f t="shared" ref="I28" si="25">IF(F28&gt;M28,N28,"")</f>
        <v/>
      </c>
      <c r="J28" s="1615"/>
      <c r="K28" s="1380">
        <v>2.5000000000000001E-2</v>
      </c>
      <c r="L28" s="161"/>
      <c r="M28" s="169">
        <v>3.5000000000000003E-2</v>
      </c>
      <c r="N28" s="169" t="s">
        <v>6753</v>
      </c>
      <c r="O28" s="169"/>
      <c r="P28" s="169"/>
      <c r="Q28" s="437">
        <f>$G$20*$M$19</f>
        <v>0</v>
      </c>
      <c r="R28" s="1139" t="str">
        <f t="shared" si="4"/>
        <v/>
      </c>
      <c r="W28" s="169"/>
      <c r="X28" s="169" t="s">
        <v>151</v>
      </c>
      <c r="AF28" s="664">
        <v>4</v>
      </c>
      <c r="AG28" s="169" t="s">
        <v>7858</v>
      </c>
      <c r="AH28" s="1230">
        <v>0.08</v>
      </c>
      <c r="AI28" s="1230">
        <v>0.08</v>
      </c>
      <c r="AJ28" s="1230">
        <v>7.4999999999999997E-2</v>
      </c>
      <c r="AK28" s="1143">
        <v>3.5000000000000003E-2</v>
      </c>
      <c r="AL28" s="1143">
        <f t="shared" si="23"/>
        <v>0.61</v>
      </c>
      <c r="AM28" s="1144">
        <v>0.35499999999999998</v>
      </c>
      <c r="AN28" s="1143">
        <v>3.5000000000000003E-2</v>
      </c>
      <c r="AO28" s="1143">
        <f t="shared" si="24"/>
        <v>0.61</v>
      </c>
      <c r="AP28" s="1144">
        <v>0.35499999999999998</v>
      </c>
      <c r="AQ28" s="1214">
        <f t="shared" si="14"/>
        <v>3.5000000000000003E-2</v>
      </c>
      <c r="AR28" s="1214">
        <f t="shared" si="15"/>
        <v>0.61</v>
      </c>
      <c r="AS28" s="1214">
        <f t="shared" si="16"/>
        <v>0.35499999999999998</v>
      </c>
      <c r="AT28" s="180">
        <v>20000000</v>
      </c>
      <c r="AU28" s="803">
        <f t="shared" si="7"/>
        <v>18400000</v>
      </c>
      <c r="AV28">
        <f t="shared" si="7"/>
        <v>18400000</v>
      </c>
      <c r="AW28">
        <f t="shared" si="7"/>
        <v>18500000</v>
      </c>
      <c r="AX28" s="1152">
        <f t="shared" si="8"/>
        <v>0</v>
      </c>
      <c r="AY28" s="180">
        <f t="shared" si="9"/>
        <v>0</v>
      </c>
      <c r="AZ28" s="1153">
        <f t="shared" si="10"/>
        <v>0</v>
      </c>
      <c r="BA28" s="1152">
        <f t="shared" si="17"/>
        <v>0</v>
      </c>
      <c r="BB28" s="180">
        <f t="shared" si="18"/>
        <v>0</v>
      </c>
      <c r="BC28" s="1153">
        <f t="shared" si="18"/>
        <v>0</v>
      </c>
      <c r="BD28" s="780">
        <f t="shared" si="19"/>
        <v>0</v>
      </c>
      <c r="BE28" s="780">
        <f t="shared" si="20"/>
        <v>0</v>
      </c>
      <c r="BF28" s="780">
        <f t="shared" si="21"/>
        <v>0</v>
      </c>
      <c r="BG28" s="311">
        <f t="shared" si="11"/>
        <v>0</v>
      </c>
      <c r="BH28" s="311">
        <f t="shared" si="11"/>
        <v>0</v>
      </c>
      <c r="BI28" s="311">
        <f t="shared" si="11"/>
        <v>0</v>
      </c>
      <c r="BJ28" s="311">
        <f t="shared" si="12"/>
        <v>0</v>
      </c>
      <c r="BK28" s="311">
        <f t="shared" si="12"/>
        <v>0</v>
      </c>
      <c r="BL28" s="311">
        <f t="shared" si="12"/>
        <v>0</v>
      </c>
      <c r="BM28" s="311">
        <f t="shared" si="13"/>
        <v>0</v>
      </c>
      <c r="BN28" s="311">
        <f t="shared" si="13"/>
        <v>0</v>
      </c>
      <c r="BO28" s="311">
        <f t="shared" si="13"/>
        <v>0</v>
      </c>
    </row>
    <row r="29" spans="2:67" ht="18" customHeight="1" thickBot="1">
      <c r="B29" s="605"/>
      <c r="C29" s="598"/>
      <c r="D29" s="598" t="s">
        <v>14</v>
      </c>
      <c r="E29" s="604" t="s">
        <v>145</v>
      </c>
      <c r="F29" s="600">
        <v>5.0000000000000001E-3</v>
      </c>
      <c r="G29" s="569">
        <f>F29*G$20</f>
        <v>0</v>
      </c>
      <c r="H29" s="601"/>
      <c r="I29" s="1659" t="str">
        <f>IF(F29&gt;M29,N29,"")</f>
        <v/>
      </c>
      <c r="J29" s="1660"/>
      <c r="K29" s="1148">
        <v>5.0000000000000001E-3</v>
      </c>
      <c r="L29" s="7"/>
      <c r="M29" s="169">
        <v>1.4999999999999999E-2</v>
      </c>
      <c r="N29" s="169" t="s">
        <v>241</v>
      </c>
      <c r="O29" s="169"/>
      <c r="P29" s="169"/>
      <c r="R29" s="1139" t="str">
        <f t="shared" si="4"/>
        <v/>
      </c>
      <c r="W29" s="169"/>
      <c r="X29" s="169"/>
      <c r="AF29" s="1221">
        <v>5</v>
      </c>
      <c r="AG29" s="1222" t="s">
        <v>7859</v>
      </c>
      <c r="AH29" s="1234">
        <v>0.08</v>
      </c>
      <c r="AI29" s="1234">
        <v>0.08</v>
      </c>
      <c r="AJ29" s="1234">
        <v>7.0000000000000007E-2</v>
      </c>
      <c r="AK29" s="1223">
        <v>3.5000000000000003E-2</v>
      </c>
      <c r="AL29" s="1223">
        <f t="shared" si="23"/>
        <v>0.61499999999999999</v>
      </c>
      <c r="AM29" s="1224">
        <v>0.35</v>
      </c>
      <c r="AN29" s="1223">
        <v>3.5000000000000003E-2</v>
      </c>
      <c r="AO29" s="1223">
        <f t="shared" si="24"/>
        <v>0.61499999999999999</v>
      </c>
      <c r="AP29" s="1224">
        <v>0.35</v>
      </c>
      <c r="AQ29" s="1225">
        <f t="shared" si="14"/>
        <v>3.5000000000000003E-2</v>
      </c>
      <c r="AR29" s="1225">
        <f t="shared" si="15"/>
        <v>0.61499999999999999</v>
      </c>
      <c r="AS29" s="1225">
        <f t="shared" si="16"/>
        <v>0.35</v>
      </c>
      <c r="AT29" s="180">
        <v>30000000</v>
      </c>
      <c r="AU29" s="803">
        <f t="shared" si="7"/>
        <v>27600000</v>
      </c>
      <c r="AV29">
        <f t="shared" si="7"/>
        <v>27600000</v>
      </c>
      <c r="AW29">
        <f t="shared" si="7"/>
        <v>27899999.999999996</v>
      </c>
      <c r="AX29" s="1152">
        <f t="shared" si="8"/>
        <v>0</v>
      </c>
      <c r="AY29" s="180">
        <f t="shared" si="9"/>
        <v>0</v>
      </c>
      <c r="AZ29" s="1153">
        <f t="shared" si="10"/>
        <v>0</v>
      </c>
      <c r="BA29" s="1152">
        <f t="shared" si="17"/>
        <v>0</v>
      </c>
      <c r="BB29" s="180">
        <f t="shared" si="18"/>
        <v>0</v>
      </c>
      <c r="BC29" s="1153">
        <f t="shared" si="18"/>
        <v>0</v>
      </c>
      <c r="BD29" s="780">
        <f t="shared" si="19"/>
        <v>0</v>
      </c>
      <c r="BE29" s="780">
        <f t="shared" si="20"/>
        <v>0</v>
      </c>
      <c r="BF29" s="780">
        <f t="shared" si="21"/>
        <v>0</v>
      </c>
      <c r="BG29" s="311">
        <f t="shared" si="11"/>
        <v>0</v>
      </c>
      <c r="BH29" s="311">
        <f t="shared" si="11"/>
        <v>0</v>
      </c>
      <c r="BI29" s="311">
        <f t="shared" si="11"/>
        <v>0</v>
      </c>
      <c r="BJ29" s="311">
        <f t="shared" si="12"/>
        <v>0</v>
      </c>
      <c r="BK29" s="311">
        <f t="shared" si="12"/>
        <v>0</v>
      </c>
      <c r="BL29" s="311">
        <f t="shared" si="12"/>
        <v>0</v>
      </c>
      <c r="BM29" s="311">
        <f t="shared" si="13"/>
        <v>0</v>
      </c>
      <c r="BN29" s="311">
        <f t="shared" si="13"/>
        <v>0</v>
      </c>
      <c r="BO29" s="311">
        <f t="shared" si="13"/>
        <v>0</v>
      </c>
    </row>
    <row r="30" spans="2:67" ht="19.5" customHeight="1" thickBot="1">
      <c r="B30" s="159"/>
      <c r="C30" s="206" t="s">
        <v>5</v>
      </c>
      <c r="D30" s="207"/>
      <c r="E30" s="208"/>
      <c r="F30" s="361"/>
      <c r="G30" s="80">
        <f>G20+SUM(G22:G29)</f>
        <v>0</v>
      </c>
      <c r="H30" s="81">
        <f>IF(G10=0,0,G30/G10)</f>
        <v>0</v>
      </c>
      <c r="I30" s="550"/>
      <c r="J30" s="551"/>
      <c r="K30" s="7"/>
      <c r="L30" s="7"/>
      <c r="M30" s="169"/>
      <c r="N30" s="169"/>
      <c r="O30" s="169"/>
      <c r="P30" s="169"/>
      <c r="W30" s="169"/>
      <c r="X30" s="169"/>
      <c r="AF30" s="664">
        <v>6</v>
      </c>
      <c r="AG30" s="1158" t="s">
        <v>7860</v>
      </c>
      <c r="AH30" s="1215">
        <v>8.5000000000000006E-2</v>
      </c>
      <c r="AI30" s="1215">
        <v>8.5000000000000006E-2</v>
      </c>
      <c r="AJ30" s="1215">
        <v>6.5000000000000002E-2</v>
      </c>
      <c r="AK30" s="1143">
        <v>3.5000000000000003E-2</v>
      </c>
      <c r="AL30" s="1143">
        <v>0.63</v>
      </c>
      <c r="AM30" s="1144">
        <f>1-SUM(AK30:AL30)</f>
        <v>0.33499999999999996</v>
      </c>
      <c r="AN30" s="1143">
        <v>0.04</v>
      </c>
      <c r="AO30" s="1143">
        <f t="shared" si="24"/>
        <v>0.625</v>
      </c>
      <c r="AP30" s="1144">
        <v>0.33500000000000002</v>
      </c>
      <c r="AQ30" s="1214">
        <f t="shared" si="14"/>
        <v>3.5000000000000003E-2</v>
      </c>
      <c r="AR30" s="1214">
        <f t="shared" si="15"/>
        <v>0.63</v>
      </c>
      <c r="AS30" s="1214">
        <f t="shared" si="16"/>
        <v>0.33499999999999996</v>
      </c>
      <c r="AT30" s="180">
        <v>40000000</v>
      </c>
      <c r="AU30" s="803">
        <f t="shared" si="7"/>
        <v>36600000</v>
      </c>
      <c r="AV30">
        <f t="shared" si="7"/>
        <v>36600000</v>
      </c>
      <c r="AW30">
        <f t="shared" si="7"/>
        <v>37400000</v>
      </c>
      <c r="AX30" s="1152">
        <f t="shared" si="8"/>
        <v>0</v>
      </c>
      <c r="AY30" s="180">
        <f t="shared" si="9"/>
        <v>0</v>
      </c>
      <c r="AZ30" s="1153">
        <f t="shared" si="10"/>
        <v>0</v>
      </c>
      <c r="BA30" s="1152">
        <f t="shared" si="17"/>
        <v>0</v>
      </c>
      <c r="BB30" s="180">
        <f t="shared" si="18"/>
        <v>0</v>
      </c>
      <c r="BC30" s="1153">
        <f t="shared" si="18"/>
        <v>0</v>
      </c>
      <c r="BD30" s="780">
        <f t="shared" si="19"/>
        <v>0</v>
      </c>
      <c r="BE30" s="780">
        <f t="shared" si="20"/>
        <v>0</v>
      </c>
      <c r="BF30" s="780">
        <f t="shared" si="21"/>
        <v>0</v>
      </c>
      <c r="BG30" s="311">
        <f t="shared" si="11"/>
        <v>0</v>
      </c>
      <c r="BH30" s="311">
        <f t="shared" si="11"/>
        <v>0</v>
      </c>
      <c r="BI30" s="311">
        <f t="shared" si="11"/>
        <v>0</v>
      </c>
      <c r="BJ30" s="311">
        <f t="shared" si="12"/>
        <v>0</v>
      </c>
      <c r="BK30" s="311">
        <f t="shared" si="12"/>
        <v>0</v>
      </c>
      <c r="BL30" s="311">
        <f t="shared" si="12"/>
        <v>0</v>
      </c>
      <c r="BM30" s="311">
        <f t="shared" si="13"/>
        <v>0</v>
      </c>
      <c r="BN30" s="311">
        <f t="shared" si="13"/>
        <v>0</v>
      </c>
      <c r="BO30" s="311">
        <f t="shared" si="13"/>
        <v>0</v>
      </c>
    </row>
    <row r="31" spans="2:67" ht="19.5" customHeight="1" thickBot="1">
      <c r="B31" s="132"/>
      <c r="C31" s="190" t="s">
        <v>6942</v>
      </c>
      <c r="D31" s="200"/>
      <c r="E31" s="209">
        <v>0.05</v>
      </c>
      <c r="F31" s="92">
        <v>0.05</v>
      </c>
      <c r="G31" s="77">
        <f>F31*G30</f>
        <v>0</v>
      </c>
      <c r="H31" s="77">
        <f>IF(G10=0,0,G31/G10)</f>
        <v>0</v>
      </c>
      <c r="I31" s="1625" t="str">
        <f>IF(F31&gt;M31,N31,IF(F31&lt;M31,O31,""))</f>
        <v/>
      </c>
      <c r="J31" s="1626"/>
      <c r="K31" s="1148">
        <v>0.05</v>
      </c>
      <c r="L31" s="7"/>
      <c r="M31" s="169">
        <v>0.05</v>
      </c>
      <c r="N31" s="169" t="s">
        <v>189</v>
      </c>
      <c r="O31" s="169" t="s">
        <v>319</v>
      </c>
      <c r="P31" s="169"/>
      <c r="R31" s="1139" t="str">
        <f t="shared" ref="R31:R33" si="26">IF($G$10&gt;0,F31,"")</f>
        <v/>
      </c>
      <c r="AF31" s="664">
        <v>7</v>
      </c>
      <c r="AG31" s="1158" t="s">
        <v>7861</v>
      </c>
      <c r="AH31" s="1177">
        <v>0.09</v>
      </c>
      <c r="AI31" s="1177">
        <v>0.09</v>
      </c>
      <c r="AJ31" s="1177">
        <v>6.5000000000000002E-2</v>
      </c>
      <c r="AK31" s="1143">
        <v>0.04</v>
      </c>
      <c r="AL31" s="1143">
        <v>0.63500000000000001</v>
      </c>
      <c r="AM31" s="1144">
        <f t="shared" ref="AM31:AM32" si="27">1-SUM(AK31:AL31)</f>
        <v>0.32499999999999996</v>
      </c>
      <c r="AN31" s="1143">
        <v>4.4999999999999998E-2</v>
      </c>
      <c r="AO31" s="1143">
        <f t="shared" si="24"/>
        <v>0.63</v>
      </c>
      <c r="AP31" s="1211">
        <v>0.32500000000000001</v>
      </c>
      <c r="AQ31" s="1214">
        <f t="shared" si="14"/>
        <v>0.04</v>
      </c>
      <c r="AR31" s="1214">
        <f t="shared" si="15"/>
        <v>0.63500000000000001</v>
      </c>
      <c r="AS31" s="1214">
        <f t="shared" si="16"/>
        <v>0.32499999999999996</v>
      </c>
      <c r="AT31" s="180">
        <v>50000000</v>
      </c>
      <c r="AU31" s="803">
        <f t="shared" si="7"/>
        <v>45500000</v>
      </c>
      <c r="AV31">
        <f t="shared" si="7"/>
        <v>45500000</v>
      </c>
      <c r="AW31">
        <f t="shared" si="7"/>
        <v>46750000</v>
      </c>
      <c r="AX31" s="1152">
        <f t="shared" si="8"/>
        <v>0</v>
      </c>
      <c r="AY31" s="180">
        <f t="shared" si="9"/>
        <v>0</v>
      </c>
      <c r="AZ31" s="1153">
        <f t="shared" si="10"/>
        <v>0</v>
      </c>
      <c r="BA31" s="1152">
        <f>ROUND(AX31,-4)</f>
        <v>0</v>
      </c>
      <c r="BB31" s="180">
        <f t="shared" si="18"/>
        <v>0</v>
      </c>
      <c r="BC31" s="1153">
        <f t="shared" si="18"/>
        <v>0</v>
      </c>
      <c r="BD31" s="780">
        <f t="shared" si="19"/>
        <v>0</v>
      </c>
      <c r="BE31" s="780">
        <f t="shared" si="20"/>
        <v>0</v>
      </c>
      <c r="BF31" s="780">
        <f t="shared" si="21"/>
        <v>0</v>
      </c>
      <c r="BG31" s="311">
        <f t="shared" si="11"/>
        <v>0</v>
      </c>
      <c r="BH31" s="311">
        <f t="shared" si="11"/>
        <v>0</v>
      </c>
      <c r="BI31" s="311">
        <f t="shared" si="11"/>
        <v>0</v>
      </c>
      <c r="BJ31" s="311">
        <f t="shared" si="12"/>
        <v>0</v>
      </c>
      <c r="BK31" s="311">
        <f t="shared" si="12"/>
        <v>0</v>
      </c>
      <c r="BL31" s="311">
        <f t="shared" si="12"/>
        <v>0</v>
      </c>
      <c r="BM31" s="311">
        <f t="shared" si="13"/>
        <v>0</v>
      </c>
      <c r="BN31" s="311">
        <f t="shared" si="13"/>
        <v>0</v>
      </c>
      <c r="BO31" s="311">
        <f t="shared" si="13"/>
        <v>0</v>
      </c>
    </row>
    <row r="32" spans="2:67" ht="18" customHeight="1" thickBot="1">
      <c r="B32" s="1606" t="s">
        <v>6939</v>
      </c>
      <c r="C32" s="1607"/>
      <c r="D32" s="199" t="s">
        <v>13</v>
      </c>
      <c r="E32" s="204" t="s">
        <v>145</v>
      </c>
      <c r="F32" s="92">
        <v>0.01</v>
      </c>
      <c r="G32" s="77">
        <f>F32*G$20</f>
        <v>0</v>
      </c>
      <c r="H32" s="56"/>
      <c r="I32" s="1612" t="str">
        <f>IF(F32&gt;M32,N32,"")</f>
        <v/>
      </c>
      <c r="J32" s="1613"/>
      <c r="K32" s="1380">
        <v>0.01</v>
      </c>
      <c r="L32" s="161"/>
      <c r="M32" s="169">
        <v>1.4999999999999999E-2</v>
      </c>
      <c r="N32" s="169" t="s">
        <v>380</v>
      </c>
      <c r="O32" s="169"/>
      <c r="P32" s="169"/>
      <c r="Q32" s="169"/>
      <c r="R32" s="823" t="str">
        <f t="shared" si="26"/>
        <v/>
      </c>
      <c r="AF32" s="1172">
        <v>8</v>
      </c>
      <c r="AG32" s="1140" t="s">
        <v>7862</v>
      </c>
      <c r="AH32" s="1177">
        <v>0.09</v>
      </c>
      <c r="AI32" s="1177">
        <v>0.09</v>
      </c>
      <c r="AJ32" s="1177">
        <v>6.5000000000000002E-2</v>
      </c>
      <c r="AK32" s="1143">
        <v>4.4999999999999998E-2</v>
      </c>
      <c r="AL32" s="1143">
        <v>0.63500000000000001</v>
      </c>
      <c r="AM32" s="1144">
        <f t="shared" si="27"/>
        <v>0.31999999999999995</v>
      </c>
      <c r="AN32" s="1143">
        <v>0.05</v>
      </c>
      <c r="AO32" s="1143">
        <f t="shared" si="24"/>
        <v>0.62999999999999989</v>
      </c>
      <c r="AP32" s="1144">
        <v>0.32</v>
      </c>
      <c r="AQ32" s="1214">
        <f t="shared" si="14"/>
        <v>4.4999999999999998E-2</v>
      </c>
      <c r="AR32" s="1214">
        <f t="shared" si="15"/>
        <v>0.63500000000000001</v>
      </c>
      <c r="AS32" s="1214">
        <f t="shared" si="16"/>
        <v>0.31999999999999995</v>
      </c>
      <c r="AT32" s="180"/>
      <c r="AU32" s="1"/>
      <c r="AX32" s="1154">
        <f t="shared" si="8"/>
        <v>0</v>
      </c>
      <c r="AY32" s="1155">
        <f t="shared" si="9"/>
        <v>0</v>
      </c>
      <c r="AZ32" s="1156">
        <f t="shared" si="10"/>
        <v>0</v>
      </c>
      <c r="BA32" s="1154">
        <f t="shared" si="17"/>
        <v>0</v>
      </c>
      <c r="BB32" s="1155">
        <f t="shared" si="18"/>
        <v>0</v>
      </c>
      <c r="BC32" s="1156">
        <f t="shared" si="18"/>
        <v>0</v>
      </c>
      <c r="BD32" s="780">
        <f t="shared" si="19"/>
        <v>0</v>
      </c>
      <c r="BE32" s="780">
        <f t="shared" si="20"/>
        <v>0</v>
      </c>
      <c r="BF32" s="780">
        <f t="shared" si="21"/>
        <v>0</v>
      </c>
      <c r="BG32" s="311">
        <f t="shared" si="11"/>
        <v>0</v>
      </c>
      <c r="BH32" s="311">
        <f t="shared" si="11"/>
        <v>0</v>
      </c>
      <c r="BI32" s="311">
        <f t="shared" si="11"/>
        <v>0</v>
      </c>
      <c r="BJ32" s="311">
        <f t="shared" si="12"/>
        <v>0</v>
      </c>
      <c r="BK32" s="311">
        <f t="shared" si="12"/>
        <v>0</v>
      </c>
      <c r="BL32" s="311">
        <f t="shared" si="12"/>
        <v>0</v>
      </c>
      <c r="BM32" s="311">
        <f t="shared" si="13"/>
        <v>0</v>
      </c>
      <c r="BN32" s="311">
        <f t="shared" si="13"/>
        <v>0</v>
      </c>
      <c r="BO32" s="311">
        <f t="shared" si="13"/>
        <v>0</v>
      </c>
    </row>
    <row r="33" spans="1:57" ht="18" customHeight="1" thickBot="1">
      <c r="B33" s="1608"/>
      <c r="C33" s="1609"/>
      <c r="D33" s="205" t="s">
        <v>376</v>
      </c>
      <c r="E33" s="282" t="s">
        <v>6757</v>
      </c>
      <c r="F33" s="92">
        <v>5.0000000000000001E-3</v>
      </c>
      <c r="G33" s="77">
        <f>F33*G$20</f>
        <v>0</v>
      </c>
      <c r="H33" s="166"/>
      <c r="I33" s="1622" t="str">
        <f>IF(F33&gt;M33,N33,"")</f>
        <v/>
      </c>
      <c r="J33" s="1615"/>
      <c r="K33" s="1148">
        <v>5.0000000000000001E-3</v>
      </c>
      <c r="L33" s="7"/>
      <c r="M33" s="169">
        <v>0.01</v>
      </c>
      <c r="N33" s="169" t="s">
        <v>6756</v>
      </c>
      <c r="O33" s="169"/>
      <c r="P33" s="169"/>
      <c r="Q33" s="436" t="s">
        <v>6767</v>
      </c>
      <c r="R33" s="823" t="str">
        <f t="shared" si="26"/>
        <v/>
      </c>
      <c r="AF33" s="1141"/>
    </row>
    <row r="34" spans="1:57" ht="19.5" customHeight="1" thickBot="1">
      <c r="B34" s="132"/>
      <c r="C34" s="190" t="s">
        <v>381</v>
      </c>
      <c r="D34" s="210"/>
      <c r="E34" s="211"/>
      <c r="F34" s="167" t="str">
        <f>IF(G20=0,"",G34/G20-1)</f>
        <v/>
      </c>
      <c r="G34" s="78">
        <f>IF(G10=0,0,SUM(G30:G33))</f>
        <v>0</v>
      </c>
      <c r="H34" s="78">
        <f>IF(G10&gt;0,G34/G10,0)</f>
        <v>0</v>
      </c>
      <c r="I34" s="550"/>
      <c r="J34" s="551"/>
      <c r="K34" s="7"/>
      <c r="L34" s="7"/>
      <c r="M34" s="169"/>
      <c r="N34" s="169"/>
      <c r="O34" s="169"/>
      <c r="P34" s="169"/>
      <c r="Q34" s="169" t="s">
        <v>328</v>
      </c>
      <c r="R34" s="173">
        <f>F53+F57+F63+F64</f>
        <v>3.4999999999999996E-2</v>
      </c>
      <c r="AK34" s="3" t="s">
        <v>7888</v>
      </c>
      <c r="AT34" s="3"/>
      <c r="AU34" s="3"/>
    </row>
    <row r="35" spans="1:57" ht="12.75" customHeight="1" thickBot="1">
      <c r="A35" s="7"/>
      <c r="B35" s="7"/>
      <c r="C35" s="7"/>
      <c r="D35" s="7"/>
      <c r="E35" s="129"/>
      <c r="F35" s="8"/>
      <c r="G35" s="8"/>
      <c r="H35" s="8"/>
      <c r="I35" s="7"/>
      <c r="J35" s="7"/>
      <c r="K35" s="7"/>
      <c r="L35" s="7"/>
      <c r="M35" s="169"/>
      <c r="N35" s="169"/>
      <c r="O35" s="169"/>
      <c r="P35" s="169"/>
      <c r="Q35" s="169"/>
      <c r="R35" s="173"/>
      <c r="AC35" s="3" t="s">
        <v>6948</v>
      </c>
      <c r="AK35" s="3" t="s">
        <v>0</v>
      </c>
      <c r="AN35" s="3" t="s">
        <v>1</v>
      </c>
      <c r="AQ35" s="3" t="s">
        <v>3</v>
      </c>
      <c r="AV35" t="s">
        <v>7893</v>
      </c>
    </row>
    <row r="36" spans="1:57" ht="22.5" customHeight="1" thickBot="1">
      <c r="B36" s="186" t="s">
        <v>1</v>
      </c>
      <c r="C36" s="186"/>
      <c r="D36" s="188"/>
      <c r="E36" s="60"/>
      <c r="F36" s="309" t="s">
        <v>407</v>
      </c>
      <c r="G36" s="76">
        <f>SUM(F39:F41)</f>
        <v>0</v>
      </c>
      <c r="H36" s="633"/>
      <c r="I36" s="552"/>
      <c r="J36" s="287"/>
      <c r="K36" s="7"/>
      <c r="L36" s="7"/>
      <c r="M36" s="169"/>
      <c r="N36" s="169"/>
      <c r="O36" s="169"/>
      <c r="P36" s="169"/>
      <c r="Q36" s="169"/>
      <c r="R36" s="169"/>
      <c r="AF36" s="1132"/>
      <c r="AG36" s="1145" t="s">
        <v>7854</v>
      </c>
      <c r="AK36" s="1146" t="s">
        <v>7868</v>
      </c>
      <c r="AL36" s="1146" t="s">
        <v>7869</v>
      </c>
      <c r="AM36" s="1146" t="s">
        <v>7867</v>
      </c>
      <c r="AN36" s="1146" t="s">
        <v>7868</v>
      </c>
      <c r="AO36" s="1146" t="s">
        <v>7869</v>
      </c>
      <c r="AP36" s="1146" t="s">
        <v>7867</v>
      </c>
      <c r="AQ36" s="1146" t="s">
        <v>7868</v>
      </c>
      <c r="AR36" s="1146" t="s">
        <v>7869</v>
      </c>
      <c r="AS36" s="1146" t="s">
        <v>7867</v>
      </c>
      <c r="AV36" s="1174"/>
      <c r="AW36" s="1173"/>
      <c r="AX36" s="1173" t="s">
        <v>7855</v>
      </c>
      <c r="AY36" s="1173" t="s">
        <v>7856</v>
      </c>
      <c r="AZ36" s="1173" t="s">
        <v>7857</v>
      </c>
      <c r="BA36" s="1174" t="s">
        <v>7858</v>
      </c>
      <c r="BB36" s="1173" t="s">
        <v>7859</v>
      </c>
      <c r="BC36" s="1173" t="s">
        <v>7860</v>
      </c>
      <c r="BD36" s="1173" t="s">
        <v>7861</v>
      </c>
      <c r="BE36" s="1174" t="s">
        <v>7862</v>
      </c>
    </row>
    <row r="37" spans="1:57" ht="15.75" customHeight="1" thickBot="1">
      <c r="B37" s="217"/>
      <c r="C37" s="674" t="s">
        <v>6747</v>
      </c>
      <c r="D37" s="219"/>
      <c r="E37" s="283"/>
      <c r="F37" s="284"/>
      <c r="G37" s="285"/>
      <c r="H37" s="286"/>
      <c r="I37" s="552"/>
      <c r="J37" s="287"/>
      <c r="K37" s="7"/>
      <c r="L37" s="7"/>
      <c r="M37" s="169"/>
      <c r="N37" s="169"/>
      <c r="O37" s="169"/>
      <c r="P37" s="169"/>
      <c r="Q37" s="169"/>
      <c r="R37" s="169"/>
      <c r="AC37" s="1" t="s">
        <v>6949</v>
      </c>
      <c r="AD37" s="3" t="s">
        <v>6950</v>
      </c>
      <c r="AE37" s="3" t="s">
        <v>6951</v>
      </c>
      <c r="AF37" s="1132">
        <v>1</v>
      </c>
      <c r="AG37" s="1147" t="s">
        <v>7855</v>
      </c>
      <c r="AK37" s="1184">
        <f t="shared" ref="AK37:AM44" si="28">(1*$AH25)*AK25</f>
        <v>7.1500000000000001E-3</v>
      </c>
      <c r="AL37" s="1184">
        <f t="shared" si="28"/>
        <v>6.6000000000000017E-2</v>
      </c>
      <c r="AM37" s="1184">
        <f t="shared" si="28"/>
        <v>3.6850000000000001E-2</v>
      </c>
      <c r="AN37" s="1184">
        <f>(1*$AI25)*AN25</f>
        <v>9.3749999999999997E-3</v>
      </c>
      <c r="AO37" s="1184">
        <f>(1*$AI25)*AO25</f>
        <v>7.375000000000001E-2</v>
      </c>
      <c r="AP37" s="1184">
        <f>(1*$AI25)*AP25</f>
        <v>4.1875000000000002E-2</v>
      </c>
      <c r="AQ37" s="1184">
        <f>(1*$AJ25)*AQ25</f>
        <v>6.5000000000000006E-3</v>
      </c>
      <c r="AR37" s="1184">
        <f>(1*$AJ25)*AR25</f>
        <v>6.0000000000000012E-2</v>
      </c>
      <c r="AS37" s="1184">
        <f>(1*$AS25)*AM25</f>
        <v>0.11222500000000002</v>
      </c>
      <c r="AV37" s="1174" t="s">
        <v>0</v>
      </c>
      <c r="AW37" s="1173" t="s">
        <v>7866</v>
      </c>
      <c r="AX37" s="1175">
        <f>BA25*AK25</f>
        <v>0</v>
      </c>
      <c r="AY37" s="1175">
        <f>BA26*AK26</f>
        <v>0</v>
      </c>
      <c r="AZ37" s="1175">
        <f>BA27*AK27</f>
        <v>0</v>
      </c>
      <c r="BA37" s="1175">
        <f>BA28*AK28</f>
        <v>0</v>
      </c>
      <c r="BB37" s="1175">
        <f>BA29*AK29</f>
        <v>0</v>
      </c>
      <c r="BC37" s="1175">
        <f>BA30*AK30</f>
        <v>0</v>
      </c>
      <c r="BD37" s="1175">
        <f>BA31*AK31</f>
        <v>0</v>
      </c>
      <c r="BE37" s="1175">
        <f>BA32*AK32</f>
        <v>0</v>
      </c>
    </row>
    <row r="38" spans="1:57" ht="14.25" customHeight="1" thickBot="1">
      <c r="B38" s="615"/>
      <c r="C38" s="212"/>
      <c r="D38" s="618" t="s">
        <v>191</v>
      </c>
      <c r="E38" s="618"/>
      <c r="F38" s="619" t="s">
        <v>387</v>
      </c>
      <c r="G38" s="559" t="s">
        <v>193</v>
      </c>
      <c r="H38" s="286" t="s">
        <v>192</v>
      </c>
      <c r="I38" s="620" t="s">
        <v>204</v>
      </c>
      <c r="J38" s="621"/>
      <c r="K38" s="7"/>
      <c r="L38" s="7"/>
      <c r="M38" s="169"/>
      <c r="N38" s="169"/>
      <c r="O38" s="169"/>
      <c r="P38" s="169"/>
      <c r="S38" s="169"/>
      <c r="T38" s="169" t="s">
        <v>148</v>
      </c>
      <c r="U38" s="169"/>
      <c r="V38" s="3" t="s">
        <v>7179</v>
      </c>
      <c r="W38" s="3" t="s">
        <v>148</v>
      </c>
      <c r="X38" s="169" t="s">
        <v>159</v>
      </c>
      <c r="Y38" s="169" t="s">
        <v>160</v>
      </c>
      <c r="Z38" s="169" t="s">
        <v>7183</v>
      </c>
      <c r="AF38" s="1132">
        <v>2</v>
      </c>
      <c r="AG38" s="1147" t="s">
        <v>7856</v>
      </c>
      <c r="AK38" s="1226">
        <f t="shared" si="28"/>
        <v>7.1500000000000001E-3</v>
      </c>
      <c r="AL38" s="1226">
        <f t="shared" si="28"/>
        <v>6.5449999999999994E-2</v>
      </c>
      <c r="AM38" s="1226">
        <f t="shared" si="28"/>
        <v>3.7400000000000003E-2</v>
      </c>
      <c r="AN38" s="1226">
        <f t="shared" ref="AN38:AO44" si="29">(1*$AI26)*AN26</f>
        <v>8.7500000000000008E-3</v>
      </c>
      <c r="AO38" s="1226">
        <f t="shared" si="29"/>
        <v>7.3749999999999982E-2</v>
      </c>
      <c r="AP38" s="1226">
        <f t="shared" ref="AP38:AP44" si="30">(1*$AI26)*AP26</f>
        <v>4.2500000000000003E-2</v>
      </c>
      <c r="AQ38" s="1226">
        <f t="shared" ref="AQ38:AR38" si="31">(1*$AJ26)*AQ26</f>
        <v>5.8500000000000002E-3</v>
      </c>
      <c r="AR38" s="1226">
        <f t="shared" si="31"/>
        <v>5.3549999999999993E-2</v>
      </c>
      <c r="AS38" s="1226">
        <f t="shared" ref="AS38:AS44" si="32">(1*$AS26)*AM26</f>
        <v>0.11560000000000002</v>
      </c>
      <c r="AV38" s="1174" t="s">
        <v>0</v>
      </c>
      <c r="AW38" s="1173" t="s">
        <v>6954</v>
      </c>
      <c r="AX38" s="1175">
        <f>BA25*AL25</f>
        <v>0</v>
      </c>
      <c r="AY38" s="1175">
        <f>BA26*AL26</f>
        <v>0</v>
      </c>
      <c r="AZ38" s="1175">
        <f>BA27*AL27</f>
        <v>0</v>
      </c>
      <c r="BA38" s="1175">
        <f>BA28*AL28</f>
        <v>0</v>
      </c>
      <c r="BB38" s="1175">
        <f>BA29*AL29</f>
        <v>0</v>
      </c>
      <c r="BC38" s="1175">
        <f>BA30*AL30</f>
        <v>0</v>
      </c>
      <c r="BD38" s="1175">
        <f>BA31*AL31</f>
        <v>0</v>
      </c>
      <c r="BE38" s="1175">
        <f>BA32*AL32</f>
        <v>0</v>
      </c>
    </row>
    <row r="39" spans="1:57" ht="16.5" customHeight="1">
      <c r="B39" s="670" t="s">
        <v>6923</v>
      </c>
      <c r="C39" s="213"/>
      <c r="D39" s="634" t="str">
        <f>IF('TAB 2 Project Specs'!I19="","",'TAB 2 Project Specs'!I19)</f>
        <v/>
      </c>
      <c r="E39" s="616"/>
      <c r="F39" s="312">
        <f>IF('TAB 2 Project Specs'!D26="",0,IF(D39="",0,'TAB 2 Project Specs'!D26))</f>
        <v>0</v>
      </c>
      <c r="G39" s="570">
        <f>F39*H39</f>
        <v>0</v>
      </c>
      <c r="H39" s="313"/>
      <c r="I39" s="553" t="str">
        <f>IF('TAB 2 Project Specs'!M20="","",'TAB 2 Project Specs'!M20)</f>
        <v/>
      </c>
      <c r="J39" s="554"/>
      <c r="K39" s="7"/>
      <c r="L39" s="7"/>
      <c r="M39" s="613">
        <f>F39*H39</f>
        <v>0</v>
      </c>
      <c r="N39" s="169"/>
      <c r="O39" s="169"/>
      <c r="P39" s="169"/>
      <c r="Q39" s="436" t="s">
        <v>6770</v>
      </c>
      <c r="S39" s="436" t="s">
        <v>6767</v>
      </c>
      <c r="T39" s="169"/>
      <c r="U39" s="169"/>
      <c r="W39" s="412">
        <f>SUM(W40:W62)</f>
        <v>0</v>
      </c>
      <c r="X39" s="169"/>
      <c r="Y39" s="171"/>
      <c r="AF39" s="1132">
        <v>3</v>
      </c>
      <c r="AG39" s="1147" t="s">
        <v>7857</v>
      </c>
      <c r="AK39" s="1228">
        <f t="shared" si="28"/>
        <v>2.9750000000000006E-3</v>
      </c>
      <c r="AL39" s="1228">
        <f t="shared" si="28"/>
        <v>5.1425000000000005E-2</v>
      </c>
      <c r="AM39" s="1228">
        <f t="shared" si="28"/>
        <v>3.0600000000000002E-2</v>
      </c>
      <c r="AN39" s="1228">
        <f t="shared" si="29"/>
        <v>2.9750000000000006E-3</v>
      </c>
      <c r="AO39" s="1228">
        <f t="shared" si="29"/>
        <v>5.1425000000000005E-2</v>
      </c>
      <c r="AP39" s="1228">
        <f>(1*$AI27)*AP27</f>
        <v>3.0600000000000002E-2</v>
      </c>
      <c r="AQ39" s="1228">
        <f t="shared" ref="AQ39:AR41" si="33">(1*$AJ27)*AQ27</f>
        <v>2.6250000000000002E-3</v>
      </c>
      <c r="AR39" s="1228">
        <f t="shared" si="33"/>
        <v>4.5374999999999999E-2</v>
      </c>
      <c r="AS39" s="1228">
        <f>(1*$AS27)*AM27</f>
        <v>0.12959999999999999</v>
      </c>
      <c r="AV39" s="1174" t="s">
        <v>0</v>
      </c>
      <c r="AW39" s="1174" t="s">
        <v>7876</v>
      </c>
      <c r="AX39" s="1175">
        <f>BA25*AM25</f>
        <v>0</v>
      </c>
      <c r="AY39" s="1175">
        <f>BA26*AM26</f>
        <v>0</v>
      </c>
      <c r="AZ39" s="1175">
        <f>BA27*AM27</f>
        <v>0</v>
      </c>
      <c r="BA39" s="1175">
        <f>BA28*AM28</f>
        <v>0</v>
      </c>
      <c r="BB39" s="1175">
        <f>BA29*AM29</f>
        <v>0</v>
      </c>
      <c r="BC39" s="1175">
        <f>BA30*AM30</f>
        <v>0</v>
      </c>
      <c r="BD39" s="1175">
        <f>BA31*AM31</f>
        <v>0</v>
      </c>
      <c r="BE39" s="1175">
        <f>BA32*AM32</f>
        <v>0</v>
      </c>
    </row>
    <row r="40" spans="1:57" ht="16.5" customHeight="1">
      <c r="B40" s="670" t="s">
        <v>6924</v>
      </c>
      <c r="C40" s="213"/>
      <c r="D40" s="635" t="str">
        <f>IF('TAB 2 Project Specs'!I36="","",'TAB 2 Project Specs'!I36)</f>
        <v/>
      </c>
      <c r="E40" s="617"/>
      <c r="F40" s="314">
        <f>IF('TAB 2 Project Specs'!D43="",0,IF(D40="",0,'TAB 2 Project Specs'!D43))</f>
        <v>0</v>
      </c>
      <c r="G40" s="573">
        <f t="shared" ref="G40:G41" si="34">F40*H40</f>
        <v>0</v>
      </c>
      <c r="H40" s="315"/>
      <c r="I40" s="555" t="str">
        <f>IF('TAB 2 Project Specs'!M37="","",'TAB 2 Project Specs'!M37)</f>
        <v/>
      </c>
      <c r="J40" s="556"/>
      <c r="K40" s="7"/>
      <c r="L40" s="7"/>
      <c r="M40" s="613">
        <f>F40*H40</f>
        <v>0</v>
      </c>
      <c r="N40" s="169"/>
      <c r="O40" s="169" t="s">
        <v>6742</v>
      </c>
      <c r="P40" s="202" t="s">
        <v>8076</v>
      </c>
      <c r="Q40" s="169"/>
      <c r="R40" s="169"/>
      <c r="S40" s="169" t="s">
        <v>6989</v>
      </c>
      <c r="T40" s="3" t="s">
        <v>6802</v>
      </c>
      <c r="U40" s="311">
        <f>IF(O4&lt;&gt;O5,0,IF(G10=0,0,G17))</f>
        <v>0</v>
      </c>
      <c r="V40" s="713">
        <v>1</v>
      </c>
      <c r="W40" s="311">
        <f>IF(O4&lt;&gt;O5,0,IF(G10=0,0,U40*V40))</f>
        <v>0</v>
      </c>
      <c r="Z40" s="3"/>
      <c r="AF40" s="1132">
        <v>4</v>
      </c>
      <c r="AG40" s="823" t="s">
        <v>7858</v>
      </c>
      <c r="AK40" s="1184">
        <f t="shared" si="28"/>
        <v>2.8000000000000004E-3</v>
      </c>
      <c r="AL40" s="1184">
        <f t="shared" si="28"/>
        <v>4.8800000000000003E-2</v>
      </c>
      <c r="AM40" s="1184">
        <f t="shared" si="28"/>
        <v>2.8399999999999998E-2</v>
      </c>
      <c r="AN40" s="1184">
        <f t="shared" si="29"/>
        <v>2.8000000000000004E-3</v>
      </c>
      <c r="AO40" s="1184">
        <f t="shared" si="29"/>
        <v>4.8800000000000003E-2</v>
      </c>
      <c r="AP40" s="1184">
        <f>(1*$AI28)*AP28</f>
        <v>2.8399999999999998E-2</v>
      </c>
      <c r="AQ40" s="1184">
        <f t="shared" si="33"/>
        <v>2.6250000000000002E-3</v>
      </c>
      <c r="AR40" s="1184">
        <f t="shared" si="33"/>
        <v>4.5749999999999999E-2</v>
      </c>
      <c r="AS40" s="1184">
        <f>(1*$AS28)*AM28</f>
        <v>0.126025</v>
      </c>
      <c r="AV40" s="1174" t="s">
        <v>1</v>
      </c>
      <c r="AW40" s="1173" t="s">
        <v>7866</v>
      </c>
      <c r="AX40" s="1175">
        <f>BB25*AK25</f>
        <v>0</v>
      </c>
      <c r="AY40" s="1175">
        <f>BB26*AK26</f>
        <v>0</v>
      </c>
      <c r="AZ40" s="1175">
        <f>BB27*AK27</f>
        <v>0</v>
      </c>
      <c r="BA40" s="1175">
        <f>BB28*AK28</f>
        <v>0</v>
      </c>
      <c r="BB40" s="1175">
        <f>BB29*AK29</f>
        <v>0</v>
      </c>
      <c r="BC40" s="1175">
        <f>BB30*AK30</f>
        <v>0</v>
      </c>
      <c r="BD40" s="1175">
        <f>BB31*AK31</f>
        <v>0</v>
      </c>
      <c r="BE40" s="1175">
        <f>BB32*AK32</f>
        <v>0</v>
      </c>
    </row>
    <row r="41" spans="1:57" ht="16.5" customHeight="1" thickBot="1">
      <c r="B41" s="671" t="s">
        <v>6922</v>
      </c>
      <c r="C41" s="196"/>
      <c r="D41" s="638" t="str">
        <f>IF('TAB 2 Project Specs'!I53="","",'TAB 2 Project Specs'!I53)</f>
        <v/>
      </c>
      <c r="E41" s="639"/>
      <c r="F41" s="640">
        <f>IF('TAB 2 Project Specs'!D60="",0,IF(D41="",0,'TAB 2 Project Specs'!D60))</f>
        <v>0</v>
      </c>
      <c r="G41" s="641">
        <f t="shared" si="34"/>
        <v>0</v>
      </c>
      <c r="H41" s="592">
        <v>0</v>
      </c>
      <c r="I41" s="642" t="str">
        <f>IF('TAB 2 Project Specs'!M54="","",'TAB 2 Project Specs'!M54)</f>
        <v/>
      </c>
      <c r="J41" s="643"/>
      <c r="K41" s="7"/>
      <c r="L41" s="7"/>
      <c r="M41" s="613">
        <f>F41*H41</f>
        <v>0</v>
      </c>
      <c r="N41" s="169"/>
      <c r="O41" s="169"/>
      <c r="P41" s="169"/>
      <c r="Q41" s="169"/>
      <c r="R41" s="169"/>
      <c r="S41" s="169" t="s">
        <v>419</v>
      </c>
      <c r="T41" s="169" t="s">
        <v>6768</v>
      </c>
      <c r="U41" s="311">
        <f>G22</f>
        <v>0</v>
      </c>
      <c r="V41" s="714">
        <v>0.66</v>
      </c>
      <c r="W41" s="311">
        <f t="shared" ref="W41:W46" si="35">U41*V41</f>
        <v>0</v>
      </c>
      <c r="X41" s="169"/>
      <c r="Y41" s="171"/>
      <c r="Z41" s="3"/>
      <c r="AC41" s="311">
        <f>F39*H39</f>
        <v>0</v>
      </c>
      <c r="AD41" s="311">
        <f>F40*H40</f>
        <v>0</v>
      </c>
      <c r="AE41" s="311">
        <f>F41*H41</f>
        <v>0</v>
      </c>
      <c r="AF41" s="1132">
        <v>5</v>
      </c>
      <c r="AG41" s="1147" t="s">
        <v>7859</v>
      </c>
      <c r="AK41" s="1229">
        <f t="shared" si="28"/>
        <v>2.8000000000000004E-3</v>
      </c>
      <c r="AL41" s="1229">
        <f t="shared" si="28"/>
        <v>4.9200000000000001E-2</v>
      </c>
      <c r="AM41" s="1229">
        <f t="shared" si="28"/>
        <v>2.7999999999999997E-2</v>
      </c>
      <c r="AN41" s="1229">
        <f t="shared" si="29"/>
        <v>2.8000000000000004E-3</v>
      </c>
      <c r="AO41" s="1229">
        <f t="shared" si="29"/>
        <v>4.9200000000000001E-2</v>
      </c>
      <c r="AP41" s="1229">
        <f>(1*$AI29)*AP29</f>
        <v>2.7999999999999997E-2</v>
      </c>
      <c r="AQ41" s="1229">
        <f t="shared" si="33"/>
        <v>2.4500000000000004E-3</v>
      </c>
      <c r="AR41" s="1229">
        <f t="shared" si="33"/>
        <v>4.3050000000000005E-2</v>
      </c>
      <c r="AS41" s="1229">
        <f>(1*$AS29)*AM29</f>
        <v>0.12249999999999998</v>
      </c>
      <c r="AV41" s="1174" t="s">
        <v>1</v>
      </c>
      <c r="AW41" s="1173" t="s">
        <v>6954</v>
      </c>
      <c r="AX41" s="1175">
        <f>BB25*AL25</f>
        <v>0</v>
      </c>
      <c r="AY41" s="1175">
        <f>BB26*AL26</f>
        <v>0</v>
      </c>
      <c r="AZ41" s="1175">
        <f>BB27*AL27</f>
        <v>0</v>
      </c>
      <c r="BA41" s="1175">
        <f>BB28*AL28</f>
        <v>0</v>
      </c>
      <c r="BB41" s="1175">
        <f>BB29*AL29</f>
        <v>0</v>
      </c>
      <c r="BC41" s="1175">
        <f>BB30*AL30</f>
        <v>0</v>
      </c>
      <c r="BD41" s="1175">
        <f>BB31*AL31</f>
        <v>0</v>
      </c>
      <c r="BE41" s="1175">
        <f>BB32*AL32</f>
        <v>0</v>
      </c>
    </row>
    <row r="42" spans="1:57" ht="19.5" customHeight="1" thickBot="1">
      <c r="B42" s="644"/>
      <c r="C42" s="534" t="s">
        <v>7006</v>
      </c>
      <c r="D42" s="211"/>
      <c r="E42" s="200"/>
      <c r="F42" s="188"/>
      <c r="G42" s="78">
        <f>(F39*H39)+(F40*H40)+(F41*H41)</f>
        <v>0</v>
      </c>
      <c r="H42" s="78">
        <f>IF(G36&gt;0,G42/G36,0)</f>
        <v>0</v>
      </c>
      <c r="I42" s="557"/>
      <c r="J42" s="558"/>
      <c r="K42" s="257"/>
      <c r="L42" s="1197">
        <f>$G$51*$M$48</f>
        <v>0</v>
      </c>
      <c r="M42" s="169"/>
      <c r="N42" s="169"/>
      <c r="O42" s="171">
        <f>(F39*H39)+(F40*H40)+(F41*H41)</f>
        <v>0</v>
      </c>
      <c r="P42" s="169"/>
      <c r="Q42" s="823">
        <f>IF(I5&lt;&gt;O5,F14,"")</f>
        <v>7.0000000000000007E-2</v>
      </c>
      <c r="R42" s="169"/>
      <c r="S42" s="3" t="s">
        <v>6993</v>
      </c>
      <c r="T42" s="169" t="s">
        <v>415</v>
      </c>
      <c r="U42" s="311">
        <f>G23</f>
        <v>0</v>
      </c>
      <c r="V42" s="97">
        <v>1</v>
      </c>
      <c r="W42" s="311">
        <f t="shared" si="35"/>
        <v>0</v>
      </c>
      <c r="X42" s="169"/>
      <c r="Y42" s="171"/>
      <c r="Z42" s="3"/>
      <c r="AC42" s="614">
        <f>IFERROR(G39/G42,0)</f>
        <v>0</v>
      </c>
      <c r="AD42" s="614">
        <f>IFERROR(G40/G42,0)</f>
        <v>0</v>
      </c>
      <c r="AE42" s="614">
        <f>IFERROR(G41/G42,0)</f>
        <v>0</v>
      </c>
      <c r="AF42" s="1132">
        <v>6</v>
      </c>
      <c r="AG42" s="1147" t="s">
        <v>7860</v>
      </c>
      <c r="AK42" s="1227">
        <f t="shared" si="28"/>
        <v>2.9750000000000006E-3</v>
      </c>
      <c r="AL42" s="1227">
        <f t="shared" si="28"/>
        <v>5.3550000000000007E-2</v>
      </c>
      <c r="AM42" s="1227">
        <f t="shared" si="28"/>
        <v>2.8475E-2</v>
      </c>
      <c r="AN42" s="1227">
        <f t="shared" si="29"/>
        <v>3.4000000000000002E-3</v>
      </c>
      <c r="AO42" s="1227">
        <f t="shared" si="29"/>
        <v>5.3125000000000006E-2</v>
      </c>
      <c r="AP42" s="1227">
        <f t="shared" si="30"/>
        <v>2.8475000000000004E-2</v>
      </c>
      <c r="AQ42" s="1227">
        <f t="shared" ref="AQ42:AR42" si="36">(1*$AJ30)*AQ30</f>
        <v>2.2750000000000001E-3</v>
      </c>
      <c r="AR42" s="1227">
        <f t="shared" si="36"/>
        <v>4.095E-2</v>
      </c>
      <c r="AS42" s="1227">
        <f t="shared" si="32"/>
        <v>0.11222499999999998</v>
      </c>
      <c r="AV42" s="1174" t="s">
        <v>1</v>
      </c>
      <c r="AW42" s="1174" t="s">
        <v>7876</v>
      </c>
      <c r="AX42" s="1175">
        <f>BB25*AM25</f>
        <v>0</v>
      </c>
      <c r="AY42" s="1175">
        <f>BB26*AM26</f>
        <v>0</v>
      </c>
      <c r="AZ42" s="1175">
        <f>BB27*AM27</f>
        <v>0</v>
      </c>
      <c r="BA42" s="1175">
        <f>BB28*AM28</f>
        <v>0</v>
      </c>
      <c r="BB42" s="1175">
        <f>BB29*AM29</f>
        <v>0</v>
      </c>
      <c r="BC42" s="1175">
        <f>BB30*AM30</f>
        <v>0</v>
      </c>
      <c r="BD42" s="1175">
        <f>BB31*AM31</f>
        <v>0</v>
      </c>
      <c r="BE42" s="1175">
        <f>BB32*AM32</f>
        <v>0</v>
      </c>
    </row>
    <row r="43" spans="1:57" ht="14.25" customHeight="1" thickBot="1">
      <c r="B43" s="189"/>
      <c r="C43" s="188"/>
      <c r="D43" s="190"/>
      <c r="E43" s="191" t="s">
        <v>143</v>
      </c>
      <c r="F43" s="191" t="s">
        <v>6745</v>
      </c>
      <c r="G43" s="559" t="s">
        <v>193</v>
      </c>
      <c r="H43" s="191" t="s">
        <v>192</v>
      </c>
      <c r="I43" s="560" t="s">
        <v>323</v>
      </c>
      <c r="J43" s="561"/>
      <c r="K43" s="257"/>
      <c r="L43" s="1197">
        <f>$G$51*$M$50</f>
        <v>0</v>
      </c>
      <c r="M43" s="169"/>
      <c r="N43" s="169"/>
      <c r="O43" s="169"/>
      <c r="P43" s="169"/>
      <c r="R43" s="823" t="str">
        <f>IF($G$36&gt;0,F44,"")</f>
        <v/>
      </c>
      <c r="S43" s="169" t="s">
        <v>7000</v>
      </c>
      <c r="T43" s="169" t="s">
        <v>7177</v>
      </c>
      <c r="U43" s="311">
        <f>G24</f>
        <v>0</v>
      </c>
      <c r="V43" s="714">
        <v>1</v>
      </c>
      <c r="W43" s="311">
        <f t="shared" si="35"/>
        <v>0</v>
      </c>
      <c r="AB43" s="3" t="s">
        <v>6952</v>
      </c>
      <c r="AC43" s="311">
        <f>$G47*AC$42</f>
        <v>0</v>
      </c>
      <c r="AD43" s="311">
        <f>$G47*AD$42</f>
        <v>0</v>
      </c>
      <c r="AE43" s="311">
        <f>$G47*AE$42</f>
        <v>0</v>
      </c>
      <c r="AF43" s="1132">
        <v>7</v>
      </c>
      <c r="AG43" s="1147" t="s">
        <v>7861</v>
      </c>
      <c r="AK43" s="1184">
        <f t="shared" si="28"/>
        <v>3.5999999999999999E-3</v>
      </c>
      <c r="AL43" s="1184">
        <f t="shared" si="28"/>
        <v>5.7149999999999999E-2</v>
      </c>
      <c r="AM43" s="1184">
        <f t="shared" si="28"/>
        <v>2.9249999999999995E-2</v>
      </c>
      <c r="AN43" s="1184">
        <f t="shared" si="29"/>
        <v>4.0499999999999998E-3</v>
      </c>
      <c r="AO43" s="1184">
        <f t="shared" si="29"/>
        <v>5.67E-2</v>
      </c>
      <c r="AP43" s="1184">
        <f t="shared" si="30"/>
        <v>2.9249999999999998E-2</v>
      </c>
      <c r="AQ43" s="1184">
        <f t="shared" ref="AQ43:AR43" si="37">(1*$AJ31)*AQ31</f>
        <v>2.6000000000000003E-3</v>
      </c>
      <c r="AR43" s="1184">
        <f t="shared" si="37"/>
        <v>4.1274999999999999E-2</v>
      </c>
      <c r="AS43" s="1184">
        <f t="shared" si="32"/>
        <v>0.10562499999999997</v>
      </c>
      <c r="AV43" s="1174" t="s">
        <v>3</v>
      </c>
      <c r="AW43" s="1173" t="s">
        <v>7866</v>
      </c>
      <c r="AX43" s="1175">
        <f>BC25*AK25</f>
        <v>0</v>
      </c>
      <c r="AY43" s="1175">
        <f>BC26*AK26</f>
        <v>0</v>
      </c>
      <c r="AZ43" s="1175">
        <f>BC27*AK27</f>
        <v>0</v>
      </c>
      <c r="BA43" s="1175">
        <f>BC28*AK28</f>
        <v>0</v>
      </c>
      <c r="BB43" s="1175">
        <f>BC29*AK29</f>
        <v>0</v>
      </c>
      <c r="BC43" s="1175">
        <f>BC30*AK30</f>
        <v>0</v>
      </c>
      <c r="BD43" s="1175">
        <f>BC31*AK31</f>
        <v>0</v>
      </c>
      <c r="BE43" s="1175">
        <f>BC32*AK32</f>
        <v>0</v>
      </c>
    </row>
    <row r="44" spans="1:57" ht="18" customHeight="1" thickBot="1">
      <c r="B44" s="426"/>
      <c r="C44" s="197"/>
      <c r="D44" s="197" t="s">
        <v>239</v>
      </c>
      <c r="E44" s="725" t="s">
        <v>238</v>
      </c>
      <c r="F44" s="428">
        <v>1.4999999999999999E-2</v>
      </c>
      <c r="G44" s="81">
        <f>F44*G42</f>
        <v>0</v>
      </c>
      <c r="H44" s="81">
        <f>IF(G36=0,0,G44/G36)</f>
        <v>0</v>
      </c>
      <c r="I44" s="1663" t="str">
        <f>IF(F44&gt;M44,N44,"")</f>
        <v/>
      </c>
      <c r="J44" s="1664"/>
      <c r="K44" s="1381">
        <v>1.4999999999999999E-2</v>
      </c>
      <c r="L44" s="1197">
        <f>$G$51*$M$49</f>
        <v>0</v>
      </c>
      <c r="M44" s="169">
        <v>2.5000000000000001E-2</v>
      </c>
      <c r="N44" s="169" t="s">
        <v>240</v>
      </c>
      <c r="P44" s="169"/>
      <c r="Q44" s="197"/>
      <c r="R44" s="823" t="str">
        <f>IF(AND($G$36&gt;0,I5&lt;&gt;O5),F45,"")</f>
        <v/>
      </c>
      <c r="S44" s="169" t="s">
        <v>7178</v>
      </c>
      <c r="T44" s="169" t="s">
        <v>6772</v>
      </c>
      <c r="U44" s="311">
        <f>G25</f>
        <v>0</v>
      </c>
      <c r="V44" s="97">
        <v>1</v>
      </c>
      <c r="W44" s="311">
        <f t="shared" si="35"/>
        <v>0</v>
      </c>
      <c r="X44" s="169"/>
      <c r="Y44" s="169"/>
      <c r="AB44" s="3" t="s">
        <v>6953</v>
      </c>
      <c r="AC44" s="311">
        <f t="shared" ref="AC44:AE51" si="38">$G44*AC$42</f>
        <v>0</v>
      </c>
      <c r="AD44" s="311">
        <f t="shared" si="38"/>
        <v>0</v>
      </c>
      <c r="AE44" s="311">
        <f t="shared" si="38"/>
        <v>0</v>
      </c>
      <c r="AF44" s="1132">
        <v>8</v>
      </c>
      <c r="AG44" s="823" t="s">
        <v>7862</v>
      </c>
      <c r="AK44" s="1184">
        <f t="shared" si="28"/>
        <v>4.0499999999999998E-3</v>
      </c>
      <c r="AL44" s="1184">
        <f t="shared" si="28"/>
        <v>5.7149999999999999E-2</v>
      </c>
      <c r="AM44" s="1184">
        <f t="shared" si="28"/>
        <v>2.8799999999999996E-2</v>
      </c>
      <c r="AN44" s="1184">
        <f t="shared" si="29"/>
        <v>4.4999999999999997E-3</v>
      </c>
      <c r="AO44" s="1184">
        <f t="shared" si="29"/>
        <v>5.6699999999999987E-2</v>
      </c>
      <c r="AP44" s="1184">
        <f t="shared" si="30"/>
        <v>2.8799999999999999E-2</v>
      </c>
      <c r="AQ44" s="1184">
        <f t="shared" ref="AQ44:AR44" si="39">(1*$AJ32)*AQ32</f>
        <v>2.9250000000000001E-3</v>
      </c>
      <c r="AR44" s="1184">
        <f t="shared" si="39"/>
        <v>4.1274999999999999E-2</v>
      </c>
      <c r="AS44" s="1184">
        <f t="shared" si="32"/>
        <v>0.10239999999999996</v>
      </c>
      <c r="AV44" s="1174" t="s">
        <v>3</v>
      </c>
      <c r="AW44" s="1173" t="s">
        <v>6954</v>
      </c>
      <c r="AX44" s="1175">
        <f>BC25*AL25</f>
        <v>0</v>
      </c>
      <c r="AY44" s="1175">
        <f>BC26*AL26</f>
        <v>0</v>
      </c>
      <c r="AZ44" s="1175">
        <f>BC27*AL27</f>
        <v>0</v>
      </c>
      <c r="BA44" s="1175">
        <f>BC28*AL28</f>
        <v>0</v>
      </c>
      <c r="BB44" s="1175">
        <f>BC29*AL29</f>
        <v>0</v>
      </c>
      <c r="BC44" s="1175">
        <f>BC30*AL30</f>
        <v>0</v>
      </c>
      <c r="BD44" s="1175">
        <f>BC31*AL31</f>
        <v>0</v>
      </c>
      <c r="BE44" s="1175">
        <f>BC32*AL32</f>
        <v>0</v>
      </c>
    </row>
    <row r="45" spans="1:57" ht="18" customHeight="1" thickBot="1">
      <c r="B45" s="132"/>
      <c r="C45" s="200"/>
      <c r="D45" s="200" t="str">
        <f>IF($I$5=$O$5,"",O40)</f>
        <v>General Conditions (DBB/DB)</v>
      </c>
      <c r="E45" s="724" t="str">
        <f>IF($I$5=$O$5,"",P40)</f>
        <v>5% - 8%</v>
      </c>
      <c r="F45" s="722">
        <v>7.0000000000000007E-2</v>
      </c>
      <c r="G45" s="310">
        <f>IF($O$4=$O$5,0,F45*(G42+G47+G44))</f>
        <v>0</v>
      </c>
      <c r="H45" s="310">
        <f>IF(G45=0,0,G45/G36)</f>
        <v>0</v>
      </c>
      <c r="I45" s="1627" t="str">
        <f>IF($O$4&lt;&gt;$O$5,"",IF(F45&gt;M45,N45,""))</f>
        <v/>
      </c>
      <c r="J45" s="1586"/>
      <c r="K45" s="1148">
        <v>7.0000000000000007E-2</v>
      </c>
      <c r="L45" s="7"/>
      <c r="M45" s="169">
        <v>0.08</v>
      </c>
      <c r="N45" s="169" t="s">
        <v>8067</v>
      </c>
      <c r="O45" s="169"/>
      <c r="P45" s="169"/>
      <c r="Q45" s="3" t="s">
        <v>6990</v>
      </c>
      <c r="S45" s="169" t="s">
        <v>420</v>
      </c>
      <c r="T45" s="169" t="s">
        <v>6769</v>
      </c>
      <c r="U45" s="311">
        <f>G26</f>
        <v>0</v>
      </c>
      <c r="V45" s="714">
        <v>1</v>
      </c>
      <c r="W45" s="311">
        <f t="shared" si="35"/>
        <v>0</v>
      </c>
      <c r="X45" s="169"/>
      <c r="Y45" s="169"/>
      <c r="AB45" s="3" t="s">
        <v>6954</v>
      </c>
      <c r="AC45" s="311">
        <f t="shared" si="38"/>
        <v>0</v>
      </c>
      <c r="AD45" s="311">
        <f t="shared" si="38"/>
        <v>0</v>
      </c>
      <c r="AE45" s="311">
        <f t="shared" si="38"/>
        <v>0</v>
      </c>
      <c r="AV45" s="1174" t="s">
        <v>3</v>
      </c>
      <c r="AW45" s="1174" t="s">
        <v>7876</v>
      </c>
      <c r="AX45" s="1175">
        <f>BC25*AM25</f>
        <v>0</v>
      </c>
      <c r="AY45" s="1175">
        <f>BC26*AM26</f>
        <v>0</v>
      </c>
      <c r="AZ45" s="1175">
        <f>BC27*AM27</f>
        <v>0</v>
      </c>
      <c r="BA45" s="1175">
        <f>BC28*AM28</f>
        <v>0</v>
      </c>
      <c r="BB45" s="1175">
        <f>BC29*AM29</f>
        <v>0</v>
      </c>
      <c r="BC45" s="1175">
        <f>BC30*AM30</f>
        <v>0</v>
      </c>
      <c r="BD45" s="1175">
        <f>BC31*AM31</f>
        <v>0</v>
      </c>
      <c r="BE45" s="1175">
        <f>BC32*AM32</f>
        <v>0</v>
      </c>
    </row>
    <row r="46" spans="1:57" ht="19.5" customHeight="1" thickBot="1">
      <c r="B46" s="429"/>
      <c r="C46" s="190" t="s">
        <v>7526</v>
      </c>
      <c r="D46" s="190"/>
      <c r="E46" s="430"/>
      <c r="F46" s="53"/>
      <c r="G46" s="78">
        <f>IF($O$4=$O$5,(G42+G44),(G42+G44+G45))</f>
        <v>0</v>
      </c>
      <c r="H46" s="78">
        <f>IF(G46=0,0,G46/G36)</f>
        <v>0</v>
      </c>
      <c r="I46" s="1627" t="str">
        <f t="shared" ref="I46" si="40">IF(F46&gt;M46,N46,"")</f>
        <v/>
      </c>
      <c r="J46" s="1586"/>
      <c r="K46" s="7"/>
      <c r="L46" s="1024" t="s">
        <v>7874</v>
      </c>
      <c r="M46" s="169"/>
      <c r="N46" s="169"/>
      <c r="O46" s="169"/>
      <c r="P46" s="169"/>
      <c r="Q46" s="136"/>
      <c r="R46" s="169"/>
      <c r="S46" s="169" t="s">
        <v>421</v>
      </c>
      <c r="T46" s="169" t="s">
        <v>7180</v>
      </c>
      <c r="U46" s="311">
        <f>G29</f>
        <v>0</v>
      </c>
      <c r="V46" s="714">
        <v>1</v>
      </c>
      <c r="W46" s="311">
        <f t="shared" si="35"/>
        <v>0</v>
      </c>
      <c r="X46" s="169"/>
      <c r="AB46" s="3" t="s">
        <v>7537</v>
      </c>
      <c r="AC46" s="311">
        <f t="shared" si="38"/>
        <v>0</v>
      </c>
      <c r="AD46" s="311">
        <f t="shared" si="38"/>
        <v>0</v>
      </c>
      <c r="AE46" s="311">
        <f t="shared" si="38"/>
        <v>0</v>
      </c>
    </row>
    <row r="47" spans="1:57" ht="19.5" customHeight="1" thickBot="1">
      <c r="B47" s="362"/>
      <c r="C47" s="200" t="s">
        <v>422</v>
      </c>
      <c r="D47" s="211"/>
      <c r="E47" s="200"/>
      <c r="F47" s="316"/>
      <c r="G47" s="77">
        <f>IF(H47&gt;0,H47*G36,0)</f>
        <v>0</v>
      </c>
      <c r="H47" s="91">
        <v>0</v>
      </c>
      <c r="I47" s="557"/>
      <c r="J47" s="558"/>
      <c r="K47" s="7"/>
      <c r="P47" s="169"/>
      <c r="Q47" s="136"/>
      <c r="R47" s="169"/>
      <c r="V47" s="97"/>
      <c r="W47">
        <v>0</v>
      </c>
      <c r="AB47" s="3"/>
      <c r="AC47" s="311"/>
      <c r="AD47" s="311"/>
      <c r="AE47" s="311"/>
    </row>
    <row r="48" spans="1:57" ht="17.25" customHeight="1" thickBot="1">
      <c r="B48" s="1650" t="str">
        <f>IF($O$4=$O$5,"CM Fees","")</f>
        <v/>
      </c>
      <c r="C48" s="1651"/>
      <c r="D48" s="590" t="str">
        <f>IF($O$4=$O$5,S63,"")</f>
        <v/>
      </c>
      <c r="E48" s="1244" t="str">
        <f>IF(I$5="CM at Risk",T63,"")</f>
        <v/>
      </c>
      <c r="F48" s="435" t="str">
        <f>IF($O$4&lt;&gt;$O$5,"",IF($G$36=0,"",IFERROR(G48/$G$51,"")))</f>
        <v/>
      </c>
      <c r="G48" s="1176">
        <f>IF($O$4&lt;&gt;$O$5,0,IF($G$46=0,0,INDEX($BJ$25:$BJ$32,MATCH($AG$13,$AF$25:$AF$32,0))))</f>
        <v>0</v>
      </c>
      <c r="H48" s="310">
        <f>IF(G36=0,0,G48/G36)</f>
        <v>0</v>
      </c>
      <c r="I48" s="1160"/>
      <c r="J48" s="1136"/>
      <c r="K48" s="7"/>
      <c r="L48" s="1021">
        <f>G48+G17</f>
        <v>0</v>
      </c>
      <c r="M48" s="169">
        <v>8.5000000000000006E-3</v>
      </c>
      <c r="N48" s="169" t="s">
        <v>6932</v>
      </c>
      <c r="O48" s="169"/>
      <c r="P48" s="171">
        <f>IF($O$4=$O$5,G48,0)</f>
        <v>0</v>
      </c>
      <c r="Q48" s="3" t="s">
        <v>7169</v>
      </c>
      <c r="S48" s="436" t="s">
        <v>7182</v>
      </c>
      <c r="V48" s="97"/>
      <c r="W48">
        <v>0</v>
      </c>
      <c r="Y48" s="169"/>
      <c r="AB48" s="3" t="s">
        <v>6955</v>
      </c>
      <c r="AC48" s="311">
        <f t="shared" si="38"/>
        <v>0</v>
      </c>
      <c r="AD48" s="311">
        <f t="shared" si="38"/>
        <v>0</v>
      </c>
      <c r="AE48" s="311">
        <f t="shared" si="38"/>
        <v>0</v>
      </c>
    </row>
    <row r="49" spans="1:34" ht="17.25" customHeight="1" thickBot="1">
      <c r="B49" s="1652"/>
      <c r="C49" s="1653"/>
      <c r="D49" s="1159" t="str">
        <f>IF($O$4=$O$5,S64,"")</f>
        <v/>
      </c>
      <c r="E49" s="1247" t="str">
        <f>IF(I$5="CM at Risk",T64,"")</f>
        <v/>
      </c>
      <c r="F49" s="435" t="str">
        <f>IF($O$4&lt;&gt;$O$5,"",IF($G$36=0,"",IFERROR(G49/$G$51,"")))</f>
        <v/>
      </c>
      <c r="G49" s="1176">
        <f>IF($O$4&lt;&gt;$O$5,0,IF($G$46=0,0,INDEX($BK$25:$BK$32,MATCH($AG$13,$AF$25:$AF$32,0))))</f>
        <v>0</v>
      </c>
      <c r="H49" s="310">
        <f>IF(G36=0,0,G49/G36)</f>
        <v>0</v>
      </c>
      <c r="I49" s="1161"/>
      <c r="J49" s="1162"/>
      <c r="K49" s="7"/>
      <c r="L49" s="1021">
        <f>G49+G18</f>
        <v>0</v>
      </c>
      <c r="M49" s="169">
        <v>0.09</v>
      </c>
      <c r="N49" s="169" t="s">
        <v>6944</v>
      </c>
      <c r="O49" s="169"/>
      <c r="P49" s="171">
        <f>IF($O$4=$O$5,G50,0)</f>
        <v>0</v>
      </c>
      <c r="Q49" s="3" t="s">
        <v>7170</v>
      </c>
      <c r="S49" s="169" t="s">
        <v>6989</v>
      </c>
      <c r="T49" s="169" t="s">
        <v>7181</v>
      </c>
      <c r="U49" s="311">
        <f>IF(O4&lt;&gt;O5,0,IF(G36=0,0,G48))</f>
        <v>0</v>
      </c>
      <c r="V49" s="713">
        <v>1</v>
      </c>
      <c r="W49" s="311">
        <f>IF(O4&lt;&gt;O5,0,IF(G10=0,0,U49*V49))</f>
        <v>0</v>
      </c>
      <c r="X49" s="169"/>
      <c r="Y49" s="169"/>
      <c r="AB49" s="3" t="s">
        <v>418</v>
      </c>
      <c r="AC49" s="311">
        <f>$G50*AC$42</f>
        <v>0</v>
      </c>
      <c r="AD49" s="311">
        <f>$G50*AD$42</f>
        <v>0</v>
      </c>
      <c r="AE49" s="311">
        <f>$G50*AE$42</f>
        <v>0</v>
      </c>
    </row>
    <row r="50" spans="1:34" ht="17.25" customHeight="1" thickBot="1">
      <c r="B50" s="1654"/>
      <c r="C50" s="1655"/>
      <c r="D50" s="1138" t="str">
        <f>IF($O$4=$O$5,S65,"")</f>
        <v/>
      </c>
      <c r="E50" s="1246" t="str">
        <f>IF(I$5="CM at Risk",T65,"")</f>
        <v/>
      </c>
      <c r="F50" s="435" t="str">
        <f>IF($O$4&lt;&gt;$O$5,"",IF($G$36=0,"",IFERROR(G50/$G$51,"")))</f>
        <v/>
      </c>
      <c r="G50" s="1176">
        <f>IF($O$4&lt;&gt;$O$5,0,IF($G$46=0,0,INDEX($BL$25:$BL$32,MATCH($AG$13,$AF$25:$AF$32,0))))</f>
        <v>0</v>
      </c>
      <c r="H50" s="310">
        <f>IF(G36=0,0,G50/G36)</f>
        <v>0</v>
      </c>
      <c r="I50" s="1163"/>
      <c r="J50" s="1137"/>
      <c r="K50" s="7"/>
      <c r="L50" s="1021">
        <f>G50+G19</f>
        <v>0</v>
      </c>
      <c r="M50" s="169">
        <v>4.4999999999999998E-2</v>
      </c>
      <c r="N50" s="169" t="s">
        <v>6943</v>
      </c>
      <c r="O50" s="169"/>
      <c r="P50" s="171">
        <f>IF($O$4=$O$5,G49,0)</f>
        <v>0</v>
      </c>
      <c r="Q50" s="3" t="s">
        <v>7171</v>
      </c>
      <c r="S50" s="169" t="s">
        <v>419</v>
      </c>
      <c r="T50" s="169" t="s">
        <v>6773</v>
      </c>
      <c r="U50" s="311">
        <f>G53</f>
        <v>0</v>
      </c>
      <c r="V50" s="714">
        <v>0.66</v>
      </c>
      <c r="W50" s="311">
        <f t="shared" ref="W50:W55" si="41">U50*V50</f>
        <v>0</v>
      </c>
      <c r="X50" s="169"/>
      <c r="Y50" s="169"/>
      <c r="AB50" s="3" t="s">
        <v>6956</v>
      </c>
      <c r="AC50" s="311">
        <f>$G49*AC$42</f>
        <v>0</v>
      </c>
      <c r="AD50" s="311">
        <f>$G49*AD$42</f>
        <v>0</v>
      </c>
      <c r="AE50" s="311">
        <f>$G49*AE$42</f>
        <v>0</v>
      </c>
    </row>
    <row r="51" spans="1:34" ht="19.5" customHeight="1" thickBot="1">
      <c r="B51" s="132"/>
      <c r="C51" s="190" t="s">
        <v>6740</v>
      </c>
      <c r="D51" s="200"/>
      <c r="E51" s="201"/>
      <c r="F51" s="53"/>
      <c r="G51" s="78">
        <f>IF(O4=O5,INDEX($BE$25:$BE$32,MATCH($AG$13,$AF$25:$AF$32,0)),G46+G47)</f>
        <v>0</v>
      </c>
      <c r="H51" s="78">
        <f>IF(G36=0,0,G51/G36)</f>
        <v>0</v>
      </c>
      <c r="I51" s="562"/>
      <c r="J51" s="563"/>
      <c r="K51" s="7"/>
      <c r="L51" s="1022">
        <f>G51+G20</f>
        <v>0</v>
      </c>
      <c r="M51" s="169"/>
      <c r="N51" s="169"/>
      <c r="O51" s="169"/>
      <c r="P51" s="169"/>
      <c r="Q51" s="169"/>
      <c r="R51" s="169"/>
      <c r="S51" s="169" t="s">
        <v>6993</v>
      </c>
      <c r="T51" s="169" t="s">
        <v>6774</v>
      </c>
      <c r="U51" s="311">
        <f>G54</f>
        <v>0</v>
      </c>
      <c r="V51" s="714">
        <v>1</v>
      </c>
      <c r="W51" s="311">
        <f t="shared" si="41"/>
        <v>0</v>
      </c>
      <c r="X51" s="169"/>
      <c r="Y51" s="169"/>
      <c r="AB51" s="3" t="s">
        <v>6719</v>
      </c>
      <c r="AC51" s="311">
        <f t="shared" si="38"/>
        <v>0</v>
      </c>
      <c r="AD51" s="311">
        <f t="shared" si="38"/>
        <v>0</v>
      </c>
      <c r="AE51" s="311">
        <f t="shared" si="38"/>
        <v>0</v>
      </c>
    </row>
    <row r="52" spans="1:34" s="1148" customFormat="1" ht="19.5" customHeight="1" thickBot="1">
      <c r="A52"/>
      <c r="B52" s="132"/>
      <c r="C52" s="190" t="s">
        <v>141</v>
      </c>
      <c r="D52" s="200"/>
      <c r="E52" s="602" t="s">
        <v>6762</v>
      </c>
      <c r="F52" s="83">
        <f>IF(G52=0,0,G52/G51)</f>
        <v>0</v>
      </c>
      <c r="G52" s="78">
        <f>SUM(G53:G60)+G63+G64</f>
        <v>0</v>
      </c>
      <c r="H52" s="78">
        <f>IF(G36=0,0,G52/G36)</f>
        <v>0</v>
      </c>
      <c r="I52" s="1625" t="str">
        <f>IF(F52&gt;M52,N52,"")</f>
        <v/>
      </c>
      <c r="J52" s="1626"/>
      <c r="L52" s="737">
        <f t="shared" ref="L52:L59" si="42">G52+G21</f>
        <v>0</v>
      </c>
      <c r="M52" s="1148">
        <v>0.3</v>
      </c>
      <c r="N52" s="1148" t="s">
        <v>6763</v>
      </c>
      <c r="S52" s="1148" t="s">
        <v>7000</v>
      </c>
      <c r="T52" s="8" t="s">
        <v>6771</v>
      </c>
      <c r="U52" s="1389">
        <f>G55</f>
        <v>0</v>
      </c>
      <c r="V52" s="1390">
        <v>1</v>
      </c>
      <c r="W52" s="1389">
        <f t="shared" si="41"/>
        <v>0</v>
      </c>
      <c r="X52" s="8"/>
      <c r="Y52" s="8"/>
      <c r="Z52" s="8"/>
      <c r="AA52" s="8"/>
      <c r="AB52" s="8" t="s">
        <v>6957</v>
      </c>
      <c r="AC52" s="1389">
        <f t="shared" ref="AC52:AE65" si="43">$G52*AC$42</f>
        <v>0</v>
      </c>
      <c r="AD52" s="1389">
        <f t="shared" si="43"/>
        <v>0</v>
      </c>
      <c r="AE52" s="1389">
        <f t="shared" si="43"/>
        <v>0</v>
      </c>
      <c r="AF52" s="8"/>
      <c r="AG52" s="8"/>
    </row>
    <row r="53" spans="1:34" s="1148" customFormat="1" ht="18" customHeight="1" thickBot="1">
      <c r="A53"/>
      <c r="B53" s="132"/>
      <c r="C53" s="200"/>
      <c r="D53" s="200" t="s">
        <v>379</v>
      </c>
      <c r="E53" s="602" t="s">
        <v>6758</v>
      </c>
      <c r="F53" s="92">
        <v>0.01</v>
      </c>
      <c r="G53" s="77">
        <f>F53*(G51+G54+G55+G56+G57+G58+G59+G60+G63+G64)</f>
        <v>0</v>
      </c>
      <c r="H53" s="57"/>
      <c r="I53" s="1620" t="str">
        <f>IF(F53&gt;M53,N53,"")</f>
        <v/>
      </c>
      <c r="J53" s="1621"/>
      <c r="K53" s="1148">
        <v>0.01</v>
      </c>
      <c r="L53" s="737">
        <f t="shared" si="42"/>
        <v>0</v>
      </c>
      <c r="M53" s="1148">
        <v>0.02</v>
      </c>
      <c r="N53" s="1148" t="s">
        <v>6759</v>
      </c>
      <c r="R53" s="1383" t="str">
        <f t="shared" ref="R53:R60" si="44">IF($G$36&gt;0,F53,"")</f>
        <v/>
      </c>
      <c r="S53" s="1148" t="s">
        <v>7178</v>
      </c>
      <c r="T53" s="8" t="s">
        <v>7187</v>
      </c>
      <c r="U53" s="1389">
        <f>G56</f>
        <v>0</v>
      </c>
      <c r="V53" s="1390">
        <v>1</v>
      </c>
      <c r="W53" s="1389">
        <f t="shared" si="41"/>
        <v>0</v>
      </c>
      <c r="X53" s="8"/>
      <c r="Y53" s="1391"/>
      <c r="Z53" s="1392" t="s">
        <v>6926</v>
      </c>
      <c r="AA53" s="8"/>
      <c r="AB53" s="8" t="s">
        <v>6958</v>
      </c>
      <c r="AC53" s="1389">
        <f t="shared" si="43"/>
        <v>0</v>
      </c>
      <c r="AD53" s="1389">
        <f t="shared" si="43"/>
        <v>0</v>
      </c>
      <c r="AE53" s="1389">
        <f t="shared" si="43"/>
        <v>0</v>
      </c>
      <c r="AF53" s="8"/>
      <c r="AG53" s="8"/>
      <c r="AH53" s="1382"/>
    </row>
    <row r="54" spans="1:34" s="1148" customFormat="1" ht="17.25" customHeight="1" thickBot="1">
      <c r="A54"/>
      <c r="B54" s="1597" t="s">
        <v>6937</v>
      </c>
      <c r="C54" s="1598"/>
      <c r="D54" s="610" t="s">
        <v>6936</v>
      </c>
      <c r="E54" s="599" t="s">
        <v>6934</v>
      </c>
      <c r="F54" s="92">
        <v>4.0000000000000001E-3</v>
      </c>
      <c r="G54" s="77">
        <f t="shared" ref="G54:G60" si="45">F54*G$51</f>
        <v>0</v>
      </c>
      <c r="H54" s="711"/>
      <c r="I54" s="712" t="str">
        <f t="shared" ref="I54:I56" si="46">IF(F54&gt;M54,N54,"")</f>
        <v/>
      </c>
      <c r="J54" s="226"/>
      <c r="K54" s="1148">
        <v>4.0000000000000001E-3</v>
      </c>
      <c r="L54" s="737">
        <f t="shared" si="42"/>
        <v>0</v>
      </c>
      <c r="M54" s="1148">
        <v>5.0000000000000001E-3</v>
      </c>
      <c r="N54" s="1148" t="s">
        <v>6976</v>
      </c>
      <c r="R54" s="1383" t="str">
        <f t="shared" si="44"/>
        <v/>
      </c>
      <c r="S54" s="1148" t="s">
        <v>420</v>
      </c>
      <c r="T54" s="8" t="s">
        <v>7001</v>
      </c>
      <c r="U54" s="1389">
        <f>G57</f>
        <v>0</v>
      </c>
      <c r="V54" s="1390">
        <v>1</v>
      </c>
      <c r="W54" s="1389">
        <f t="shared" si="41"/>
        <v>0</v>
      </c>
      <c r="X54" s="8"/>
      <c r="Y54" s="1393">
        <f>IF(G75=Y38,U56*0.85,0)</f>
        <v>0</v>
      </c>
      <c r="Z54" s="1394">
        <v>0.85</v>
      </c>
      <c r="AA54" s="8"/>
      <c r="AB54" s="8" t="s">
        <v>6959</v>
      </c>
      <c r="AC54" s="1389">
        <f t="shared" si="43"/>
        <v>0</v>
      </c>
      <c r="AD54" s="1389">
        <f t="shared" si="43"/>
        <v>0</v>
      </c>
      <c r="AE54" s="1389">
        <f t="shared" si="43"/>
        <v>0</v>
      </c>
      <c r="AF54" s="8"/>
      <c r="AG54" s="8"/>
    </row>
    <row r="55" spans="1:34" s="1148" customFormat="1" ht="17.25" customHeight="1" thickBot="1">
      <c r="A55"/>
      <c r="B55" s="1599"/>
      <c r="C55" s="1600"/>
      <c r="D55" s="488" t="s">
        <v>6994</v>
      </c>
      <c r="E55" s="204" t="s">
        <v>7002</v>
      </c>
      <c r="F55" s="92">
        <v>0.06</v>
      </c>
      <c r="G55" s="77">
        <f>F55*G$51</f>
        <v>0</v>
      </c>
      <c r="H55" s="708"/>
      <c r="I55" s="672" t="str">
        <f t="shared" si="46"/>
        <v/>
      </c>
      <c r="J55" s="673"/>
      <c r="K55" s="1380">
        <v>0.06</v>
      </c>
      <c r="L55" s="737">
        <f t="shared" si="42"/>
        <v>0</v>
      </c>
      <c r="M55" s="1148">
        <v>6.5000000000000002E-2</v>
      </c>
      <c r="N55" s="1148" t="s">
        <v>7594</v>
      </c>
      <c r="R55" s="1383" t="str">
        <f t="shared" si="44"/>
        <v/>
      </c>
      <c r="S55" s="1148" t="s">
        <v>421</v>
      </c>
      <c r="T55" s="8" t="s">
        <v>7186</v>
      </c>
      <c r="U55" s="1389">
        <f>G60</f>
        <v>0</v>
      </c>
      <c r="V55" s="1390">
        <v>1</v>
      </c>
      <c r="W55" s="1389">
        <f t="shared" si="41"/>
        <v>0</v>
      </c>
      <c r="X55" s="8"/>
      <c r="Y55" s="8"/>
      <c r="Z55" s="8"/>
      <c r="AA55" s="8"/>
      <c r="AB55" s="8" t="s">
        <v>7000</v>
      </c>
      <c r="AC55" s="1389">
        <f t="shared" si="43"/>
        <v>0</v>
      </c>
      <c r="AD55" s="1389">
        <f t="shared" si="43"/>
        <v>0</v>
      </c>
      <c r="AE55" s="1389">
        <f t="shared" si="43"/>
        <v>0</v>
      </c>
      <c r="AF55" s="8"/>
      <c r="AG55" s="8"/>
    </row>
    <row r="56" spans="1:34" s="1148" customFormat="1" ht="17.25" customHeight="1" thickBot="1">
      <c r="A56"/>
      <c r="B56" s="1599"/>
      <c r="C56" s="1600"/>
      <c r="D56" s="611" t="s">
        <v>6995</v>
      </c>
      <c r="E56" s="603" t="s">
        <v>6997</v>
      </c>
      <c r="F56" s="428">
        <v>0.02</v>
      </c>
      <c r="G56" s="77">
        <f>F56*G$51</f>
        <v>0</v>
      </c>
      <c r="H56" s="708"/>
      <c r="I56" s="597" t="str">
        <f t="shared" si="46"/>
        <v/>
      </c>
      <c r="J56" s="684"/>
      <c r="K56" s="1380">
        <v>0.02</v>
      </c>
      <c r="L56" s="737">
        <f t="shared" si="42"/>
        <v>0</v>
      </c>
      <c r="M56" s="1148">
        <v>2.5000000000000001E-2</v>
      </c>
      <c r="N56" s="1148" t="s">
        <v>6998</v>
      </c>
      <c r="R56" s="1383" t="str">
        <f t="shared" si="44"/>
        <v/>
      </c>
      <c r="S56" s="1384" t="s">
        <v>7184</v>
      </c>
      <c r="T56" s="8" t="s">
        <v>7185</v>
      </c>
      <c r="U56" s="1389">
        <f>G80</f>
        <v>0</v>
      </c>
      <c r="V56" s="1390">
        <v>0.15</v>
      </c>
      <c r="W56" s="1389">
        <f>IF(G75=W38,G80,U56*V56)</f>
        <v>0</v>
      </c>
      <c r="X56" s="8"/>
      <c r="Y56" s="8"/>
      <c r="Z56" s="8"/>
      <c r="AA56" s="8"/>
      <c r="AB56" s="8" t="s">
        <v>7178</v>
      </c>
      <c r="AC56" s="1389">
        <f t="shared" si="43"/>
        <v>0</v>
      </c>
      <c r="AD56" s="1389">
        <f t="shared" si="43"/>
        <v>0</v>
      </c>
      <c r="AE56" s="1389">
        <f t="shared" si="43"/>
        <v>0</v>
      </c>
      <c r="AF56" s="8"/>
      <c r="AG56" s="8"/>
    </row>
    <row r="57" spans="1:34" s="1148" customFormat="1" ht="17.25" customHeight="1" thickBot="1">
      <c r="A57"/>
      <c r="B57" s="1601"/>
      <c r="C57" s="1602"/>
      <c r="D57" s="611" t="s">
        <v>417</v>
      </c>
      <c r="E57" s="603" t="s">
        <v>6749</v>
      </c>
      <c r="F57" s="92">
        <v>0.01</v>
      </c>
      <c r="G57" s="77">
        <f t="shared" si="45"/>
        <v>0</v>
      </c>
      <c r="H57" s="710"/>
      <c r="I57" s="1622" t="str">
        <f>IF(F57&gt;M57,N57,"")</f>
        <v/>
      </c>
      <c r="J57" s="1615"/>
      <c r="K57" s="1148">
        <v>0.01</v>
      </c>
      <c r="L57" s="737">
        <f t="shared" si="42"/>
        <v>0</v>
      </c>
      <c r="M57" s="1148">
        <v>0.03</v>
      </c>
      <c r="N57" s="1148" t="s">
        <v>6750</v>
      </c>
      <c r="Q57" s="824">
        <f>$G$51*$M$48</f>
        <v>0</v>
      </c>
      <c r="R57" s="1383" t="str">
        <f t="shared" si="44"/>
        <v/>
      </c>
      <c r="S57" s="1384" t="s">
        <v>6990</v>
      </c>
      <c r="T57" s="8"/>
      <c r="U57" s="1389"/>
      <c r="V57" s="1390"/>
      <c r="W57" s="1389">
        <v>0</v>
      </c>
      <c r="X57" s="8"/>
      <c r="Y57" s="8"/>
      <c r="Z57" s="8"/>
      <c r="AA57" s="8"/>
      <c r="AB57" s="8" t="s">
        <v>6960</v>
      </c>
      <c r="AC57" s="1389">
        <f t="shared" si="43"/>
        <v>0</v>
      </c>
      <c r="AD57" s="1389">
        <f t="shared" si="43"/>
        <v>0</v>
      </c>
      <c r="AE57" s="1389">
        <f t="shared" si="43"/>
        <v>0</v>
      </c>
      <c r="AF57" s="8"/>
      <c r="AG57" s="8"/>
    </row>
    <row r="58" spans="1:34" s="1148" customFormat="1" ht="17.25" customHeight="1" thickBot="1">
      <c r="A58"/>
      <c r="B58" s="1597" t="s">
        <v>6938</v>
      </c>
      <c r="C58" s="1656"/>
      <c r="D58" s="590" t="s">
        <v>377</v>
      </c>
      <c r="E58" s="606" t="s">
        <v>6751</v>
      </c>
      <c r="F58" s="92">
        <v>0.1</v>
      </c>
      <c r="G58" s="77">
        <f t="shared" si="45"/>
        <v>0</v>
      </c>
      <c r="H58" s="707"/>
      <c r="I58" s="1623" t="str">
        <f>IF(F58&gt;M58,N58,IF(F58&lt;P58,O58,""))</f>
        <v/>
      </c>
      <c r="J58" s="1624"/>
      <c r="K58" s="1148">
        <v>0.1</v>
      </c>
      <c r="L58" s="737">
        <f t="shared" si="42"/>
        <v>0</v>
      </c>
      <c r="M58" s="1148">
        <v>0.15</v>
      </c>
      <c r="N58" s="1148" t="s">
        <v>6760</v>
      </c>
      <c r="O58" s="1148" t="s">
        <v>322</v>
      </c>
      <c r="P58" s="1148">
        <v>0.08</v>
      </c>
      <c r="Q58" s="824">
        <f>$G$51*$M$50</f>
        <v>0</v>
      </c>
      <c r="R58" s="1383" t="str">
        <f t="shared" si="44"/>
        <v/>
      </c>
      <c r="S58" s="1148" t="s">
        <v>6989</v>
      </c>
      <c r="T58" s="8" t="s">
        <v>7884</v>
      </c>
      <c r="U58" s="1389">
        <f>IF(O4&lt;&gt;O5,0,IF(G92=0,0,G93))</f>
        <v>0</v>
      </c>
      <c r="V58" s="1390">
        <v>1</v>
      </c>
      <c r="W58" s="1389">
        <f>U58*V58</f>
        <v>0</v>
      </c>
      <c r="X58" s="8"/>
      <c r="Y58" s="8"/>
      <c r="Z58" s="8"/>
      <c r="AA58" s="8"/>
      <c r="AB58" s="8" t="s">
        <v>6961</v>
      </c>
      <c r="AC58" s="1389">
        <f t="shared" si="43"/>
        <v>0</v>
      </c>
      <c r="AD58" s="1389">
        <f t="shared" si="43"/>
        <v>0</v>
      </c>
      <c r="AE58" s="1389">
        <f t="shared" si="43"/>
        <v>0</v>
      </c>
      <c r="AF58" s="8"/>
      <c r="AG58" s="8"/>
    </row>
    <row r="59" spans="1:34" s="1148" customFormat="1" ht="17.25" customHeight="1" thickBot="1">
      <c r="A59"/>
      <c r="B59" s="1657"/>
      <c r="C59" s="1658"/>
      <c r="D59" s="591" t="s">
        <v>378</v>
      </c>
      <c r="E59" s="282" t="s">
        <v>340</v>
      </c>
      <c r="F59" s="92">
        <v>0.03</v>
      </c>
      <c r="G59" s="77">
        <f t="shared" si="45"/>
        <v>0</v>
      </c>
      <c r="H59" s="710"/>
      <c r="I59" s="1622" t="str">
        <f>IF(F59&gt;M59,N59,"")</f>
        <v/>
      </c>
      <c r="J59" s="1615"/>
      <c r="K59" s="1148">
        <v>0.03</v>
      </c>
      <c r="L59" s="737">
        <f t="shared" si="42"/>
        <v>0</v>
      </c>
      <c r="M59" s="1148">
        <v>0.05</v>
      </c>
      <c r="N59" s="1148" t="s">
        <v>409</v>
      </c>
      <c r="Q59" s="824">
        <f>$G$51*$M$49</f>
        <v>0</v>
      </c>
      <c r="R59" s="1383" t="str">
        <f t="shared" si="44"/>
        <v/>
      </c>
      <c r="S59" s="1148" t="s">
        <v>419</v>
      </c>
      <c r="T59" s="8" t="s">
        <v>7188</v>
      </c>
      <c r="U59" s="1389">
        <f>G98</f>
        <v>0</v>
      </c>
      <c r="V59" s="1390">
        <v>0.66</v>
      </c>
      <c r="W59" s="1389">
        <f>U59*V59</f>
        <v>0</v>
      </c>
      <c r="X59" s="8"/>
      <c r="Y59" s="8"/>
      <c r="Z59" s="8"/>
      <c r="AA59" s="8"/>
      <c r="AB59" s="8" t="s">
        <v>6962</v>
      </c>
      <c r="AC59" s="1389">
        <f t="shared" si="43"/>
        <v>0</v>
      </c>
      <c r="AD59" s="1389">
        <f t="shared" si="43"/>
        <v>0</v>
      </c>
      <c r="AE59" s="1389">
        <f t="shared" si="43"/>
        <v>0</v>
      </c>
      <c r="AF59" s="8"/>
      <c r="AG59" s="8"/>
    </row>
    <row r="60" spans="1:34" s="1148" customFormat="1" ht="18" customHeight="1" thickBot="1">
      <c r="A60"/>
      <c r="B60" s="605"/>
      <c r="C60" s="598"/>
      <c r="D60" s="598" t="s">
        <v>14</v>
      </c>
      <c r="E60" s="604" t="s">
        <v>6761</v>
      </c>
      <c r="F60" s="92">
        <v>0.01</v>
      </c>
      <c r="G60" s="77">
        <f t="shared" si="45"/>
        <v>0</v>
      </c>
      <c r="H60" s="601"/>
      <c r="I60" s="1610" t="str">
        <f>IF(F60&gt;M60,N60,"")</f>
        <v/>
      </c>
      <c r="J60" s="1611"/>
      <c r="K60" s="1148">
        <v>0.01</v>
      </c>
      <c r="L60" s="737">
        <f>G60+G29</f>
        <v>0</v>
      </c>
      <c r="M60" s="1148">
        <v>0.02</v>
      </c>
      <c r="N60" s="1148" t="s">
        <v>8084</v>
      </c>
      <c r="R60" s="1383" t="str">
        <f t="shared" si="44"/>
        <v/>
      </c>
      <c r="S60" s="1148" t="s">
        <v>6992</v>
      </c>
      <c r="T60" s="8" t="s">
        <v>7189</v>
      </c>
      <c r="U60" s="1389">
        <f>G99</f>
        <v>0</v>
      </c>
      <c r="V60" s="1390">
        <v>1</v>
      </c>
      <c r="W60" s="1389">
        <f>U60*V60</f>
        <v>0</v>
      </c>
      <c r="X60" s="8"/>
      <c r="Y60" s="8"/>
      <c r="Z60" s="8"/>
      <c r="AA60" s="8"/>
      <c r="AB60" s="8" t="s">
        <v>6963</v>
      </c>
      <c r="AC60" s="1389">
        <f t="shared" si="43"/>
        <v>0</v>
      </c>
      <c r="AD60" s="1389">
        <f t="shared" si="43"/>
        <v>0</v>
      </c>
      <c r="AE60" s="1389">
        <f t="shared" si="43"/>
        <v>0</v>
      </c>
      <c r="AF60" s="8"/>
      <c r="AG60" s="8"/>
    </row>
    <row r="61" spans="1:34" s="1148" customFormat="1" ht="19.5" customHeight="1" thickBot="1">
      <c r="A61"/>
      <c r="B61" s="159"/>
      <c r="C61" s="206" t="s">
        <v>5</v>
      </c>
      <c r="D61" s="207"/>
      <c r="E61" s="208"/>
      <c r="F61" s="361"/>
      <c r="G61" s="80">
        <f>G51+SUM(G53:G60)</f>
        <v>0</v>
      </c>
      <c r="H61" s="81">
        <f>IF(G36=0,0,G61/G36)</f>
        <v>0</v>
      </c>
      <c r="I61" s="562"/>
      <c r="J61" s="563"/>
      <c r="L61" s="737">
        <f>G30+G61</f>
        <v>0</v>
      </c>
      <c r="M61" s="1148">
        <v>0.08</v>
      </c>
      <c r="S61" s="1148" t="s">
        <v>421</v>
      </c>
      <c r="T61" s="8" t="s">
        <v>6340</v>
      </c>
      <c r="U61" s="1389">
        <f>G100</f>
        <v>0</v>
      </c>
      <c r="V61" s="1390">
        <v>1</v>
      </c>
      <c r="W61" s="1389">
        <f>U61*V61</f>
        <v>0</v>
      </c>
      <c r="X61" s="8"/>
      <c r="Y61" s="8"/>
      <c r="Z61" s="8"/>
      <c r="AA61" s="8"/>
      <c r="AB61" s="8" t="s">
        <v>6964</v>
      </c>
      <c r="AC61" s="1389">
        <f t="shared" si="43"/>
        <v>0</v>
      </c>
      <c r="AD61" s="1389">
        <f t="shared" si="43"/>
        <v>0</v>
      </c>
      <c r="AE61" s="1389">
        <f t="shared" si="43"/>
        <v>0</v>
      </c>
      <c r="AF61" s="8"/>
      <c r="AG61" s="8"/>
    </row>
    <row r="62" spans="1:34" s="1148" customFormat="1" ht="19.5" customHeight="1" thickBot="1">
      <c r="A62"/>
      <c r="B62" s="132"/>
      <c r="C62" s="190" t="s">
        <v>6942</v>
      </c>
      <c r="D62" s="200"/>
      <c r="E62" s="209">
        <v>0.1</v>
      </c>
      <c r="F62" s="92">
        <v>0.1</v>
      </c>
      <c r="G62" s="80">
        <f>F62*G61</f>
        <v>0</v>
      </c>
      <c r="H62" s="77">
        <f>IF(G36=0,0,G62/G36)</f>
        <v>0</v>
      </c>
      <c r="I62" s="562" t="str">
        <f>IF(F62&gt;M62,N62,IF(F62&lt;M62,O62,""))</f>
        <v/>
      </c>
      <c r="J62" s="563"/>
      <c r="K62" s="1148">
        <v>0.1</v>
      </c>
      <c r="L62" s="737">
        <f>G62+G31</f>
        <v>0</v>
      </c>
      <c r="M62" s="1148">
        <v>0.1</v>
      </c>
      <c r="N62" s="1148" t="s">
        <v>321</v>
      </c>
      <c r="O62" s="1148" t="s">
        <v>320</v>
      </c>
      <c r="R62" s="1383" t="str">
        <f t="shared" ref="R62:R64" si="47">IF($G$36&gt;0,F62,"")</f>
        <v/>
      </c>
      <c r="T62" s="8"/>
      <c r="U62" s="8"/>
      <c r="V62" s="8"/>
      <c r="W62" s="8">
        <v>0</v>
      </c>
      <c r="X62" s="8"/>
      <c r="Y62" s="8"/>
      <c r="Z62" s="8"/>
      <c r="AA62" s="8"/>
      <c r="AB62" s="8" t="s">
        <v>6965</v>
      </c>
      <c r="AC62" s="1389">
        <f t="shared" si="43"/>
        <v>0</v>
      </c>
      <c r="AD62" s="1389">
        <f t="shared" si="43"/>
        <v>0</v>
      </c>
      <c r="AE62" s="1389">
        <f t="shared" si="43"/>
        <v>0</v>
      </c>
      <c r="AF62" s="8"/>
      <c r="AG62" s="8"/>
      <c r="AH62" s="1382"/>
    </row>
    <row r="63" spans="1:34" s="1148" customFormat="1" ht="18" customHeight="1" thickBot="1">
      <c r="A63"/>
      <c r="B63" s="1606" t="s">
        <v>6941</v>
      </c>
      <c r="C63" s="1661"/>
      <c r="D63" s="199" t="s">
        <v>13</v>
      </c>
      <c r="E63" s="204" t="s">
        <v>8085</v>
      </c>
      <c r="F63" s="92">
        <v>0.01</v>
      </c>
      <c r="G63" s="77">
        <f>F63*G$51</f>
        <v>0</v>
      </c>
      <c r="H63" s="56"/>
      <c r="I63" s="1612" t="str">
        <f>IF(F63&gt;M63,N63,"")</f>
        <v/>
      </c>
      <c r="J63" s="1613"/>
      <c r="K63" s="1148">
        <v>0.01</v>
      </c>
      <c r="L63" s="737">
        <f t="shared" ref="L63:L65" si="48">G63+G32</f>
        <v>0</v>
      </c>
      <c r="M63" s="1148">
        <v>1.4999999999999999E-2</v>
      </c>
      <c r="N63" s="1148" t="s">
        <v>380</v>
      </c>
      <c r="R63" s="1383" t="str">
        <f t="shared" si="47"/>
        <v/>
      </c>
      <c r="S63" s="1385" t="s">
        <v>6940</v>
      </c>
      <c r="T63" s="202" t="s">
        <v>7891</v>
      </c>
      <c r="U63" s="1395">
        <f>G48</f>
        <v>0</v>
      </c>
      <c r="V63" s="1389">
        <f>G49</f>
        <v>0</v>
      </c>
      <c r="W63" s="1389"/>
      <c r="X63" s="8"/>
      <c r="Y63" s="8"/>
      <c r="Z63" s="8"/>
      <c r="AA63" s="8"/>
      <c r="AB63" s="8" t="s">
        <v>6966</v>
      </c>
      <c r="AC63" s="1389">
        <f t="shared" si="43"/>
        <v>0</v>
      </c>
      <c r="AD63" s="1389">
        <f t="shared" si="43"/>
        <v>0</v>
      </c>
      <c r="AE63" s="1389">
        <f t="shared" si="43"/>
        <v>0</v>
      </c>
      <c r="AF63" s="8"/>
      <c r="AG63" s="8"/>
    </row>
    <row r="64" spans="1:34" s="1148" customFormat="1" ht="18" customHeight="1" thickBot="1">
      <c r="A64"/>
      <c r="B64" s="1608"/>
      <c r="C64" s="1662"/>
      <c r="D64" s="205" t="s">
        <v>376</v>
      </c>
      <c r="E64" s="282" t="s">
        <v>6755</v>
      </c>
      <c r="F64" s="92">
        <v>5.0000000000000001E-3</v>
      </c>
      <c r="G64" s="77">
        <f>F64*G$51</f>
        <v>0</v>
      </c>
      <c r="H64" s="166"/>
      <c r="I64" s="1614" t="str">
        <f>IF(F64&gt;M64,N64,"")</f>
        <v/>
      </c>
      <c r="J64" s="1615"/>
      <c r="K64" s="1148">
        <v>5.0000000000000001E-3</v>
      </c>
      <c r="L64" s="737">
        <f t="shared" si="48"/>
        <v>0</v>
      </c>
      <c r="M64" s="1148">
        <v>0.01</v>
      </c>
      <c r="N64" s="1148" t="s">
        <v>6756</v>
      </c>
      <c r="R64" s="1148" t="str">
        <f t="shared" si="47"/>
        <v/>
      </c>
      <c r="S64" s="1148" t="s">
        <v>6743</v>
      </c>
      <c r="T64" s="202" t="s">
        <v>8076</v>
      </c>
      <c r="U64" s="8"/>
      <c r="V64" s="8"/>
      <c r="W64" s="1389"/>
      <c r="X64" s="8"/>
      <c r="Y64" s="8"/>
      <c r="Z64" s="8"/>
      <c r="AA64" s="8"/>
      <c r="AB64" s="8" t="s">
        <v>6967</v>
      </c>
      <c r="AC64" s="1389">
        <f>$G64*AC$42</f>
        <v>0</v>
      </c>
      <c r="AD64" s="1389">
        <f t="shared" si="43"/>
        <v>0</v>
      </c>
      <c r="AE64" s="1389">
        <f t="shared" si="43"/>
        <v>0</v>
      </c>
      <c r="AF64" s="8"/>
      <c r="AG64" s="8"/>
    </row>
    <row r="65" spans="1:33" s="1148" customFormat="1" ht="19.5" customHeight="1" thickBot="1">
      <c r="A65"/>
      <c r="B65" s="132"/>
      <c r="C65" s="190" t="s">
        <v>382</v>
      </c>
      <c r="D65" s="210"/>
      <c r="E65" s="211"/>
      <c r="F65" s="167" t="str">
        <f>IF(G51=0,"",G65/G51-1)</f>
        <v/>
      </c>
      <c r="G65" s="78">
        <f>IF(G36=0,0,G61+G62+G63+G64)</f>
        <v>0</v>
      </c>
      <c r="H65" s="78">
        <f>IF(G36=0, 0, G65/(G36))</f>
        <v>0</v>
      </c>
      <c r="I65" s="562"/>
      <c r="J65" s="563"/>
      <c r="L65" s="737">
        <f t="shared" si="48"/>
        <v>0</v>
      </c>
      <c r="S65" s="1386" t="s">
        <v>6929</v>
      </c>
      <c r="T65" s="8" t="s">
        <v>7890</v>
      </c>
      <c r="U65" s="1395" t="e">
        <f>F49*G46</f>
        <v>#VALUE!</v>
      </c>
      <c r="V65" s="8"/>
      <c r="W65" s="1389"/>
      <c r="X65" s="8"/>
      <c r="Y65" s="8"/>
      <c r="Z65" s="8"/>
      <c r="AA65" s="8"/>
      <c r="AB65" s="8" t="s">
        <v>6968</v>
      </c>
      <c r="AC65" s="1389">
        <f t="shared" si="43"/>
        <v>0</v>
      </c>
      <c r="AD65" s="1389">
        <f t="shared" si="43"/>
        <v>0</v>
      </c>
      <c r="AE65" s="1389">
        <f t="shared" si="43"/>
        <v>0</v>
      </c>
      <c r="AF65" s="8"/>
      <c r="AG65" s="8"/>
    </row>
    <row r="66" spans="1:33" ht="6" customHeight="1">
      <c r="A66" s="7"/>
      <c r="B66" s="7"/>
      <c r="C66" s="13"/>
      <c r="D66" s="7"/>
      <c r="E66" s="151"/>
      <c r="F66" s="136"/>
      <c r="G66" s="152"/>
      <c r="H66" s="152"/>
      <c r="I66" s="153"/>
      <c r="J66" s="153"/>
      <c r="K66" s="7"/>
      <c r="L66" s="7"/>
      <c r="M66" s="169"/>
      <c r="N66" s="169"/>
      <c r="O66" s="169"/>
      <c r="P66" s="169"/>
      <c r="Q66" s="169"/>
      <c r="R66" s="169"/>
      <c r="S66" s="169"/>
      <c r="T66" s="169"/>
      <c r="U66" s="169"/>
      <c r="V66" s="169"/>
      <c r="W66" s="169"/>
      <c r="X66" s="169"/>
    </row>
    <row r="67" spans="1:33" ht="3.75" customHeight="1">
      <c r="A67" s="7"/>
      <c r="B67" s="7"/>
      <c r="C67" s="7"/>
      <c r="D67" s="7"/>
      <c r="E67" s="7"/>
      <c r="F67" s="7"/>
      <c r="G67" s="7"/>
      <c r="H67" s="7"/>
      <c r="I67" s="7"/>
      <c r="J67" s="7"/>
      <c r="K67" s="7"/>
      <c r="L67" s="7"/>
      <c r="M67" s="169"/>
      <c r="N67" s="169"/>
      <c r="O67" s="169"/>
      <c r="P67" s="169"/>
      <c r="Q67" s="169"/>
      <c r="R67" s="169"/>
      <c r="S67" s="169"/>
      <c r="T67" s="169"/>
      <c r="U67" s="169"/>
      <c r="V67" s="169"/>
      <c r="W67" s="169"/>
      <c r="X67" s="169"/>
    </row>
    <row r="68" spans="1:33" ht="37.5" customHeight="1" thickBot="1">
      <c r="A68" s="19" t="s">
        <v>201</v>
      </c>
      <c r="B68" s="12"/>
      <c r="C68" s="12"/>
      <c r="D68" s="12"/>
      <c r="E68" s="124"/>
      <c r="F68" s="149"/>
      <c r="G68" s="156"/>
      <c r="H68" s="156"/>
      <c r="J68" s="150" t="str">
        <f>'TAB 1 Proj. ID &amp; Prim Narrative'!$M$1</f>
        <v>USG CAPITAL PLAN -  FY 27-30 PROJECT TEMPLATE</v>
      </c>
      <c r="K68" s="7"/>
      <c r="L68" s="1023">
        <f>L62+E5</f>
        <v>0</v>
      </c>
      <c r="M68" s="169"/>
      <c r="N68" s="169"/>
      <c r="O68" s="169"/>
      <c r="P68" s="169"/>
      <c r="Q68" s="169"/>
      <c r="R68" s="169"/>
      <c r="U68" s="169"/>
      <c r="V68" s="169"/>
      <c r="W68" s="169"/>
      <c r="X68" s="169"/>
    </row>
    <row r="69" spans="1:33" ht="22.5" customHeight="1" thickBot="1">
      <c r="A69" s="31"/>
      <c r="B69" s="7"/>
      <c r="C69" s="7"/>
      <c r="D69" s="69" t="str">
        <f>IF('TAB 1 Proj. ID &amp; Prim Narrative'!$B$7="","",'TAB 1 Proj. ID &amp; Prim Narrative'!$B$7)</f>
        <v/>
      </c>
      <c r="E69" s="1131" t="str">
        <f>IF('TAB 1 Proj. ID &amp; Prim Narrative'!$U$13="","",'TAB 1 Proj. ID &amp; Prim Narrative'!$U$13)</f>
        <v/>
      </c>
      <c r="F69" s="69" t="str">
        <f>IF('TAB 2 Project Specs'!H2="","",'TAB 2 Project Specs'!H2)</f>
        <v/>
      </c>
      <c r="G69" s="1647" t="str">
        <f>IF('TAB 1 Proj. ID &amp; Prim Narrative'!$D$10="","",'TAB 1 Proj. ID &amp; Prim Narrative'!$D$10)</f>
        <v/>
      </c>
      <c r="H69" s="1648"/>
      <c r="I69" s="1648"/>
      <c r="J69" s="1447"/>
      <c r="K69" s="7"/>
      <c r="L69" s="7"/>
      <c r="M69" s="169"/>
      <c r="N69" s="169"/>
      <c r="O69" s="169"/>
      <c r="P69" s="169"/>
      <c r="Q69" s="169"/>
      <c r="R69" s="169"/>
      <c r="S69" s="169"/>
      <c r="T69" s="169"/>
      <c r="U69" s="169"/>
      <c r="V69" s="169"/>
      <c r="W69" s="169"/>
      <c r="X69" s="169"/>
    </row>
    <row r="70" spans="1:33" ht="7.5" customHeight="1">
      <c r="A70" s="31"/>
      <c r="B70" s="7"/>
      <c r="C70" s="7"/>
      <c r="D70" s="676"/>
      <c r="E70" s="304"/>
      <c r="F70" s="676"/>
      <c r="G70" s="677"/>
      <c r="H70" s="678"/>
      <c r="I70" s="678"/>
      <c r="J70" s="32"/>
      <c r="K70" s="7"/>
      <c r="L70" s="7"/>
      <c r="M70" s="169"/>
      <c r="N70" s="169"/>
      <c r="O70" s="169"/>
      <c r="P70" s="169"/>
      <c r="Q70" s="169"/>
      <c r="R70" s="169"/>
      <c r="S70" s="169"/>
      <c r="T70" s="169"/>
      <c r="U70" s="169"/>
      <c r="V70" s="169"/>
      <c r="W70" s="169"/>
      <c r="X70" s="169"/>
    </row>
    <row r="71" spans="1:33" ht="24.75" customHeight="1" thickBot="1">
      <c r="A71" s="31"/>
      <c r="B71" s="7"/>
      <c r="C71" s="7"/>
      <c r="D71" s="675" t="s">
        <v>190</v>
      </c>
      <c r="E71" s="675" t="s">
        <v>7004</v>
      </c>
      <c r="F71" s="675" t="s">
        <v>197</v>
      </c>
      <c r="G71" s="1632" t="s">
        <v>7005</v>
      </c>
      <c r="H71" s="1633"/>
      <c r="I71" s="675" t="s">
        <v>408</v>
      </c>
      <c r="J71" s="7"/>
      <c r="K71" s="7"/>
      <c r="L71" s="7"/>
      <c r="M71" s="169"/>
      <c r="N71" s="169"/>
      <c r="O71" s="169"/>
      <c r="P71" s="169"/>
      <c r="Q71" s="169"/>
      <c r="R71" s="169"/>
      <c r="S71" s="169"/>
      <c r="T71" s="169"/>
      <c r="U71" s="169"/>
      <c r="V71" s="169"/>
      <c r="W71" s="169"/>
      <c r="X71" s="169"/>
    </row>
    <row r="72" spans="1:33" ht="16.5" customHeight="1" thickBot="1">
      <c r="A72" s="31"/>
      <c r="B72" s="7"/>
      <c r="C72" s="7"/>
      <c r="D72" s="525">
        <f>D5</f>
        <v>0</v>
      </c>
      <c r="E72" s="525">
        <f>E5</f>
        <v>0</v>
      </c>
      <c r="F72" s="525">
        <f>F5</f>
        <v>0</v>
      </c>
      <c r="G72" s="1631">
        <f>G5</f>
        <v>0</v>
      </c>
      <c r="H72" s="1649"/>
      <c r="I72" s="525" t="str">
        <f>I5</f>
        <v/>
      </c>
      <c r="J72" s="257"/>
      <c r="K72" s="7"/>
      <c r="L72" s="7"/>
      <c r="M72" s="169"/>
      <c r="N72" s="169"/>
      <c r="O72" s="169"/>
      <c r="P72" s="169"/>
      <c r="Q72" s="169"/>
      <c r="R72" s="169"/>
      <c r="S72" s="169"/>
      <c r="T72" s="169"/>
      <c r="U72" s="169"/>
      <c r="V72" s="169"/>
      <c r="W72" s="169"/>
      <c r="X72" s="169"/>
    </row>
    <row r="73" spans="1:33" ht="30.75" customHeight="1">
      <c r="A73" s="31" t="s">
        <v>424</v>
      </c>
      <c r="B73" s="7"/>
      <c r="C73" s="7"/>
      <c r="D73" s="7"/>
      <c r="E73" s="7"/>
      <c r="F73" s="7"/>
      <c r="G73" s="7"/>
      <c r="H73" s="7"/>
      <c r="I73" s="7"/>
      <c r="J73" s="7"/>
      <c r="K73" s="7"/>
      <c r="L73" s="7"/>
      <c r="M73" s="169"/>
      <c r="N73" s="169"/>
      <c r="O73" s="169"/>
      <c r="P73" s="169"/>
      <c r="Q73" s="169"/>
      <c r="R73" s="169"/>
      <c r="S73" s="169"/>
      <c r="T73" s="169"/>
      <c r="U73" s="169"/>
      <c r="V73" s="169"/>
      <c r="W73" s="169"/>
      <c r="X73" s="169"/>
    </row>
    <row r="74" spans="1:33" ht="15" customHeight="1" thickBot="1">
      <c r="A74" s="31"/>
      <c r="B74" s="7"/>
      <c r="C74" s="7"/>
      <c r="D74" s="7"/>
      <c r="E74" s="7"/>
      <c r="F74" s="7"/>
      <c r="G74" s="7"/>
      <c r="H74" s="7"/>
      <c r="I74" s="7"/>
      <c r="J74" s="7"/>
      <c r="K74" s="7"/>
      <c r="L74" s="7"/>
      <c r="M74" s="169"/>
      <c r="N74" s="169"/>
      <c r="O74" s="169"/>
      <c r="P74" s="169"/>
      <c r="Q74" s="169"/>
      <c r="R74" s="169"/>
      <c r="S74" s="169"/>
      <c r="T74" s="169"/>
      <c r="U74" s="169"/>
      <c r="V74" s="169"/>
      <c r="W74" s="169"/>
      <c r="X74" s="169"/>
    </row>
    <row r="75" spans="1:33" ht="25.5" customHeight="1" thickBot="1">
      <c r="A75" s="31"/>
      <c r="B75" s="45" t="s">
        <v>2</v>
      </c>
      <c r="C75" s="186"/>
      <c r="D75" s="188"/>
      <c r="E75" s="1618" t="str">
        <f>IF(D77="","",IF(E2=X28, "At what Large Cap project phase is demolition proposed?",""))</f>
        <v/>
      </c>
      <c r="F75" s="1619"/>
      <c r="G75" s="589"/>
      <c r="H75" s="345"/>
      <c r="I75" s="1616" t="str">
        <f>IF(D77="","","Include all project costs and fees with abatement and demolition unit costs.")</f>
        <v/>
      </c>
      <c r="J75" s="1617"/>
      <c r="K75" s="7"/>
      <c r="L75" s="7"/>
      <c r="M75" s="169"/>
      <c r="N75" s="169"/>
      <c r="O75" s="169"/>
      <c r="P75" s="169"/>
      <c r="Q75" s="169"/>
      <c r="R75" s="169"/>
      <c r="S75" s="169"/>
      <c r="T75" s="169"/>
      <c r="U75" s="169"/>
      <c r="V75" s="169"/>
      <c r="W75" s="169"/>
      <c r="X75" s="169"/>
      <c r="AB75" s="622">
        <f>G77</f>
        <v>0</v>
      </c>
      <c r="AC75" s="622">
        <f>G78</f>
        <v>0</v>
      </c>
      <c r="AD75" s="622">
        <f>G79</f>
        <v>0</v>
      </c>
    </row>
    <row r="76" spans="1:33" ht="22.5" customHeight="1" thickBot="1">
      <c r="A76" s="31"/>
      <c r="B76" s="215" t="s">
        <v>6925</v>
      </c>
      <c r="C76" s="154"/>
      <c r="D76" s="154"/>
      <c r="E76" s="216"/>
      <c r="F76" s="576" t="s">
        <v>6919</v>
      </c>
      <c r="G76" s="577" t="s">
        <v>6</v>
      </c>
      <c r="H76" s="564" t="s">
        <v>6918</v>
      </c>
      <c r="I76" s="62" t="s">
        <v>6920</v>
      </c>
      <c r="J76" s="62" t="s">
        <v>6921</v>
      </c>
      <c r="K76" s="7"/>
      <c r="L76" s="7"/>
      <c r="M76" s="169"/>
      <c r="N76" s="169"/>
      <c r="O76" s="199" t="s">
        <v>6888</v>
      </c>
      <c r="P76" s="169"/>
      <c r="Q76" s="169"/>
      <c r="R76" s="169"/>
      <c r="S76" s="169"/>
      <c r="T76" s="169"/>
      <c r="U76" s="169"/>
      <c r="V76" s="169"/>
      <c r="W76" s="169"/>
      <c r="X76" s="169"/>
      <c r="AB76" s="623" t="e">
        <f>AB75/G80</f>
        <v>#DIV/0!</v>
      </c>
      <c r="AC76" s="623" t="e">
        <f>G78/G80</f>
        <v>#DIV/0!</v>
      </c>
      <c r="AD76" s="623" t="e">
        <f>G79/G80</f>
        <v>#DIV/0!</v>
      </c>
    </row>
    <row r="77" spans="1:33" ht="17.25" customHeight="1" thickBot="1">
      <c r="A77" s="31"/>
      <c r="B77" s="588" t="s">
        <v>6923</v>
      </c>
      <c r="C77" s="565"/>
      <c r="D77" s="634" t="str">
        <f>IF('TAB 2 Project Specs'!G76="","",'TAB 2 Project Specs'!G76)</f>
        <v/>
      </c>
      <c r="E77" s="567"/>
      <c r="F77" s="312">
        <f>'TAB 2 Project Specs'!N78</f>
        <v>0</v>
      </c>
      <c r="G77" s="570">
        <f>IF(F77=0,0,F77*H77)</f>
        <v>0</v>
      </c>
      <c r="H77" s="584">
        <f>IF(F77=0,0,J77+I77)</f>
        <v>0</v>
      </c>
      <c r="I77" s="578"/>
      <c r="J77" s="579"/>
      <c r="K77" s="1148"/>
      <c r="L77" s="7"/>
      <c r="M77" s="169"/>
      <c r="N77" s="169"/>
      <c r="O77" s="205" t="s">
        <v>6889</v>
      </c>
      <c r="P77" s="169"/>
      <c r="Q77" s="169"/>
      <c r="R77" s="169"/>
      <c r="S77" s="169"/>
      <c r="T77" s="169"/>
      <c r="U77" s="169"/>
      <c r="V77" s="169"/>
      <c r="W77" s="169"/>
      <c r="X77" s="169"/>
    </row>
    <row r="78" spans="1:33" ht="17.25" customHeight="1">
      <c r="A78" s="31"/>
      <c r="B78" s="537" t="s">
        <v>6924</v>
      </c>
      <c r="C78" s="566"/>
      <c r="D78" s="635" t="str">
        <f>IF('TAB 2 Project Specs'!G81="","",'TAB 2 Project Specs'!G81)</f>
        <v/>
      </c>
      <c r="E78" s="571"/>
      <c r="F78" s="572">
        <f>'TAB 2 Project Specs'!N83</f>
        <v>0</v>
      </c>
      <c r="G78" s="573">
        <f t="shared" ref="G78:G79" si="49">IF(F78=0,0,F78*H78)</f>
        <v>0</v>
      </c>
      <c r="H78" s="585">
        <f t="shared" ref="H78" si="50">IF(F78=0,0,J78+I78)</f>
        <v>0</v>
      </c>
      <c r="I78" s="580"/>
      <c r="J78" s="581"/>
      <c r="K78" s="1148"/>
      <c r="L78" s="7"/>
      <c r="M78" s="169"/>
      <c r="N78" s="169"/>
      <c r="O78" s="136"/>
      <c r="P78" s="169"/>
      <c r="Q78" s="169"/>
      <c r="R78" s="169"/>
      <c r="S78" s="169"/>
      <c r="T78" s="169"/>
      <c r="U78" s="169"/>
      <c r="V78" s="169"/>
      <c r="W78" s="169"/>
      <c r="X78" s="169"/>
    </row>
    <row r="79" spans="1:33" ht="17.25" customHeight="1" thickBot="1">
      <c r="A79" s="31"/>
      <c r="B79" s="537" t="s">
        <v>6922</v>
      </c>
      <c r="C79" s="566"/>
      <c r="D79" s="636" t="str">
        <f>IF('TAB 2 Project Specs'!G86="","",'TAB 2 Project Specs'!G86)</f>
        <v/>
      </c>
      <c r="E79" s="568"/>
      <c r="F79" s="574">
        <f>'TAB 2 Project Specs'!N88</f>
        <v>0</v>
      </c>
      <c r="G79" s="575">
        <f t="shared" si="49"/>
        <v>0</v>
      </c>
      <c r="H79" s="586">
        <f>IF(F79=0,0,J79+I79)</f>
        <v>0</v>
      </c>
      <c r="I79" s="582"/>
      <c r="J79" s="583"/>
      <c r="K79" s="1148"/>
      <c r="L79" s="7"/>
      <c r="M79" s="169"/>
      <c r="N79" s="169"/>
      <c r="O79" s="136"/>
      <c r="P79" s="169"/>
      <c r="Q79" s="169"/>
      <c r="R79" s="169"/>
      <c r="S79" s="169"/>
      <c r="T79" s="169"/>
      <c r="U79" s="169"/>
      <c r="V79" s="169"/>
      <c r="W79" s="169"/>
      <c r="X79" s="169"/>
    </row>
    <row r="80" spans="1:33" ht="18.75" customHeight="1" thickBot="1">
      <c r="A80" s="31"/>
      <c r="B80" s="28"/>
      <c r="C80" s="51" t="s">
        <v>383</v>
      </c>
      <c r="D80" s="29"/>
      <c r="E80" s="188"/>
      <c r="F80" s="76">
        <f>SUM(F77:F79)</f>
        <v>0</v>
      </c>
      <c r="G80" s="84">
        <f>IF(G77=0,0,SUM(G77:G79))</f>
        <v>0</v>
      </c>
      <c r="H80" s="587">
        <f>IF(F77=0,0,G80/F80)</f>
        <v>0</v>
      </c>
      <c r="I80" s="7"/>
      <c r="J80" s="162"/>
      <c r="K80" s="1148"/>
      <c r="L80" s="7"/>
      <c r="M80" s="169"/>
      <c r="N80" s="169"/>
      <c r="O80" s="169"/>
      <c r="P80" s="169"/>
      <c r="Q80" s="169"/>
      <c r="R80" s="169"/>
      <c r="S80" s="169"/>
      <c r="T80" s="169"/>
      <c r="U80" s="169"/>
      <c r="V80" s="169"/>
      <c r="W80" s="169"/>
      <c r="X80" s="169"/>
    </row>
    <row r="81" spans="1:30" ht="41.25" customHeight="1">
      <c r="A81" s="31" t="s">
        <v>410</v>
      </c>
      <c r="B81" s="7"/>
      <c r="C81" s="7"/>
      <c r="D81" s="7"/>
      <c r="E81" s="7"/>
      <c r="F81" s="7"/>
      <c r="G81" s="7"/>
      <c r="H81" s="7"/>
      <c r="I81" s="7"/>
      <c r="J81" s="7"/>
      <c r="K81" s="1148"/>
      <c r="L81" s="7"/>
      <c r="M81" s="169"/>
      <c r="N81" s="169"/>
      <c r="O81" s="169"/>
      <c r="P81" s="169"/>
      <c r="Q81" s="169"/>
      <c r="R81" s="169"/>
      <c r="S81" s="169"/>
      <c r="T81" s="169"/>
      <c r="U81" s="169"/>
      <c r="V81" s="169"/>
      <c r="W81" s="169"/>
      <c r="X81" s="169"/>
    </row>
    <row r="82" spans="1:30" ht="14.25" customHeight="1" thickBot="1">
      <c r="B82" s="7"/>
      <c r="C82" s="7"/>
      <c r="D82" s="7"/>
      <c r="E82" s="7"/>
      <c r="F82" s="7"/>
      <c r="G82" s="7"/>
      <c r="H82" s="7"/>
      <c r="I82" s="7"/>
      <c r="J82" s="7"/>
      <c r="K82" s="1148"/>
      <c r="L82" s="7"/>
      <c r="M82" s="169"/>
      <c r="N82" s="169"/>
      <c r="O82" s="169"/>
      <c r="P82" s="169"/>
      <c r="Q82" s="169"/>
      <c r="R82" s="169"/>
      <c r="S82" s="169"/>
      <c r="T82" s="169"/>
      <c r="U82" s="169"/>
      <c r="V82" s="169"/>
      <c r="W82" s="169"/>
      <c r="X82" s="169"/>
    </row>
    <row r="83" spans="1:30" ht="19.5" customHeight="1">
      <c r="B83" s="217" t="s">
        <v>3</v>
      </c>
      <c r="C83" s="218"/>
      <c r="D83" s="219"/>
      <c r="E83" s="220"/>
      <c r="F83" s="225"/>
      <c r="G83" s="220"/>
      <c r="H83" s="226"/>
      <c r="I83" s="7"/>
      <c r="J83" s="7"/>
      <c r="K83" s="1148"/>
      <c r="L83" s="7"/>
      <c r="M83" s="169"/>
      <c r="N83" s="169"/>
      <c r="O83" s="169"/>
      <c r="P83" s="169"/>
      <c r="R83" s="169"/>
      <c r="S83" s="169"/>
      <c r="T83" s="169"/>
      <c r="U83" s="169"/>
      <c r="V83" s="169"/>
      <c r="W83" s="169"/>
      <c r="X83" s="169"/>
    </row>
    <row r="84" spans="1:30" ht="18" customHeight="1" thickBot="1">
      <c r="B84" s="486" t="s">
        <v>6890</v>
      </c>
      <c r="C84" s="213"/>
      <c r="D84" s="213"/>
      <c r="E84" s="221" t="s">
        <v>184</v>
      </c>
      <c r="F84" s="227" t="s">
        <v>168</v>
      </c>
      <c r="G84" s="227" t="s">
        <v>6</v>
      </c>
      <c r="H84" s="228" t="s">
        <v>196</v>
      </c>
      <c r="I84" s="7"/>
      <c r="J84" s="7"/>
      <c r="K84" s="1148"/>
      <c r="L84" s="7"/>
      <c r="M84" s="169"/>
      <c r="N84" s="169"/>
      <c r="O84" s="169"/>
      <c r="P84" s="169"/>
      <c r="Q84" s="169"/>
      <c r="R84" s="169"/>
      <c r="S84" s="169"/>
      <c r="T84" s="169"/>
      <c r="U84" s="169"/>
      <c r="V84" s="169"/>
      <c r="W84" s="169"/>
      <c r="X84" s="169"/>
    </row>
    <row r="85" spans="1:30" ht="18" customHeight="1" thickBot="1">
      <c r="B85" s="222"/>
      <c r="C85" s="213"/>
      <c r="D85" s="488" t="s">
        <v>6946</v>
      </c>
      <c r="E85" s="223" t="s">
        <v>206</v>
      </c>
      <c r="F85" s="82">
        <f>'TAB 2 Project Specs'!B98</f>
        <v>0</v>
      </c>
      <c r="G85" s="77">
        <f>F85*+H85</f>
        <v>0</v>
      </c>
      <c r="H85" s="91"/>
      <c r="I85" s="548" t="str">
        <f>IF(F85=0,"",IF(H85&gt;0,"",N85))</f>
        <v/>
      </c>
      <c r="J85" s="548"/>
      <c r="K85" s="1148"/>
      <c r="L85" s="7"/>
      <c r="M85" s="169">
        <v>22000</v>
      </c>
      <c r="N85" s="169" t="s">
        <v>237</v>
      </c>
      <c r="O85" s="169"/>
      <c r="P85" s="169"/>
      <c r="R85" s="169"/>
      <c r="S85" s="169"/>
      <c r="T85" s="169"/>
      <c r="U85" s="169"/>
      <c r="V85" s="169"/>
      <c r="W85" s="169"/>
      <c r="X85" s="169"/>
    </row>
    <row r="86" spans="1:30" ht="18" customHeight="1" thickBot="1">
      <c r="B86" s="222"/>
      <c r="C86" s="213"/>
      <c r="D86" s="488" t="s">
        <v>6947</v>
      </c>
      <c r="E86" s="223" t="s">
        <v>207</v>
      </c>
      <c r="F86" s="82">
        <f>'TAB 2 Project Specs'!B100</f>
        <v>0</v>
      </c>
      <c r="G86" s="77">
        <f>+H86*F86</f>
        <v>0</v>
      </c>
      <c r="H86" s="91"/>
      <c r="I86" s="548" t="str">
        <f>IF(F86=0,"",IF(H86&gt;0,"",N86))</f>
        <v/>
      </c>
      <c r="J86" s="548"/>
      <c r="K86" s="1148"/>
      <c r="L86" s="7"/>
      <c r="M86" s="169">
        <v>4000</v>
      </c>
      <c r="N86" s="169" t="s">
        <v>236</v>
      </c>
      <c r="O86" s="169"/>
      <c r="P86" s="169"/>
      <c r="Q86" s="169"/>
      <c r="R86" s="169"/>
      <c r="S86" s="169"/>
      <c r="T86" s="169"/>
      <c r="U86" s="169"/>
      <c r="V86" s="169"/>
      <c r="W86" s="169"/>
      <c r="X86" s="169"/>
    </row>
    <row r="87" spans="1:30" ht="18" customHeight="1" thickBot="1">
      <c r="B87" s="224"/>
      <c r="C87" s="304" t="s">
        <v>6891</v>
      </c>
      <c r="D87" s="136"/>
      <c r="E87" s="199"/>
      <c r="F87" s="61"/>
      <c r="G87" s="81">
        <f>G85+G86</f>
        <v>0</v>
      </c>
      <c r="H87" s="77" t="str">
        <f>IF((F85+F86)&gt;0,G87/(F85+F86),"")</f>
        <v/>
      </c>
      <c r="I87" s="7"/>
      <c r="J87" s="7"/>
      <c r="K87" s="1148"/>
      <c r="L87" s="7"/>
      <c r="M87" s="169"/>
      <c r="N87" s="169"/>
      <c r="O87" s="169"/>
      <c r="P87" s="169"/>
      <c r="Q87" s="169"/>
      <c r="R87" s="169"/>
      <c r="S87" s="169"/>
      <c r="T87" s="169"/>
      <c r="U87" s="169"/>
      <c r="V87" s="169"/>
      <c r="W87" s="169"/>
      <c r="X87" s="169"/>
      <c r="AA87" s="3" t="s">
        <v>7</v>
      </c>
      <c r="AB87" s="3" t="s">
        <v>6969</v>
      </c>
      <c r="AC87" s="3" t="s">
        <v>6970</v>
      </c>
      <c r="AD87" s="3" t="s">
        <v>4</v>
      </c>
    </row>
    <row r="88" spans="1:30" ht="18" customHeight="1" thickBot="1">
      <c r="B88" s="222"/>
      <c r="C88" s="1786" t="s">
        <v>6892</v>
      </c>
      <c r="D88" s="199"/>
      <c r="E88" s="199"/>
      <c r="F88" s="491"/>
      <c r="G88" s="91"/>
      <c r="H88" s="612"/>
      <c r="I88" s="7"/>
      <c r="J88" s="7"/>
      <c r="K88" s="1148"/>
      <c r="L88" s="7"/>
      <c r="M88" s="169"/>
      <c r="N88" s="169"/>
      <c r="O88" s="171">
        <f>SUM(G87:G90)</f>
        <v>0</v>
      </c>
      <c r="P88" s="169"/>
      <c r="Q88" s="169"/>
      <c r="R88" s="169"/>
      <c r="S88" s="169"/>
      <c r="T88" s="169"/>
      <c r="U88" s="169"/>
      <c r="V88" s="169"/>
      <c r="W88" s="169"/>
      <c r="X88" s="169"/>
      <c r="AA88" s="311">
        <f>G87</f>
        <v>0</v>
      </c>
      <c r="AB88" s="311">
        <f>G88</f>
        <v>0</v>
      </c>
      <c r="AC88" s="311">
        <f>G89</f>
        <v>0</v>
      </c>
      <c r="AD88" s="311">
        <f>G90</f>
        <v>0</v>
      </c>
    </row>
    <row r="89" spans="1:30" ht="18" customHeight="1" thickBot="1">
      <c r="B89" s="222"/>
      <c r="C89" s="1786" t="s">
        <v>6893</v>
      </c>
      <c r="D89" s="199"/>
      <c r="E89" s="199"/>
      <c r="F89" s="491"/>
      <c r="G89" s="91"/>
      <c r="H89" s="612"/>
      <c r="I89" s="7"/>
      <c r="J89" s="7"/>
      <c r="K89" s="1148"/>
      <c r="L89" s="7"/>
      <c r="M89" s="169"/>
      <c r="N89" s="169"/>
      <c r="O89" s="169"/>
      <c r="P89" s="169"/>
      <c r="Q89" s="169"/>
      <c r="R89" s="169"/>
      <c r="S89" s="169"/>
      <c r="T89" s="169"/>
      <c r="U89" s="169"/>
      <c r="V89" s="169"/>
      <c r="W89" s="169"/>
      <c r="X89" s="169"/>
      <c r="AA89" s="623">
        <f>IFERROR(AA88/G92,0)</f>
        <v>0</v>
      </c>
      <c r="AB89" s="623">
        <f>IFERROR(AB88/G92,0)</f>
        <v>0</v>
      </c>
      <c r="AC89" s="623">
        <f>IFERROR(AC88/G92,0)</f>
        <v>0</v>
      </c>
      <c r="AD89" s="623">
        <f>IFERROR(AD88/G92,0)</f>
        <v>0</v>
      </c>
    </row>
    <row r="90" spans="1:30" ht="18" customHeight="1" thickBot="1">
      <c r="B90" s="195"/>
      <c r="C90" s="489" t="s">
        <v>6894</v>
      </c>
      <c r="D90" s="197"/>
      <c r="E90" s="197"/>
      <c r="F90" s="492"/>
      <c r="G90" s="490"/>
      <c r="H90" s="612"/>
      <c r="I90" s="7"/>
      <c r="J90" s="7"/>
      <c r="K90" s="1148"/>
      <c r="L90" s="7"/>
      <c r="M90" s="169"/>
      <c r="N90" s="169"/>
      <c r="O90" s="169"/>
      <c r="P90" s="169"/>
      <c r="Q90" s="169"/>
      <c r="R90" s="169"/>
      <c r="S90" s="169"/>
      <c r="T90" s="169"/>
      <c r="U90" s="169"/>
      <c r="V90" s="169"/>
      <c r="W90" s="169"/>
      <c r="X90" s="169"/>
      <c r="AA90" s="623"/>
      <c r="AB90" s="623"/>
    </row>
    <row r="91" spans="1:30" ht="18" customHeight="1" thickBot="1">
      <c r="B91" s="429"/>
      <c r="C91" s="375"/>
      <c r="D91" s="200" t="str">
        <f>IF($I$5=$O$5,"",$S$14)</f>
        <v>General Conditions (DBB/DB)</v>
      </c>
      <c r="E91" s="721" t="str">
        <f>IF($I$5=$O$5,"",P91)</f>
        <v>3% - 6%</v>
      </c>
      <c r="F91" s="722">
        <v>0.04</v>
      </c>
      <c r="G91" s="310">
        <f>IF(O88=0,0,IF($O$4=$O$5,0,F91*SUM(G87:G90)))</f>
        <v>0</v>
      </c>
      <c r="H91" s="1374" t="str">
        <f>IF($O$4&lt;&gt;$O$5,"",IF(F91&gt;M91,N91,""))</f>
        <v/>
      </c>
      <c r="I91" s="1375"/>
      <c r="J91" s="1376"/>
      <c r="K91" s="1148">
        <v>0.04</v>
      </c>
      <c r="L91" s="7"/>
      <c r="M91" s="169">
        <v>0.06</v>
      </c>
      <c r="N91" s="169" t="s">
        <v>8067</v>
      </c>
      <c r="O91" s="169"/>
      <c r="P91" s="202" t="s">
        <v>8077</v>
      </c>
      <c r="Q91" s="169"/>
      <c r="R91" s="823" t="str">
        <f>IF(AND(G104&gt;0,I5&lt;&gt;O5),F91,"")</f>
        <v/>
      </c>
      <c r="S91" s="169"/>
      <c r="T91" s="169"/>
      <c r="U91" s="169"/>
      <c r="V91" s="169"/>
      <c r="W91" s="169"/>
      <c r="X91" s="169"/>
      <c r="Z91" s="3" t="s">
        <v>6954</v>
      </c>
      <c r="AA91" s="622">
        <f t="shared" ref="AA91:AD93" si="51">$G91*AA$89</f>
        <v>0</v>
      </c>
      <c r="AB91" s="622">
        <f t="shared" si="51"/>
        <v>0</v>
      </c>
      <c r="AC91" s="622">
        <f t="shared" si="51"/>
        <v>0</v>
      </c>
      <c r="AD91" s="622">
        <f t="shared" si="51"/>
        <v>0</v>
      </c>
    </row>
    <row r="92" spans="1:30" ht="18" customHeight="1" thickBot="1">
      <c r="B92" s="429"/>
      <c r="C92" s="375" t="s">
        <v>7535</v>
      </c>
      <c r="D92" s="241"/>
      <c r="E92" s="158"/>
      <c r="F92" s="696"/>
      <c r="G92" s="720">
        <f>IF(O88=0,0,IF($O$4=$O$5,SUM(G87:G90),(SUM(G87:G91))))</f>
        <v>0</v>
      </c>
      <c r="H92" s="612"/>
      <c r="I92" s="7"/>
      <c r="J92" s="7"/>
      <c r="K92" s="1148"/>
      <c r="L92" s="7"/>
      <c r="M92" s="169"/>
      <c r="N92" s="169"/>
      <c r="O92" s="169"/>
      <c r="P92" s="169"/>
      <c r="Q92" s="169"/>
      <c r="R92" s="169"/>
      <c r="S92" s="169"/>
      <c r="T92" s="169"/>
      <c r="U92" s="169"/>
      <c r="V92" s="169"/>
      <c r="W92" s="169"/>
      <c r="X92" s="169"/>
      <c r="Z92" s="3" t="s">
        <v>7537</v>
      </c>
      <c r="AA92" s="622">
        <f t="shared" si="51"/>
        <v>0</v>
      </c>
      <c r="AB92" s="622">
        <f t="shared" si="51"/>
        <v>0</v>
      </c>
      <c r="AC92" s="622">
        <f t="shared" si="51"/>
        <v>0</v>
      </c>
      <c r="AD92" s="622">
        <f t="shared" si="51"/>
        <v>0</v>
      </c>
    </row>
    <row r="93" spans="1:30" ht="16.5" customHeight="1" thickBot="1">
      <c r="B93" s="1641" t="str">
        <f>IF($O$4=$O$5,"CM Fees","")</f>
        <v/>
      </c>
      <c r="C93" s="1642"/>
      <c r="D93" s="594" t="str">
        <f>IF($O$4=$O$5,$S$17,"")</f>
        <v/>
      </c>
      <c r="E93" s="1244" t="str">
        <f>IF(I$5="CM at Risk",$T$93,"")</f>
        <v/>
      </c>
      <c r="F93" s="435" t="str">
        <f>IF(O88=0,"",IF($O$4=$O$5,G93/G96,""))</f>
        <v/>
      </c>
      <c r="G93" s="1176">
        <f>IF($O$4&lt;&gt;$O$5,0,IF($G$92=0,0,INDEX($BM$25:$BM$32,MATCH($AG$13,$AF$25:$AF$32,0))))</f>
        <v>0</v>
      </c>
      <c r="H93" s="1171"/>
      <c r="I93" s="7"/>
      <c r="J93" s="288"/>
      <c r="K93" s="738">
        <f>$G$96*$M$93</f>
        <v>0</v>
      </c>
      <c r="L93" s="738"/>
      <c r="M93" s="169">
        <v>6.0000000000000001E-3</v>
      </c>
      <c r="N93" s="169" t="s">
        <v>6932</v>
      </c>
      <c r="O93" s="169"/>
      <c r="P93" s="171">
        <f>IF($O$4=$O$5,G93,0)</f>
        <v>0</v>
      </c>
      <c r="Q93" s="3" t="s">
        <v>7169</v>
      </c>
      <c r="R93" s="169"/>
      <c r="S93" s="169"/>
      <c r="T93" s="1243" t="s">
        <v>7892</v>
      </c>
      <c r="U93" s="169"/>
      <c r="V93" s="169"/>
      <c r="W93" s="169"/>
      <c r="X93" s="169"/>
      <c r="Z93" s="3" t="s">
        <v>6955</v>
      </c>
      <c r="AA93" s="622">
        <f t="shared" si="51"/>
        <v>0</v>
      </c>
      <c r="AB93" s="622">
        <f t="shared" si="51"/>
        <v>0</v>
      </c>
      <c r="AC93" s="622">
        <f t="shared" si="51"/>
        <v>0</v>
      </c>
      <c r="AD93" s="622">
        <f t="shared" si="51"/>
        <v>0</v>
      </c>
    </row>
    <row r="94" spans="1:30" ht="16.5" customHeight="1" thickBot="1">
      <c r="B94" s="1643"/>
      <c r="C94" s="1644"/>
      <c r="D94" s="595" t="str">
        <f>IF($O$4=$O$5,$S$18,"")</f>
        <v/>
      </c>
      <c r="E94" s="1247" t="str">
        <f>IF(I$5="CM at Risk",$T$94,"")</f>
        <v/>
      </c>
      <c r="F94" s="435" t="str">
        <f>IF(G96=0,"",IF($O$4=$O$5,G94/G96,""))</f>
        <v/>
      </c>
      <c r="G94" s="1176">
        <f>IF($O$4&lt;&gt;$O$5,0,IF($G$92=0,0,INDEX($BN$25:$BN$32,MATCH($AG$13,$AF$25:$AF$32,0))))</f>
        <v>0</v>
      </c>
      <c r="H94" s="1171"/>
      <c r="I94" s="7"/>
      <c r="J94" s="288"/>
      <c r="K94" s="738">
        <f>$G$96*$M$94</f>
        <v>0</v>
      </c>
      <c r="L94" s="738"/>
      <c r="M94" s="169">
        <v>0.04</v>
      </c>
      <c r="N94" s="169" t="s">
        <v>7191</v>
      </c>
      <c r="O94" s="169"/>
      <c r="P94" s="171">
        <f>IF($O$4=$O$5,G95,0)</f>
        <v>0</v>
      </c>
      <c r="Q94" s="3" t="s">
        <v>7171</v>
      </c>
      <c r="R94" s="169"/>
      <c r="S94" s="169"/>
      <c r="T94" s="1243" t="s">
        <v>8077</v>
      </c>
      <c r="U94" s="169"/>
      <c r="V94" s="169"/>
      <c r="W94" s="169"/>
      <c r="X94" s="169"/>
      <c r="Z94" s="3" t="s">
        <v>418</v>
      </c>
      <c r="AA94" s="622">
        <f>$G95*AA$89</f>
        <v>0</v>
      </c>
      <c r="AB94" s="622">
        <f>$G95*AB$89</f>
        <v>0</v>
      </c>
      <c r="AC94" s="622">
        <f>$G95*AC$89</f>
        <v>0</v>
      </c>
      <c r="AD94" s="622">
        <f>$G95*AD$89</f>
        <v>0</v>
      </c>
    </row>
    <row r="95" spans="1:30" ht="16.5" customHeight="1" thickBot="1">
      <c r="B95" s="1645"/>
      <c r="C95" s="1646"/>
      <c r="D95" s="596" t="str">
        <f>IF($O$4=$O$5,$S$19,"")</f>
        <v/>
      </c>
      <c r="E95" s="1246" t="str">
        <f>IF(I$5="CM at Risk",$T$95,"")</f>
        <v/>
      </c>
      <c r="F95" s="435" t="str">
        <f>IF(O88=0,"",IF($O$4=$O$5,G95/G96,""))</f>
        <v/>
      </c>
      <c r="G95" s="1176">
        <f>IF($O$4&lt;&gt;$O$5,0,IF($G$92=0,0,INDEX($BO$25:$BO$32,MATCH($AG$13,$AF$25:$AF$32,0))))</f>
        <v>0</v>
      </c>
      <c r="H95" s="1171"/>
      <c r="I95" s="7"/>
      <c r="J95" s="288"/>
      <c r="K95" s="738">
        <f>$G$96*$M$95</f>
        <v>0</v>
      </c>
      <c r="L95" s="738"/>
      <c r="M95" s="169">
        <v>8.1000000000000003E-2</v>
      </c>
      <c r="N95" s="169" t="s">
        <v>7190</v>
      </c>
      <c r="O95" s="169"/>
      <c r="P95" s="171">
        <f>IF($O$4=$O$5,G94,0)</f>
        <v>0</v>
      </c>
      <c r="Q95" s="3" t="s">
        <v>7170</v>
      </c>
      <c r="R95" s="169"/>
      <c r="S95" s="169"/>
      <c r="T95" s="1243" t="s">
        <v>7886</v>
      </c>
      <c r="U95" s="169"/>
      <c r="V95" s="169"/>
      <c r="W95" s="169"/>
      <c r="X95" s="169"/>
      <c r="Z95" s="3" t="s">
        <v>6956</v>
      </c>
      <c r="AA95" s="622">
        <f>$G94*AA$89</f>
        <v>0</v>
      </c>
      <c r="AB95" s="622">
        <f>$G94*AB$89</f>
        <v>0</v>
      </c>
      <c r="AC95" s="622">
        <f>$G94*AC$89</f>
        <v>0</v>
      </c>
      <c r="AD95" s="622">
        <f>$G94*AD$89</f>
        <v>0</v>
      </c>
    </row>
    <row r="96" spans="1:30" ht="18" customHeight="1" thickBot="1">
      <c r="B96" s="132"/>
      <c r="C96" s="190" t="s">
        <v>6740</v>
      </c>
      <c r="D96" s="200"/>
      <c r="E96" s="201"/>
      <c r="F96" s="55"/>
      <c r="G96" s="78">
        <f>IF(O4=O5,INDEX($BF$25:$BF$32,MATCH($AG$13,$AF$25:$AF$32,0)),G92)</f>
        <v>0</v>
      </c>
      <c r="H96" s="612"/>
      <c r="I96" s="7"/>
      <c r="J96" s="7"/>
      <c r="K96" s="1148"/>
      <c r="L96" s="7"/>
      <c r="M96" s="169"/>
      <c r="N96" s="169"/>
      <c r="O96" s="169"/>
      <c r="P96" s="169"/>
      <c r="U96" s="169"/>
      <c r="V96" s="169"/>
      <c r="W96" s="169"/>
      <c r="X96" s="169"/>
      <c r="Z96" s="3" t="s">
        <v>6719</v>
      </c>
      <c r="AA96" s="622">
        <f t="shared" ref="AA96:AD104" si="52">$G96*AA$89</f>
        <v>0</v>
      </c>
      <c r="AB96" s="622">
        <f t="shared" si="52"/>
        <v>0</v>
      </c>
      <c r="AC96" s="622">
        <f t="shared" si="52"/>
        <v>0</v>
      </c>
      <c r="AD96" s="622">
        <f t="shared" si="52"/>
        <v>0</v>
      </c>
    </row>
    <row r="97" spans="1:30" ht="18" customHeight="1" thickBot="1">
      <c r="B97" s="160"/>
      <c r="C97" s="154" t="s">
        <v>141</v>
      </c>
      <c r="D97" s="136"/>
      <c r="E97" s="165" t="s">
        <v>6945</v>
      </c>
      <c r="F97" s="83">
        <f>IF(G97=0,0,G97/G96)</f>
        <v>0</v>
      </c>
      <c r="G97" s="78">
        <f>SUM(G98:G100)</f>
        <v>0</v>
      </c>
      <c r="H97" s="612"/>
      <c r="I97" s="7"/>
      <c r="J97" s="7"/>
      <c r="K97" s="1148"/>
      <c r="L97" s="7"/>
      <c r="M97" s="169"/>
      <c r="N97" s="169"/>
      <c r="O97" s="169"/>
      <c r="P97" s="169"/>
      <c r="Q97" s="169"/>
      <c r="R97" s="169"/>
      <c r="S97" s="169"/>
      <c r="T97" s="169"/>
      <c r="U97" s="169"/>
      <c r="V97" s="169"/>
      <c r="W97" s="169"/>
      <c r="X97" s="169"/>
      <c r="Z97" s="3" t="s">
        <v>6957</v>
      </c>
      <c r="AA97" s="622">
        <f t="shared" si="52"/>
        <v>0</v>
      </c>
      <c r="AB97" s="622">
        <f t="shared" si="52"/>
        <v>0</v>
      </c>
      <c r="AC97" s="622">
        <f t="shared" si="52"/>
        <v>0</v>
      </c>
      <c r="AD97" s="622">
        <f t="shared" si="52"/>
        <v>0</v>
      </c>
    </row>
    <row r="98" spans="1:30" ht="18" customHeight="1" thickBot="1">
      <c r="B98" s="133"/>
      <c r="C98" s="199"/>
      <c r="D98" s="199" t="s">
        <v>379</v>
      </c>
      <c r="E98" s="204" t="s">
        <v>6758</v>
      </c>
      <c r="F98" s="92">
        <v>0.01</v>
      </c>
      <c r="G98" s="77">
        <f>F98*(G96+SUM(G99+G100+G103))</f>
        <v>0</v>
      </c>
      <c r="H98" s="612"/>
      <c r="I98" s="7"/>
      <c r="J98" s="7"/>
      <c r="K98" s="1148">
        <v>0.01</v>
      </c>
      <c r="L98" s="7"/>
      <c r="M98" s="169"/>
      <c r="N98" s="169"/>
      <c r="O98" s="169"/>
      <c r="P98" s="169"/>
      <c r="Q98" s="169"/>
      <c r="R98" s="823" t="str">
        <f>IF(G92&gt;0,F98,"")</f>
        <v/>
      </c>
      <c r="S98" s="169"/>
      <c r="T98" s="169"/>
      <c r="U98" s="169"/>
      <c r="V98" s="169"/>
      <c r="W98" s="169"/>
      <c r="X98" s="169"/>
      <c r="Z98" s="3" t="s">
        <v>6971</v>
      </c>
      <c r="AA98" s="622">
        <f t="shared" si="52"/>
        <v>0</v>
      </c>
      <c r="AB98" s="622">
        <f t="shared" si="52"/>
        <v>0</v>
      </c>
      <c r="AC98" s="622">
        <f t="shared" si="52"/>
        <v>0</v>
      </c>
      <c r="AD98" s="622">
        <f t="shared" si="52"/>
        <v>0</v>
      </c>
    </row>
    <row r="99" spans="1:30" ht="18" customHeight="1" thickBot="1">
      <c r="B99" s="203"/>
      <c r="C99" s="199"/>
      <c r="D99" s="199" t="s">
        <v>6897</v>
      </c>
      <c r="E99" s="204" t="s">
        <v>6748</v>
      </c>
      <c r="F99" s="92">
        <v>0.09</v>
      </c>
      <c r="G99" s="77">
        <f>F99*G$96</f>
        <v>0</v>
      </c>
      <c r="H99" s="612"/>
      <c r="I99" s="7"/>
      <c r="J99" s="7"/>
      <c r="K99" s="1148">
        <v>0.09</v>
      </c>
      <c r="L99" s="7"/>
      <c r="M99" s="169"/>
      <c r="N99" s="169"/>
      <c r="O99" s="169"/>
      <c r="P99" s="169"/>
      <c r="Q99" s="169"/>
      <c r="R99" s="823" t="str">
        <f>IF(G92&gt;0,F99,"")</f>
        <v/>
      </c>
      <c r="S99" s="169"/>
      <c r="T99" s="169"/>
      <c r="U99" s="169"/>
      <c r="V99" s="169"/>
      <c r="W99" s="169"/>
      <c r="X99" s="169"/>
      <c r="Z99" s="3" t="s">
        <v>6972</v>
      </c>
      <c r="AA99" s="622">
        <f t="shared" si="52"/>
        <v>0</v>
      </c>
      <c r="AB99" s="622">
        <f t="shared" si="52"/>
        <v>0</v>
      </c>
      <c r="AC99" s="622">
        <f t="shared" si="52"/>
        <v>0</v>
      </c>
      <c r="AD99" s="622">
        <f t="shared" si="52"/>
        <v>0</v>
      </c>
    </row>
    <row r="100" spans="1:30" ht="18" customHeight="1" thickBot="1">
      <c r="B100" s="133"/>
      <c r="C100" s="199"/>
      <c r="D100" s="199" t="s">
        <v>14</v>
      </c>
      <c r="E100" s="204" t="s">
        <v>6761</v>
      </c>
      <c r="F100" s="92">
        <v>1.4999999999999999E-2</v>
      </c>
      <c r="G100" s="77">
        <f>F100*G$96</f>
        <v>0</v>
      </c>
      <c r="H100" s="612"/>
      <c r="I100" s="7"/>
      <c r="J100" s="7"/>
      <c r="K100" s="1148">
        <v>1.4999999999999999E-2</v>
      </c>
      <c r="L100" s="7"/>
      <c r="M100" s="169"/>
      <c r="N100" s="169"/>
      <c r="O100" s="169"/>
      <c r="P100" s="169"/>
      <c r="Q100" s="169"/>
      <c r="R100" s="823" t="str">
        <f>IF(G92&gt;0,F100,"")</f>
        <v/>
      </c>
      <c r="S100" s="169"/>
      <c r="T100" s="169"/>
      <c r="U100" s="169"/>
      <c r="V100" s="169"/>
      <c r="W100" s="169"/>
      <c r="X100" s="169"/>
      <c r="Z100" s="3" t="s">
        <v>6963</v>
      </c>
      <c r="AA100" s="622">
        <f t="shared" si="52"/>
        <v>0</v>
      </c>
      <c r="AB100" s="622">
        <f t="shared" si="52"/>
        <v>0</v>
      </c>
      <c r="AC100" s="622">
        <f t="shared" si="52"/>
        <v>0</v>
      </c>
      <c r="AD100" s="622">
        <f t="shared" si="52"/>
        <v>0</v>
      </c>
    </row>
    <row r="101" spans="1:30" ht="18" customHeight="1" thickBot="1">
      <c r="B101" s="159"/>
      <c r="C101" s="206" t="s">
        <v>5</v>
      </c>
      <c r="D101" s="207"/>
      <c r="E101" s="58"/>
      <c r="F101" s="361"/>
      <c r="G101" s="80">
        <f>G96+SUM(G98:G100)</f>
        <v>0</v>
      </c>
      <c r="H101" s="612"/>
      <c r="I101" s="7"/>
      <c r="J101" s="7"/>
      <c r="K101" s="1148"/>
      <c r="L101" s="7"/>
      <c r="M101" s="169"/>
      <c r="N101" s="169"/>
      <c r="O101" s="169"/>
      <c r="P101" s="169"/>
      <c r="Q101" s="169"/>
      <c r="R101" s="169"/>
      <c r="S101" s="169"/>
      <c r="T101" s="169"/>
      <c r="U101" s="169"/>
      <c r="V101" s="169"/>
      <c r="W101" s="169"/>
      <c r="X101" s="169"/>
      <c r="Z101" s="3" t="s">
        <v>6973</v>
      </c>
      <c r="AA101" s="622">
        <f t="shared" si="52"/>
        <v>0</v>
      </c>
      <c r="AB101" s="622">
        <f t="shared" si="52"/>
        <v>0</v>
      </c>
      <c r="AC101" s="622">
        <f t="shared" si="52"/>
        <v>0</v>
      </c>
      <c r="AD101" s="622">
        <f t="shared" si="52"/>
        <v>0</v>
      </c>
    </row>
    <row r="102" spans="1:30" ht="18" customHeight="1" thickBot="1">
      <c r="B102" s="132"/>
      <c r="C102" s="190" t="s">
        <v>6942</v>
      </c>
      <c r="D102" s="200"/>
      <c r="E102" s="59">
        <v>0.1</v>
      </c>
      <c r="F102" s="92">
        <v>0.1</v>
      </c>
      <c r="G102" s="80">
        <f>F102*(G101)</f>
        <v>0</v>
      </c>
      <c r="H102" s="612"/>
      <c r="I102" s="7"/>
      <c r="J102" s="7"/>
      <c r="K102" s="1148">
        <v>0.1</v>
      </c>
      <c r="L102" s="7"/>
      <c r="M102" s="169"/>
      <c r="N102" s="169"/>
      <c r="O102" s="169"/>
      <c r="P102" s="169"/>
      <c r="Q102" s="437">
        <f>$G$96*$M$93</f>
        <v>0</v>
      </c>
      <c r="R102" s="823" t="str">
        <f>IF(G92&gt;0,F102,"")</f>
        <v/>
      </c>
      <c r="S102" s="169"/>
      <c r="T102" s="169"/>
      <c r="U102" s="169"/>
      <c r="V102" s="169"/>
      <c r="W102" s="169"/>
      <c r="X102" s="169"/>
      <c r="Z102" s="3" t="s">
        <v>6974</v>
      </c>
      <c r="AA102" s="622">
        <f t="shared" si="52"/>
        <v>0</v>
      </c>
      <c r="AB102" s="622">
        <f t="shared" si="52"/>
        <v>0</v>
      </c>
      <c r="AC102" s="622">
        <f t="shared" si="52"/>
        <v>0</v>
      </c>
      <c r="AD102" s="622">
        <f t="shared" si="52"/>
        <v>0</v>
      </c>
    </row>
    <row r="103" spans="1:30" ht="18" customHeight="1" thickBot="1">
      <c r="B103" s="133"/>
      <c r="C103" s="199"/>
      <c r="D103" s="199" t="s">
        <v>13</v>
      </c>
      <c r="E103" s="204" t="s">
        <v>6754</v>
      </c>
      <c r="F103" s="92">
        <v>0.01</v>
      </c>
      <c r="G103" s="77">
        <f>F103*$G96</f>
        <v>0</v>
      </c>
      <c r="H103" s="612"/>
      <c r="I103" s="7"/>
      <c r="J103" s="7"/>
      <c r="K103" s="1148">
        <v>0.01</v>
      </c>
      <c r="L103" s="7"/>
      <c r="M103" s="169"/>
      <c r="N103" s="169"/>
      <c r="O103" s="169"/>
      <c r="P103" s="169"/>
      <c r="Q103" s="437">
        <f>$G$96*$M$94</f>
        <v>0</v>
      </c>
      <c r="R103" s="823" t="str">
        <f>IF(G92&gt;0,F103,"")</f>
        <v/>
      </c>
      <c r="S103" s="169"/>
      <c r="T103" s="169"/>
      <c r="U103" s="169"/>
      <c r="V103" s="169"/>
      <c r="W103" s="169"/>
      <c r="X103" s="169"/>
      <c r="Z103" s="3" t="s">
        <v>6975</v>
      </c>
      <c r="AA103" s="622">
        <f t="shared" si="52"/>
        <v>0</v>
      </c>
      <c r="AB103" s="622">
        <f t="shared" si="52"/>
        <v>0</v>
      </c>
      <c r="AC103" s="622">
        <f t="shared" si="52"/>
        <v>0</v>
      </c>
      <c r="AD103" s="622">
        <f t="shared" si="52"/>
        <v>0</v>
      </c>
    </row>
    <row r="104" spans="1:30" ht="18" customHeight="1" thickBot="1">
      <c r="B104" s="132"/>
      <c r="C104" s="190" t="s">
        <v>384</v>
      </c>
      <c r="D104" s="200"/>
      <c r="E104" s="200"/>
      <c r="F104" s="53"/>
      <c r="G104" s="78">
        <f>IF(O88=0,0,SUM(G101:G103))</f>
        <v>0</v>
      </c>
      <c r="H104" s="612"/>
      <c r="I104" s="7"/>
      <c r="J104" s="7"/>
      <c r="K104" s="1148"/>
      <c r="L104" s="7"/>
      <c r="M104" s="169"/>
      <c r="N104" s="169"/>
      <c r="O104" s="169"/>
      <c r="P104" s="169"/>
      <c r="Q104" s="437">
        <f>$G$96*$M$95</f>
        <v>0</v>
      </c>
      <c r="R104" s="169"/>
      <c r="S104" s="169"/>
      <c r="T104" s="169"/>
      <c r="U104" s="169"/>
      <c r="V104" s="169"/>
      <c r="W104" s="169"/>
      <c r="X104" s="169"/>
      <c r="Z104" s="3" t="s">
        <v>6968</v>
      </c>
      <c r="AA104" s="622">
        <f t="shared" si="52"/>
        <v>0</v>
      </c>
      <c r="AB104" s="622">
        <f t="shared" si="52"/>
        <v>0</v>
      </c>
      <c r="AC104" s="622">
        <f t="shared" si="52"/>
        <v>0</v>
      </c>
      <c r="AD104" s="622">
        <f t="shared" si="52"/>
        <v>0</v>
      </c>
    </row>
    <row r="105" spans="1:30" ht="16.5" customHeight="1">
      <c r="A105" s="7"/>
      <c r="B105" s="157"/>
      <c r="C105" s="8"/>
      <c r="D105" s="8"/>
      <c r="E105" s="8"/>
      <c r="F105" s="8"/>
      <c r="G105" s="8"/>
      <c r="H105" s="8"/>
      <c r="I105" s="7"/>
      <c r="J105" s="7"/>
      <c r="K105" s="1148"/>
      <c r="L105" s="7"/>
      <c r="M105" s="169"/>
      <c r="N105" s="169"/>
      <c r="O105" s="169"/>
      <c r="P105" s="169"/>
      <c r="Q105" s="169"/>
      <c r="R105" s="169"/>
      <c r="S105" s="169"/>
      <c r="T105" s="169"/>
      <c r="U105" s="169"/>
      <c r="V105" s="169"/>
      <c r="W105" s="169"/>
      <c r="X105" s="169"/>
    </row>
    <row r="106" spans="1:30" ht="18" customHeight="1">
      <c r="A106" s="31" t="s">
        <v>425</v>
      </c>
      <c r="B106" s="8"/>
      <c r="C106" s="8"/>
      <c r="D106" s="8"/>
      <c r="E106" s="8"/>
      <c r="F106" s="8"/>
      <c r="G106" s="8"/>
      <c r="H106" s="8"/>
      <c r="I106" s="7"/>
      <c r="J106" s="7"/>
      <c r="K106" s="1148"/>
      <c r="L106" s="7"/>
      <c r="M106" s="169"/>
      <c r="N106" s="169"/>
      <c r="S106" s="169"/>
      <c r="T106" s="169"/>
      <c r="U106" s="169"/>
      <c r="V106" s="169"/>
      <c r="W106" s="169"/>
      <c r="X106" s="169"/>
    </row>
    <row r="107" spans="1:30" ht="15" customHeight="1" thickBot="1">
      <c r="A107" s="7"/>
      <c r="B107" s="8"/>
      <c r="C107" s="8"/>
      <c r="D107" s="8"/>
      <c r="E107" s="8"/>
      <c r="F107" s="158"/>
      <c r="G107" s="8"/>
      <c r="H107" s="158"/>
      <c r="I107" s="7"/>
      <c r="J107" s="7"/>
      <c r="K107" s="7"/>
      <c r="L107" s="7"/>
      <c r="M107" s="169"/>
      <c r="N107" s="169"/>
      <c r="O107" s="169"/>
      <c r="P107" s="169"/>
      <c r="Q107" s="169"/>
      <c r="R107" s="169"/>
      <c r="S107" s="169"/>
      <c r="T107" s="169"/>
      <c r="U107" s="169"/>
      <c r="V107" s="169"/>
      <c r="W107" s="169"/>
      <c r="X107" s="169"/>
    </row>
    <row r="108" spans="1:30" ht="18.75" customHeight="1" thickBot="1">
      <c r="B108" s="229" t="s">
        <v>169</v>
      </c>
      <c r="C108" s="218"/>
      <c r="D108" s="219"/>
      <c r="E108" s="230" t="s">
        <v>15</v>
      </c>
      <c r="F108" s="82">
        <f>'TAB 2 Project Specs'!B115</f>
        <v>0</v>
      </c>
      <c r="G108" s="234" t="s">
        <v>118</v>
      </c>
      <c r="H108" s="82">
        <f>'TAB 2 Project Specs'!B117</f>
        <v>0</v>
      </c>
      <c r="I108" s="7"/>
      <c r="J108" s="7"/>
      <c r="K108" s="7"/>
      <c r="L108" s="7"/>
      <c r="M108" s="169"/>
      <c r="N108" s="169"/>
      <c r="O108" s="169"/>
      <c r="P108" s="169"/>
      <c r="Q108" s="169"/>
      <c r="R108" s="169"/>
      <c r="S108" s="169"/>
      <c r="T108" s="169"/>
      <c r="U108" s="169"/>
      <c r="V108" s="169"/>
      <c r="W108" s="169"/>
      <c r="X108" s="169"/>
    </row>
    <row r="109" spans="1:30" ht="15.75" customHeight="1" thickBot="1">
      <c r="B109" s="215"/>
      <c r="C109" s="154"/>
      <c r="D109" s="154"/>
      <c r="E109" s="216"/>
      <c r="F109" s="54"/>
      <c r="G109" s="235" t="s">
        <v>6</v>
      </c>
      <c r="H109" s="63" t="s">
        <v>144</v>
      </c>
      <c r="I109" s="7"/>
      <c r="J109" s="7"/>
      <c r="K109" s="7"/>
      <c r="L109" s="7"/>
      <c r="M109" s="169"/>
      <c r="N109" s="169"/>
      <c r="O109" s="169"/>
      <c r="P109" s="169"/>
      <c r="Q109" s="169"/>
      <c r="R109" s="169"/>
      <c r="S109" s="169"/>
      <c r="T109" s="169"/>
      <c r="U109" s="169"/>
      <c r="V109" s="169"/>
      <c r="W109" s="169"/>
      <c r="X109" s="169"/>
    </row>
    <row r="110" spans="1:30" ht="15.75" customHeight="1" thickBot="1">
      <c r="B110" s="195"/>
      <c r="C110" s="196"/>
      <c r="D110" s="197" t="s">
        <v>194</v>
      </c>
      <c r="E110" s="231"/>
      <c r="F110" s="64"/>
      <c r="G110" s="77">
        <f>+H110*F108</f>
        <v>0</v>
      </c>
      <c r="H110" s="91"/>
      <c r="I110" s="7"/>
      <c r="J110" s="7"/>
      <c r="K110" s="7"/>
      <c r="L110" s="7"/>
      <c r="M110" s="169"/>
      <c r="N110" s="169"/>
      <c r="O110" s="169"/>
      <c r="P110" s="169"/>
      <c r="Q110" s="169"/>
      <c r="R110" s="169"/>
      <c r="S110" s="169"/>
      <c r="T110" s="169"/>
      <c r="U110" s="169"/>
      <c r="V110" s="169"/>
      <c r="W110" s="169"/>
      <c r="X110" s="169"/>
    </row>
    <row r="111" spans="1:30" ht="17.25" customHeight="1" thickBot="1">
      <c r="B111" s="232"/>
      <c r="C111" s="214"/>
      <c r="D111" s="205" t="s">
        <v>195</v>
      </c>
      <c r="E111" s="233"/>
      <c r="F111" s="65"/>
      <c r="G111" s="77">
        <f>+H111*H108</f>
        <v>0</v>
      </c>
      <c r="H111" s="91"/>
      <c r="I111" s="7"/>
      <c r="J111" s="7"/>
      <c r="K111" s="7"/>
      <c r="L111" s="7"/>
      <c r="M111" s="169"/>
      <c r="N111" s="169"/>
      <c r="O111" s="169"/>
      <c r="P111" s="169"/>
      <c r="Q111" s="169"/>
      <c r="R111" s="169"/>
      <c r="S111" s="169"/>
      <c r="T111" s="169"/>
      <c r="U111" s="169"/>
      <c r="V111" s="169"/>
      <c r="W111" s="169"/>
      <c r="X111" s="169"/>
    </row>
    <row r="112" spans="1:30" ht="18.75" customHeight="1" thickBot="1">
      <c r="B112" s="132"/>
      <c r="C112" s="190" t="s">
        <v>385</v>
      </c>
      <c r="D112" s="210"/>
      <c r="E112" s="200"/>
      <c r="F112" s="53"/>
      <c r="G112" s="78">
        <f>G110+G111</f>
        <v>0</v>
      </c>
      <c r="H112" s="273"/>
      <c r="I112" s="7"/>
      <c r="J112" s="7"/>
      <c r="K112" s="7"/>
      <c r="L112" s="7"/>
      <c r="M112" s="169"/>
      <c r="N112" s="169"/>
      <c r="O112" s="169"/>
      <c r="P112" s="169"/>
      <c r="Q112" s="169"/>
      <c r="R112" s="169"/>
      <c r="S112" s="169"/>
      <c r="T112" s="169"/>
      <c r="U112" s="169"/>
      <c r="V112" s="169"/>
      <c r="W112" s="169"/>
      <c r="X112" s="169"/>
    </row>
    <row r="113" spans="1:24" ht="13.5" customHeight="1">
      <c r="A113" s="7"/>
      <c r="B113" s="7"/>
      <c r="C113" s="7"/>
      <c r="D113" s="7"/>
      <c r="E113" s="7"/>
      <c r="F113" s="7"/>
      <c r="G113" s="7"/>
      <c r="H113" s="7"/>
      <c r="I113" s="7"/>
      <c r="J113" s="7"/>
      <c r="K113" s="7"/>
      <c r="L113" s="7"/>
      <c r="M113" s="169"/>
      <c r="N113" s="169"/>
      <c r="O113" s="169"/>
      <c r="P113" s="169"/>
      <c r="Q113" s="169"/>
      <c r="R113" s="169"/>
      <c r="S113" s="169"/>
      <c r="T113" s="169"/>
      <c r="U113" s="169"/>
      <c r="V113" s="169"/>
      <c r="W113" s="169"/>
      <c r="X113" s="169"/>
    </row>
    <row r="114" spans="1:24" ht="15.75" customHeight="1" thickBot="1">
      <c r="A114" s="7"/>
      <c r="B114" s="7"/>
      <c r="C114" s="7"/>
      <c r="D114" s="7"/>
      <c r="E114" s="7"/>
      <c r="F114" s="7"/>
      <c r="G114" s="7"/>
      <c r="H114" s="7"/>
      <c r="I114" s="7"/>
      <c r="J114" s="7"/>
      <c r="K114" s="7"/>
      <c r="L114" s="7"/>
      <c r="M114" s="169"/>
      <c r="N114" s="169"/>
      <c r="O114" s="169"/>
      <c r="P114" s="169"/>
      <c r="Q114" s="169"/>
      <c r="R114" s="169"/>
      <c r="S114" s="169"/>
      <c r="T114" s="169"/>
      <c r="U114" s="169"/>
      <c r="V114" s="169"/>
      <c r="W114" s="169"/>
      <c r="X114" s="169"/>
    </row>
    <row r="115" spans="1:24" ht="25.5" customHeight="1">
      <c r="B115" s="236" t="s">
        <v>7237</v>
      </c>
      <c r="C115" s="206"/>
      <c r="D115" s="162"/>
      <c r="E115" s="219"/>
      <c r="F115" s="207"/>
      <c r="G115" s="237"/>
      <c r="H115" s="237"/>
      <c r="I115" s="162"/>
      <c r="J115" s="238"/>
      <c r="K115" s="7"/>
      <c r="L115" s="7"/>
      <c r="M115" s="169"/>
      <c r="N115" s="169"/>
      <c r="O115" s="169"/>
      <c r="P115" s="169"/>
      <c r="Q115" s="169"/>
      <c r="R115" s="169"/>
      <c r="S115" s="169"/>
      <c r="T115" s="169"/>
      <c r="U115" s="169"/>
      <c r="V115" s="169"/>
      <c r="W115" s="169"/>
      <c r="X115" s="169"/>
    </row>
    <row r="116" spans="1:24" ht="15.75" customHeight="1" thickBot="1">
      <c r="B116" s="239"/>
      <c r="C116" s="727" t="s">
        <v>411</v>
      </c>
      <c r="D116" s="240"/>
      <c r="E116" s="149"/>
      <c r="F116" s="241"/>
      <c r="G116" s="242"/>
      <c r="H116" s="242"/>
      <c r="I116" s="240"/>
      <c r="J116" s="243"/>
      <c r="K116" s="7"/>
      <c r="L116" s="7"/>
      <c r="M116" s="169"/>
      <c r="N116" s="169"/>
      <c r="O116" s="169"/>
      <c r="P116" s="169"/>
      <c r="Q116" s="169"/>
      <c r="R116" s="169"/>
      <c r="S116" s="169"/>
      <c r="T116" s="169"/>
      <c r="U116" s="169"/>
      <c r="V116" s="169"/>
      <c r="W116" s="169"/>
      <c r="X116" s="169"/>
    </row>
    <row r="117" spans="1:24" ht="107.25" customHeight="1" thickBot="1">
      <c r="B117" s="1594" t="s">
        <v>7238</v>
      </c>
      <c r="C117" s="1595"/>
      <c r="D117" s="1595"/>
      <c r="E117" s="1595"/>
      <c r="F117" s="1595"/>
      <c r="G117" s="1595"/>
      <c r="H117" s="1595"/>
      <c r="I117" s="1595"/>
      <c r="J117" s="1596"/>
      <c r="K117" s="7"/>
      <c r="L117" s="7"/>
      <c r="M117" s="169"/>
      <c r="N117" s="169"/>
      <c r="O117" s="169"/>
      <c r="P117" s="169"/>
      <c r="Q117" s="169"/>
      <c r="R117" s="169"/>
      <c r="S117" s="169"/>
      <c r="T117" s="169"/>
      <c r="U117" s="169"/>
      <c r="V117" s="169"/>
      <c r="W117" s="169"/>
      <c r="X117" s="169"/>
    </row>
    <row r="118" spans="1:24">
      <c r="A118" s="7"/>
      <c r="B118" s="7"/>
      <c r="C118" s="7"/>
      <c r="D118" s="7"/>
      <c r="E118" s="7"/>
      <c r="F118" s="7"/>
      <c r="G118" s="7"/>
      <c r="H118" s="7"/>
      <c r="I118" s="7"/>
      <c r="J118" s="7"/>
      <c r="K118" s="7"/>
      <c r="L118" s="7"/>
      <c r="M118" s="169"/>
      <c r="N118" s="169"/>
      <c r="O118" s="169"/>
      <c r="P118" s="169"/>
      <c r="Q118" s="169"/>
      <c r="R118" s="169"/>
      <c r="S118" s="169"/>
      <c r="T118" s="169"/>
      <c r="U118" s="169"/>
      <c r="V118" s="169"/>
      <c r="W118" s="169"/>
      <c r="X118" s="169"/>
    </row>
    <row r="119" spans="1:24" hidden="1">
      <c r="M119" s="169"/>
      <c r="N119" s="169"/>
      <c r="O119" s="169"/>
      <c r="P119" s="169"/>
      <c r="Q119" s="169"/>
      <c r="R119" s="169"/>
      <c r="S119" s="169"/>
      <c r="T119" s="169"/>
      <c r="U119" s="169"/>
      <c r="V119" s="169"/>
      <c r="W119" s="169"/>
      <c r="X119" s="169"/>
    </row>
  </sheetData>
  <sheetProtection algorithmName="SHA-512" hashValue="c+R2oNGOCrMV+V8qmjkd2N1gI84OdDXHch2fhHa72sO06vAUJKnzpkB7qvRFZiYa5/bCZX7cR08D4YVXnfuyUw==" saltValue="y5uzQrWGn2hvJLivqBhOpA==" spinCount="100000" sheet="1" objects="1" scenarios="1"/>
  <mergeCells count="46">
    <mergeCell ref="B93:C95"/>
    <mergeCell ref="G69:J69"/>
    <mergeCell ref="G71:H71"/>
    <mergeCell ref="G72:H72"/>
    <mergeCell ref="B17:C19"/>
    <mergeCell ref="B48:C50"/>
    <mergeCell ref="I23:J23"/>
    <mergeCell ref="B58:C59"/>
    <mergeCell ref="I27:J27"/>
    <mergeCell ref="I28:J28"/>
    <mergeCell ref="I29:J29"/>
    <mergeCell ref="I32:J32"/>
    <mergeCell ref="I33:J33"/>
    <mergeCell ref="I31:J31"/>
    <mergeCell ref="B63:C64"/>
    <mergeCell ref="I44:J44"/>
    <mergeCell ref="I46:J46"/>
    <mergeCell ref="G2:J2"/>
    <mergeCell ref="I10:J10"/>
    <mergeCell ref="I12:J12"/>
    <mergeCell ref="G5:H5"/>
    <mergeCell ref="G4:H4"/>
    <mergeCell ref="I16:J16"/>
    <mergeCell ref="I13:J13"/>
    <mergeCell ref="I14:J14"/>
    <mergeCell ref="I15:J15"/>
    <mergeCell ref="I20:J20"/>
    <mergeCell ref="I21:J21"/>
    <mergeCell ref="I22:J22"/>
    <mergeCell ref="I26:J26"/>
    <mergeCell ref="B117:J117"/>
    <mergeCell ref="B23:C26"/>
    <mergeCell ref="B27:C28"/>
    <mergeCell ref="B32:C33"/>
    <mergeCell ref="B54:C57"/>
    <mergeCell ref="I60:J60"/>
    <mergeCell ref="I63:J63"/>
    <mergeCell ref="I64:J64"/>
    <mergeCell ref="I75:J75"/>
    <mergeCell ref="E75:F75"/>
    <mergeCell ref="I53:J53"/>
    <mergeCell ref="I57:J57"/>
    <mergeCell ref="I58:J58"/>
    <mergeCell ref="I52:J52"/>
    <mergeCell ref="I45:J45"/>
    <mergeCell ref="I59:J59"/>
  </mergeCells>
  <phoneticPr fontId="1" type="noConversion"/>
  <conditionalFormatting sqref="F14 F45 F91">
    <cfRule type="expression" dxfId="41" priority="63">
      <formula>$O$4&lt;&gt;$O$5</formula>
    </cfRule>
  </conditionalFormatting>
  <conditionalFormatting sqref="F17:G19">
    <cfRule type="expression" dxfId="40" priority="5">
      <formula>$O$4=$O$5</formula>
    </cfRule>
  </conditionalFormatting>
  <conditionalFormatting sqref="F48:G50">
    <cfRule type="expression" dxfId="39" priority="2">
      <formula>$O$4=$O$5</formula>
    </cfRule>
  </conditionalFormatting>
  <conditionalFormatting sqref="F93:G95">
    <cfRule type="expression" dxfId="38" priority="3">
      <formula>$O$4=$O$5</formula>
    </cfRule>
  </conditionalFormatting>
  <conditionalFormatting sqref="G75">
    <cfRule type="expression" dxfId="37" priority="1">
      <formula>$E$2&lt;&gt;"Large (3 YR $)"</formula>
    </cfRule>
  </conditionalFormatting>
  <conditionalFormatting sqref="G14:H14 G45:H45 G91">
    <cfRule type="expression" dxfId="36" priority="66">
      <formula>$O$4&lt;&gt;$O$5</formula>
    </cfRule>
  </conditionalFormatting>
  <conditionalFormatting sqref="H17:H19 H48:H50">
    <cfRule type="expression" dxfId="35" priority="61">
      <formula>$O$4=$O$5</formula>
    </cfRule>
  </conditionalFormatting>
  <conditionalFormatting sqref="L17:L19">
    <cfRule type="expression" dxfId="34" priority="6">
      <formula>$O$4&lt;&gt;$O$5</formula>
    </cfRule>
  </conditionalFormatting>
  <conditionalFormatting sqref="L42:L44">
    <cfRule type="expression" dxfId="33" priority="4">
      <formula>$O$4&lt;&gt;$O$5</formula>
    </cfRule>
  </conditionalFormatting>
  <conditionalFormatting sqref="Q26:Q28">
    <cfRule type="expression" dxfId="32" priority="13">
      <formula>$O$4=$O$5</formula>
    </cfRule>
  </conditionalFormatting>
  <conditionalFormatting sqref="Q57:Q59">
    <cfRule type="expression" dxfId="31" priority="11">
      <formula>$O$4=$O$5</formula>
    </cfRule>
  </conditionalFormatting>
  <conditionalFormatting sqref="Q102:Q104">
    <cfRule type="expression" dxfId="30" priority="9">
      <formula>$O$4=$O$5</formula>
    </cfRule>
  </conditionalFormatting>
  <dataValidations xWindow="649" yWindow="504" count="53">
    <dataValidation allowBlank="1" showInputMessage="1" showErrorMessage="1" promptTitle="BASE UNIT COST- NEW CONSTRUCTION" prompt="Enter the estimated base unit construction cost per GSF of proposed new building area. This cost does not include all other costs itemized below" sqref="H12" xr:uid="{00000000-0002-0000-0300-000001000000}"/>
    <dataValidation type="textLength" allowBlank="1" showInputMessage="1" showErrorMessage="1" promptTitle="PROJECT COST NARRATIVE" prompt="Enter text describing project costs and explaining any high cost elements that are noted within the template (maximum length 1,200 characters)" sqref="B117:I117" xr:uid="{00000000-0002-0000-0300-000002000000}">
      <formula1>0</formula1>
      <formula2>1200</formula2>
    </dataValidation>
    <dataValidation allowBlank="1" showInputMessage="1" showErrorMessage="1" promptTitle="LAND UNIT COST (Per Acre)" prompt="Enter estimated total land acquisition cost per acre" sqref="H110" xr:uid="{00000000-0002-0000-0300-000003000000}"/>
    <dataValidation allowBlank="1" showInputMessage="1" showErrorMessage="1" promptTitle="BUILDING UNIT COST (Per GSF)" prompt="Ente estimated total building acquisition cost per GSF" sqref="H111" xr:uid="{00000000-0002-0000-0300-000004000000}"/>
    <dataValidation type="decimal" allowBlank="1" showInputMessage="1" showErrorMessage="1" promptTitle="FF&amp;E - Loose Equipment" prompt="Estimate anticipated loose equipment costs as a percentage of total new construction cost.  This does not include AV/Technology equipment which is itemized below." sqref="F27" xr:uid="{00000000-0002-0000-0300-000005000000}">
      <formula1>0</formula1>
      <formula2>1</formula2>
    </dataValidation>
    <dataValidation type="decimal" allowBlank="1" showInputMessage="1" showErrorMessage="1" promptTitle="CONTINGENCY" prompt="Enter project contingency as a percentage of total new construction cost" sqref="F31" xr:uid="{00000000-0002-0000-0300-000006000000}">
      <formula1>0</formula1>
      <formula2>1</formula2>
    </dataValidation>
    <dataValidation type="decimal" allowBlank="1" showInputMessage="1" showErrorMessage="1" promptTitle="BLDG. DATA/TECH INFRASTRUCTURE" prompt="Estimate the cost of Data and Technology Infrastructure (within the proposed building) as a percentage of the base new construction cost (AV/Tech Equipment is entered later as a soft cost component)" sqref="F13 F15:F16" xr:uid="{00000000-0002-0000-0300-000007000000}">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new construction cost." sqref="F22" xr:uid="{00000000-0002-0000-0300-000008000000}">
      <formula1>0</formula1>
      <formula2>1</formula2>
    </dataValidation>
    <dataValidation type="decimal" allowBlank="1" showInputMessage="1" showErrorMessage="1" promptTitle="A&amp;E - SPECIAL CONSULTANTS" prompt="Estimate anticipated A&amp;E special consultant fees outside basic services (energy, landscape, PEACH doc, AV/tech, etc. ) as a percentage of total new construction SCL" sqref="F26" xr:uid="{00000000-0002-0000-0300-000009000000}">
      <formula1>0</formula1>
      <formula2>1</formula2>
    </dataValidation>
    <dataValidation type="decimal" allowBlank="1" showInputMessage="1" showErrorMessage="1" promptTitle="Testing/Surveys" prompt="Estimate anticipated Testing and Survey costs as a percentage of total new construction cost" sqref="F29" xr:uid="{00000000-0002-0000-0300-00000A000000}">
      <formula1>0</formula1>
      <formula2>1</formula2>
    </dataValidation>
    <dataValidation type="decimal" allowBlank="1" showInputMessage="1" showErrorMessage="1" promptTitle="FFE - AV/Technology Equipment" prompt="Estimate anticipated AV/Technology Equipment costs as a percentage of total new construction cost.  NOTE - building data and technology infrastructure are estimated above as part of total construction cost" sqref="F28" xr:uid="{00000000-0002-0000-0300-00000B000000}">
      <formula1>0</formula1>
      <formula2>1</formula2>
    </dataValidation>
    <dataValidation allowBlank="1" showInputMessage="1" showErrorMessage="1" promptTitle="BASE UNIT COST- RENOVATION" prompt="Enter the estimated base unit construction cost per GSF of building area proposed for renovation in Building #1.  This cost does not include other costs itemized below._x000a_" sqref="H39" xr:uid="{00000000-0002-0000-0300-00000D000000}"/>
    <dataValidation allowBlank="1" showInputMessage="1" showErrorMessage="1" promptTitle="BASE UNIT COST- RENOVATION" prompt="Enter the estimated base unit construction cost per GSF of building area proposed for renovation in Building #3_x000a_" sqref="G47 H42" xr:uid="{00000000-0002-0000-0300-00000F000000}"/>
    <dataValidation type="decimal" allowBlank="1" showInputMessage="1" showErrorMessage="1" promptTitle="BLDG. DATA/TECH INFRASTRUCTURE" prompt="Estimate the cost of Data and Technology Infrastructure (within the proposed building(s)) as a percentage of the base renovation construction cost of all buildings proposed for renovation (AV/Tech Equipment is entered later as a soft cost component)" sqref="F44" xr:uid="{00000000-0002-0000-0300-000010000000}">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renovation SCL." sqref="F53" xr:uid="{00000000-0002-0000-0300-000012000000}">
      <formula1>0</formula1>
      <formula2>1</formula2>
    </dataValidation>
    <dataValidation type="decimal" allowBlank="1" showInputMessage="1" showErrorMessage="1" promptTitle="FF&amp;E - Loose Equipment" prompt="Estimate anticipated loose equipment costs as a percentage of total renovation construction cost. This does not include AV/Technology equipment which is itemized below." sqref="F58" xr:uid="{00000000-0002-0000-0300-000015000000}">
      <formula1>0</formula1>
      <formula2>1</formula2>
    </dataValidation>
    <dataValidation type="decimal" allowBlank="1" showInputMessage="1" showErrorMessage="1" promptTitle="FF&amp;E - AV/Technology Equipment" prompt="Estimate anticipated AV/Technology Equipment costs as a percentage of total renovation construction cost.  NOTE - building data and technology infrastructure are estimated above as part of total construction cost" sqref="F59" xr:uid="{00000000-0002-0000-0300-000016000000}">
      <formula1>0</formula1>
      <formula2>1.2</formula2>
    </dataValidation>
    <dataValidation type="decimal" allowBlank="1" showInputMessage="1" showErrorMessage="1" promptTitle="CONTINGENCY" prompt="Enter project contingency as a percentage of total renvovation construction cost" sqref="F62" xr:uid="{00000000-0002-0000-0300-000017000000}">
      <formula1>0</formula1>
      <formula2>1</formula2>
    </dataValidation>
    <dataValidation type="decimal" allowBlank="1" showInputMessage="1" showErrorMessage="1" promptTitle="OTHER SPECIAL COSTS" prompt="Estimate any other anticipated non-design related special soft costs (i.e. permits, licenses) as a percentage of total renovation construction cost" sqref="F64 F33" xr:uid="{00000000-0002-0000-0300-000019000000}">
      <formula1>0</formula1>
      <formula2>1</formula2>
    </dataValidation>
    <dataValidation allowBlank="1" showInputMessage="1" showErrorMessage="1" promptTitle="MECHANICAL INF CONST. COST" prompt="Enter the estimated construction cost of proposed Mechanical Infrastucture project components.  Provide summary narrative on cost and allocation in narrative box below." sqref="G88" xr:uid="{00000000-0002-0000-0300-00001C000000}"/>
    <dataValidation allowBlank="1" showInputMessage="1" showErrorMessage="1" promptTitle="STRUCT. PARK. BASE CONST COST" prompt="Enter estimated base construciton cost per structured parking space exclusive of other costs itemized below - provide summary info on cost allocation in narrative." sqref="H85" xr:uid="{00000000-0002-0000-0300-00001D000000}"/>
    <dataValidation allowBlank="1" showInputMessage="1" showErrorMessage="1" promptTitle="UTILITY INFRASTRUCTURE CONST. CO" prompt="Enter the estimated construction cost of proposed Utility Infrastucture project components exclusive of costs itemized below.  Provide summary narrative on cost and allocation in narrative box below." sqref="G89" xr:uid="{00000000-0002-0000-0300-00001E000000}"/>
    <dataValidation allowBlank="1" showInputMessage="1" showErrorMessage="1" promptTitle="SITE PREP / SUBSURFACE RESERVES" prompt="Enter, in dollars, estimated amounts for anticipated site preparation costs or reserves for addressing subsurface conditions" sqref="G16" xr:uid="{00000000-0002-0000-0300-000021000000}"/>
    <dataValidation type="decimal" allowBlank="1" showInputMessage="1" showErrorMessage="1" promptTitle="GENERAL CONDITIONS (DBB/DB)" prompt="To estimate General Conditions for DBB/DB projects, enter as a percentage of Total For Construction (net GC costs).  In the actual project budget, these costs are typically contained within the base contractor bid." sqref="F45 F14 F91" xr:uid="{00000000-0002-0000-0300-000027000000}">
      <formula1>0</formula1>
      <formula2>1</formula2>
    </dataValidation>
    <dataValidation allowBlank="1" showInputMessage="1" showErrorMessage="1" promptTitle="&quot;OTHER&quot; INFRAST. CONST. COST" prompt="Enter the estimated construction cost of proposed &quot;Other&quot; Infrastucture project components exclusive of other costs itemized below.  Provide summary narrative on cost and allocation in narrative box below." sqref="G90" xr:uid="{00000000-0002-0000-0300-00001F000000}"/>
    <dataValidation type="list" allowBlank="1" showInputMessage="1" showErrorMessage="1" promptTitle="PHASE OF DEMOLITION" prompt="Choose the project funding phase that demoltion activities are expected to occur and require funding." sqref="G75" xr:uid="{188326BC-84EC-425F-8FFC-A9BE85F8BA26}">
      <formula1>$W$38:$Y$38</formula1>
    </dataValidation>
    <dataValidation type="decimal" allowBlank="1" showInputMessage="1" showErrorMessage="1" promptTitle="A&amp;E - Total Services" prompt="Estimate anticipated TOTAL A&amp;E fees (including programming, design, construction administration, CDs, CA, etc.) as a percentage of total infrastructure SCL" sqref="F99" xr:uid="{177A2808-F58B-4BA3-BE77-ADA5821C3CD8}">
      <formula1>0</formula1>
      <formula2>1</formula2>
    </dataValidation>
    <dataValidation type="decimal" allowBlank="1" showInputMessage="1" showErrorMessage="1" promptTitle="Testing/Surveys" prompt="Estimate anticipated Testing and Survey costs as a percentage of total infrastructure SCL" sqref="F100" xr:uid="{23F119E3-86D1-4DAA-BBFF-B91558DEE695}">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infrastructure SCL" sqref="F98" xr:uid="{D7FC5309-48AF-41D2-BF67-05C68A27A18A}">
      <formula1>0</formula1>
      <formula2>1</formula2>
    </dataValidation>
    <dataValidation type="decimal" allowBlank="1" showInputMessage="1" showErrorMessage="1" promptTitle="A&amp;E Design Services" prompt="Estimate anticipated A&amp;E fees for design (including reimbursables) as a percentage of the SCL for new construction." sqref="F24" xr:uid="{D2D0531F-D9F9-413B-ADBA-0AA5956C86C3}">
      <formula1>0</formula1>
      <formula2>1</formula2>
    </dataValidation>
    <dataValidation type="decimal" allowBlank="1" showInputMessage="1" showErrorMessage="1" promptTitle="Project Oversight" prompt="Estimate anticipated Project Oversight fees (Program Management, RCI, Cost Estimating and related project inspection fees) as a percentage of total new construction SCL." sqref="F23" xr:uid="{351698C9-368C-4D03-B7E5-D3811B761D7D}">
      <formula1>0</formula1>
      <formula2>1</formula2>
    </dataValidation>
    <dataValidation type="decimal" allowBlank="1" showInputMessage="1" showErrorMessage="1" promptTitle="A&amp;E Construction Admin Services" prompt="Estimate anticipated A&amp;E fees for Construction Administration as a percentage of total new construction SCL." sqref="F25" xr:uid="{D41630C8-3504-4B06-B538-85152F2CE463}">
      <formula1>0</formula1>
      <formula2>1</formula2>
    </dataValidation>
    <dataValidation allowBlank="1" showInputMessage="1" showErrorMessage="1" promptTitle="BASE UNIT COST- RENOVATION" prompt="Enter the estimated base unit construction cost per GSF of building area proposed for renovation in Building #2.  This cost does not include other costs itemized below._x000a_" sqref="H40" xr:uid="{C6C0972C-77BF-4AA3-9B0D-51822FB500EB}"/>
    <dataValidation allowBlank="1" showInputMessage="1" showErrorMessage="1" promptTitle="BASE UNIT COST- RENOVATION" prompt="Enter the estimated base unit construction cost per GSF of building area proposed for renovation in Building #3.  This cost does not include other costs itemized below._x000a_" sqref="H41" xr:uid="{939F9695-20A2-4748-A352-E0D94C7526C7}"/>
    <dataValidation allowBlank="1" showInputMessage="1" showErrorMessage="1" promptTitle="ABATEMENT RESERVE - RENOVATION" prompt="Enter a reserve (unit cost $ per GSF) for abating hazardous materials within the buildings being renovated._x000a_" sqref="H47" xr:uid="{CDB57380-6D81-4A7B-ABC4-0AD332AE8F34}"/>
    <dataValidation type="decimal" allowBlank="1" showInputMessage="1" showErrorMessage="1" promptTitle="Project Oversight" prompt="Estimate anticipated Project Oversight fees (Program Management, RCI, Cost Estimating and related project inspection fees) as a percentage of total renovation SCL." sqref="F54" xr:uid="{1D1E2DAB-9C9C-4AE9-B939-5027C2081D71}">
      <formula1>0</formula1>
      <formula2>1</formula2>
    </dataValidation>
    <dataValidation type="decimal" allowBlank="1" showInputMessage="1" showErrorMessage="1" promptTitle="A&amp;E Design Services" prompt="Estimate anticipated A&amp;E fees for design (including reimbursables) as a percentage of the SCL for renovation." sqref="F55" xr:uid="{5CDC3BB5-7762-4336-A3B0-049099D57A65}">
      <formula1>0</formula1>
      <formula2>1</formula2>
    </dataValidation>
    <dataValidation type="decimal" allowBlank="1" showInputMessage="1" showErrorMessage="1" promptTitle="A&amp;E Construction Admin Services" prompt="Estimate anticipated A&amp;E fees for Construction Administration as a percentage of total SCL for renovation." sqref="F56" xr:uid="{8DA8D9F9-458A-4E0F-9625-422992C5D4F8}">
      <formula1>0</formula1>
      <formula2>1</formula2>
    </dataValidation>
    <dataValidation type="decimal" allowBlank="1" showInputMessage="1" showErrorMessage="1" promptTitle="A&amp;E - SPECIAL CONSULTANTS" prompt="Estimate anticipated A&amp;E special consultant fees outside basic services (energy, landscape, PEACH doc, AV/tech, etc. ) as a percentage of total SCL for renovation." sqref="F57" xr:uid="{5E437649-EA25-4AE0-9C95-28D5EEF48B0E}">
      <formula1>0</formula1>
      <formula2>1</formula2>
    </dataValidation>
    <dataValidation type="decimal" allowBlank="1" showInputMessage="1" showErrorMessage="1" promptTitle="Testing/Surveys" prompt="Estimate anticipated Testing and Survey costs as a percentage of total SCL for renovation." sqref="F60" xr:uid="{4FD9A736-89BC-418B-8B31-7D71A74DE07C}">
      <formula1>0</formula1>
      <formula2>1</formula2>
    </dataValidation>
    <dataValidation type="decimal" allowBlank="1" showInputMessage="1" showErrorMessage="1" promptTitle="COMMISSIONING" prompt="Estimate anticipated building commissioning costs as a percentage of total SCL for renovation." sqref="F63 F32" xr:uid="{2B7126EE-79AC-440C-A0D0-7BB8FF202A19}">
      <formula1>0</formula1>
      <formula2>1</formula2>
    </dataValidation>
    <dataValidation type="decimal" allowBlank="1" showInputMessage="1" showErrorMessage="1" promptTitle="CONTINGENCY" prompt="Enter project contingency as a percentage of total SCL for renovation." sqref="F64 F33" xr:uid="{CAEEE80C-1596-43BD-8C13-344FC30BA82E}">
      <formula1>0</formula1>
      <formula2>1</formula2>
    </dataValidation>
    <dataValidation allowBlank="1" showInputMessage="1" showErrorMessage="1" promptTitle="Abatement Unit Cost" prompt="Enter estimated total unit cost of hazardous materials abatement per GSF of Bldg. #1 (including removal and disposal of hazardous materials)." sqref="I77" xr:uid="{10DF3B58-7770-446F-9365-8932D3D39D94}"/>
    <dataValidation allowBlank="1" showInputMessage="1" showErrorMessage="1" promptTitle="Abatement Unit Cost" prompt="Enter estimated total unit cost of hazardous materials abatement per GSF of Bldg. #2 (including removal and disposal of hazardous materials)." sqref="I78" xr:uid="{346B570F-BE88-4A01-97CB-951513EA1CAA}"/>
    <dataValidation allowBlank="1" showInputMessage="1" showErrorMessage="1" promptTitle="Abatement Unit Cost" prompt="Enter estimated total unit cost of hazardous materials abatement per GSF of Bldg. #3 (including removal and disposal of hazardous materials)." sqref="I79" xr:uid="{1BA9FB92-BEEA-4749-BAF9-1AFCF0DEF3BF}"/>
    <dataValidation allowBlank="1" showInputMessage="1" showErrorMessage="1" promptTitle="Demolition Unit Cost" prompt="Enter estimated total unit cost of Demolition per GSF of Bldg. #1 (including physical demolition, removal and disposal of non-hazardous materials, and site restoration)." sqref="J77" xr:uid="{BB687E78-D6A9-44B6-B45D-ED290543FEFB}"/>
    <dataValidation allowBlank="1" showInputMessage="1" showErrorMessage="1" promptTitle="Demolition Unit Cost" prompt="Enter estimated total unit cost of Demolition per GSF of Bldg. #2 (including physical demolition, removal and disposal of non-hazardous materials, and site restoration)." sqref="J78" xr:uid="{35C8232F-4895-4038-93C3-694562BE1785}"/>
    <dataValidation allowBlank="1" showInputMessage="1" showErrorMessage="1" promptTitle="Demolition Unit Cost" prompt="Enter estimated total unit cost of Demolition per GSF of Bldg. #3 (including physical demolition, removal and disposal of non-hazardous materials, and site restoration)." sqref="J79" xr:uid="{A67C67AC-DBD7-4658-9160-57222397584C}"/>
    <dataValidation allowBlank="1" showInputMessage="1" showErrorMessage="1" promptTitle="SURFACE PARK. BASE CONST COST" prompt="Enter estimated base construciton cost per surface parking space exclusive of other costs itemized below - provide summary info on cost allocation in narrative." sqref="H86" xr:uid="{8014440D-8935-4917-B712-E27E31A3EC50}"/>
    <dataValidation type="decimal" allowBlank="1" showInputMessage="1" showErrorMessage="1" promptTitle="CONTINGENCY" prompt="Enter project contingency as a percentage of total SCL for Infrastructure" sqref="F102" xr:uid="{A653497B-CD2A-4F7B-A8C5-E483E216036B}">
      <formula1>0</formula1>
      <formula2>1</formula2>
    </dataValidation>
    <dataValidation type="decimal" allowBlank="1" showInputMessage="1" showErrorMessage="1" promptTitle="COMMISSIONING" prompt="Enter project Commissioning fees as a percentage of the total SCL for renovation." sqref="F63 F103 F32" xr:uid="{BC733DD1-6606-465B-BF5F-77B2CD0FBB5D}">
      <formula1>0</formula1>
      <formula2>1</formula2>
    </dataValidation>
    <dataValidation type="decimal" allowBlank="1" showInputMessage="1" showErrorMessage="1" promptTitle="COMMISSIONING" prompt="Estimate anticipated building commissioning costs as a percentage of total SCL for Infrastructure." sqref="F103" xr:uid="{852D4992-F02D-4130-BB99-65935EEF7CA6}">
      <formula1>0</formula1>
      <formula2>1</formula2>
    </dataValidation>
    <dataValidation type="list" allowBlank="1" showInputMessage="1" showErrorMessage="1" sqref="J5" xr:uid="{E0D8193E-28A9-4AC0-9AE6-DB805BEF330F}">
      <formula1>#REF!</formula1>
    </dataValidation>
  </dataValidations>
  <pageMargins left="0.2" right="0.2" top="0.25" bottom="0.25" header="0.3" footer="0.3"/>
  <pageSetup paperSize="5" scale="89" fitToHeight="0" orientation="portrait" horizontalDpi="300" verticalDpi="300" r:id="rId1"/>
  <headerFooter alignWithMargins="0"/>
  <rowBreaks count="1" manualBreakCount="1">
    <brk id="66" max="9" man="1"/>
  </rowBreaks>
  <ignoredErrors>
    <ignoredError sqref="I27 I58 I45:I46" formula="1"/>
    <ignoredError sqref="K93:K95" unlockedFormula="1"/>
    <ignoredError sqref="AM30:AM32"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AP51"/>
  <sheetViews>
    <sheetView workbookViewId="0">
      <selection activeCell="F11" sqref="F11"/>
    </sheetView>
  </sheetViews>
  <sheetFormatPr defaultColWidth="0" defaultRowHeight="12.75" zeroHeight="1"/>
  <cols>
    <col min="1" max="1" width="2.5703125" customWidth="1"/>
    <col min="2" max="2" width="3.42578125" customWidth="1"/>
    <col min="3" max="3" width="20.42578125" customWidth="1"/>
    <col min="4" max="4" width="5.140625" customWidth="1"/>
    <col min="5" max="5" width="13.28515625" customWidth="1"/>
    <col min="6" max="6" width="16.5703125" customWidth="1"/>
    <col min="7" max="7" width="24.42578125" customWidth="1"/>
    <col min="8" max="8" width="11.5703125" customWidth="1"/>
    <col min="9" max="9" width="23.5703125" customWidth="1"/>
    <col min="10" max="10" width="5.42578125" customWidth="1"/>
    <col min="11" max="11" width="5.7109375" customWidth="1"/>
    <col min="12" max="12" width="1.85546875" customWidth="1"/>
    <col min="13" max="13" width="9.140625" hidden="1" customWidth="1"/>
    <col min="14" max="14" width="18.85546875" hidden="1" customWidth="1"/>
    <col min="15" max="15" width="15.5703125" hidden="1" customWidth="1"/>
    <col min="16" max="16" width="14.28515625" hidden="1" customWidth="1"/>
    <col min="17" max="17" width="12.85546875" hidden="1" customWidth="1"/>
    <col min="18" max="18" width="12.5703125" hidden="1" customWidth="1"/>
    <col min="19" max="19" width="10.85546875" hidden="1" customWidth="1"/>
    <col min="20" max="42" width="0" hidden="1" customWidth="1"/>
    <col min="43" max="16384" width="9.140625" hidden="1"/>
  </cols>
  <sheetData>
    <row r="1" spans="1:24" ht="41.25" customHeight="1" thickBot="1">
      <c r="A1" s="19" t="s">
        <v>202</v>
      </c>
      <c r="B1" s="7"/>
      <c r="C1" s="7"/>
      <c r="D1" s="7"/>
      <c r="E1" s="20"/>
      <c r="F1" s="7"/>
      <c r="G1" s="21"/>
      <c r="H1" s="21"/>
      <c r="I1" s="7"/>
      <c r="J1" s="22"/>
      <c r="K1" s="22" t="str">
        <f>'TAB 1 Proj. ID &amp; Prim Narrative'!M1</f>
        <v>USG CAPITAL PLAN -  FY 27-30 PROJECT TEMPLATE</v>
      </c>
      <c r="L1" s="7"/>
      <c r="M1" s="168"/>
      <c r="N1" s="168"/>
      <c r="O1" s="168"/>
      <c r="P1" s="168"/>
      <c r="Q1" s="168"/>
      <c r="R1" s="168"/>
      <c r="S1" s="168"/>
      <c r="T1" s="168"/>
      <c r="U1" s="168"/>
      <c r="V1" s="168"/>
      <c r="W1" s="168"/>
      <c r="X1" s="168"/>
    </row>
    <row r="2" spans="1:24" ht="27.75" customHeight="1" thickBot="1">
      <c r="A2" s="7"/>
      <c r="B2" s="7"/>
      <c r="C2" s="68" t="str">
        <f>IF('TAB 1 Proj. ID &amp; Prim Narrative'!$B$7="","",'TAB 1 Proj. ID &amp; Prim Narrative'!$B$7)</f>
        <v/>
      </c>
      <c r="D2" s="1676" t="str">
        <f>IF('TAB 1 Proj. ID &amp; Prim Narrative'!U13="","",'TAB 1 Proj. ID &amp; Prim Narrative'!U13)</f>
        <v/>
      </c>
      <c r="E2" s="1667"/>
      <c r="F2" s="68" t="str">
        <f>IF('TAB 2 Project Specs'!H2="","",'TAB 2 Project Specs'!H2)</f>
        <v/>
      </c>
      <c r="G2" s="1665" t="str">
        <f>IF('TAB 1 Proj. ID &amp; Prim Narrative'!$D$10="","",'TAB 1 Proj. ID &amp; Prim Narrative'!$D$10)</f>
        <v/>
      </c>
      <c r="H2" s="1666"/>
      <c r="I2" s="1666"/>
      <c r="J2" s="1666"/>
      <c r="K2" s="1667"/>
      <c r="L2" s="7"/>
      <c r="M2" s="169"/>
      <c r="N2" s="169"/>
      <c r="O2" s="169"/>
      <c r="P2" s="169"/>
      <c r="Q2" s="169"/>
    </row>
    <row r="3" spans="1:24" ht="29.25" customHeight="1" thickBot="1">
      <c r="A3" s="147"/>
      <c r="B3" s="7"/>
      <c r="C3" s="7"/>
      <c r="D3" s="7"/>
      <c r="E3" s="7"/>
      <c r="F3" s="20"/>
      <c r="G3" s="7"/>
      <c r="H3" s="7"/>
      <c r="I3" s="7"/>
      <c r="J3" s="7"/>
      <c r="K3" s="7"/>
      <c r="L3" s="7"/>
      <c r="M3" s="169"/>
      <c r="N3" s="169"/>
      <c r="O3" s="169"/>
      <c r="P3" s="169"/>
      <c r="Q3" s="169"/>
    </row>
    <row r="4" spans="1:24" ht="21" customHeight="1" thickBot="1">
      <c r="A4" s="147"/>
      <c r="B4" s="363" t="s">
        <v>210</v>
      </c>
      <c r="C4" s="364"/>
      <c r="D4" s="344"/>
      <c r="E4" s="344"/>
      <c r="F4" s="365"/>
      <c r="G4" s="344"/>
      <c r="H4" s="309" t="s">
        <v>7906</v>
      </c>
      <c r="I4" s="320" t="str">
        <f>IF(F20=0,"",IF(F19&lt;5000000.0001,R6,IF(F19&gt;5000000,R7,"")))</f>
        <v/>
      </c>
      <c r="J4" s="134"/>
      <c r="K4" s="345"/>
      <c r="L4" s="7"/>
    </row>
    <row r="5" spans="1:24" ht="14.25" customHeight="1">
      <c r="A5" s="147"/>
      <c r="B5" s="1695" t="s">
        <v>7904</v>
      </c>
      <c r="C5" s="1696"/>
      <c r="D5" s="1696"/>
      <c r="E5" s="1696"/>
      <c r="F5" s="1696"/>
      <c r="G5" s="1696"/>
      <c r="H5" s="1696"/>
      <c r="I5" s="1696"/>
      <c r="J5" s="1696"/>
      <c r="K5" s="1697"/>
      <c r="L5" s="7"/>
      <c r="N5" s="169" t="s">
        <v>151</v>
      </c>
    </row>
    <row r="6" spans="1:24" ht="14.25" customHeight="1">
      <c r="A6" s="147"/>
      <c r="B6" s="1695" t="s">
        <v>8090</v>
      </c>
      <c r="C6" s="1414"/>
      <c r="D6" s="1414"/>
      <c r="E6" s="1414"/>
      <c r="F6" s="1414"/>
      <c r="G6" s="1414"/>
      <c r="H6" s="1414"/>
      <c r="I6" s="1414"/>
      <c r="J6" s="1414"/>
      <c r="K6" s="1711"/>
      <c r="L6" s="7"/>
      <c r="N6" s="1132" t="str">
        <f>IF(OR(D2=N20,D2=N22),"Large Cap","")</f>
        <v/>
      </c>
      <c r="R6" s="484" t="s">
        <v>7843</v>
      </c>
    </row>
    <row r="7" spans="1:24" ht="14.25" customHeight="1" thickBot="1">
      <c r="A7" s="147"/>
      <c r="B7" s="1698" t="s">
        <v>7910</v>
      </c>
      <c r="C7" s="1699"/>
      <c r="D7" s="1699"/>
      <c r="E7" s="1699"/>
      <c r="F7" s="1699"/>
      <c r="G7" s="1699"/>
      <c r="H7" s="1699"/>
      <c r="I7" s="1699"/>
      <c r="J7" s="1699"/>
      <c r="K7" s="1700"/>
      <c r="L7" s="7"/>
      <c r="R7" s="484" t="s">
        <v>7844</v>
      </c>
    </row>
    <row r="8" spans="1:24" ht="15.6" customHeight="1" thickBot="1">
      <c r="A8" s="147"/>
      <c r="B8" s="1677"/>
      <c r="C8" s="1678"/>
      <c r="D8" s="1679"/>
      <c r="E8" s="1196" t="s">
        <v>350</v>
      </c>
      <c r="F8" s="366" t="s">
        <v>351</v>
      </c>
      <c r="G8" s="367"/>
      <c r="H8" s="267"/>
      <c r="I8" s="185"/>
      <c r="J8" s="162"/>
      <c r="K8" s="238"/>
      <c r="L8" s="7"/>
      <c r="M8" s="169">
        <v>2022</v>
      </c>
      <c r="N8" s="169"/>
      <c r="O8" s="169"/>
      <c r="P8" s="169"/>
      <c r="Q8" s="169"/>
      <c r="R8" s="3"/>
    </row>
    <row r="9" spans="1:24" ht="19.5" customHeight="1" thickBot="1">
      <c r="A9" s="147"/>
      <c r="B9" s="700" t="s">
        <v>356</v>
      </c>
      <c r="C9" s="190"/>
      <c r="D9" s="190"/>
      <c r="E9" s="1241"/>
      <c r="F9" s="649">
        <f>'TAB 3 Project Cost'!F5</f>
        <v>0</v>
      </c>
      <c r="G9" s="368"/>
      <c r="H9" s="369"/>
      <c r="I9" s="369"/>
      <c r="J9" s="369"/>
      <c r="K9" s="370"/>
      <c r="L9" s="7"/>
      <c r="M9" s="169"/>
      <c r="N9" s="169"/>
      <c r="O9" s="169"/>
      <c r="P9" s="169"/>
      <c r="Q9" s="169"/>
      <c r="R9" s="3"/>
    </row>
    <row r="10" spans="1:24" ht="18.75" customHeight="1" thickBot="1">
      <c r="A10" s="147"/>
      <c r="B10" s="1330" t="s">
        <v>7903</v>
      </c>
      <c r="C10" s="371"/>
      <c r="D10" s="154"/>
      <c r="E10" s="1235"/>
      <c r="F10" s="1236"/>
      <c r="G10" s="1680" t="s">
        <v>243</v>
      </c>
      <c r="H10" s="1681"/>
      <c r="I10" s="1681"/>
      <c r="J10" s="1681"/>
      <c r="K10" s="1682"/>
      <c r="L10" s="7"/>
      <c r="M10" s="169">
        <v>2027</v>
      </c>
      <c r="N10" s="169" t="s">
        <v>6883</v>
      </c>
      <c r="O10" s="715" t="s">
        <v>148</v>
      </c>
      <c r="P10" s="169"/>
      <c r="Q10" s="169" t="s">
        <v>341</v>
      </c>
      <c r="R10" s="3"/>
      <c r="S10" s="3"/>
    </row>
    <row r="11" spans="1:24" ht="18.75" customHeight="1">
      <c r="A11" s="147"/>
      <c r="B11" s="1731" t="s">
        <v>7894</v>
      </c>
      <c r="C11" s="1326" t="s">
        <v>6903</v>
      </c>
      <c r="D11" s="1186"/>
      <c r="E11" s="1237"/>
      <c r="F11" s="652"/>
      <c r="G11" s="1708"/>
      <c r="H11" s="1702"/>
      <c r="I11" s="1702"/>
      <c r="J11" s="1702"/>
      <c r="K11" s="1703"/>
      <c r="L11" s="7"/>
      <c r="M11" s="169">
        <v>2028</v>
      </c>
      <c r="N11" s="169" t="s">
        <v>7173</v>
      </c>
      <c r="O11" s="718" t="s">
        <v>150</v>
      </c>
      <c r="P11" s="716" t="s">
        <v>265</v>
      </c>
      <c r="Q11" s="169" t="s">
        <v>357</v>
      </c>
      <c r="R11" s="169"/>
      <c r="S11" s="169"/>
    </row>
    <row r="12" spans="1:24" ht="18.75" customHeight="1" thickBot="1">
      <c r="A12" s="147"/>
      <c r="B12" s="1732"/>
      <c r="C12" s="1327" t="s">
        <v>7907</v>
      </c>
      <c r="D12" s="1187"/>
      <c r="E12" s="1238"/>
      <c r="F12" s="651"/>
      <c r="G12" s="1701"/>
      <c r="H12" s="1702"/>
      <c r="I12" s="1702"/>
      <c r="J12" s="1702"/>
      <c r="K12" s="1703"/>
      <c r="L12" s="7"/>
      <c r="M12" s="169">
        <v>2029</v>
      </c>
      <c r="N12" s="169" t="s">
        <v>7595</v>
      </c>
      <c r="O12" s="719" t="s">
        <v>149</v>
      </c>
      <c r="P12" s="717">
        <f>-SUM(F11:F18)</f>
        <v>0</v>
      </c>
      <c r="Q12" s="169" t="s">
        <v>358</v>
      </c>
      <c r="R12" s="169"/>
      <c r="S12" s="169"/>
    </row>
    <row r="13" spans="1:24" ht="18.75" customHeight="1">
      <c r="A13" s="147"/>
      <c r="B13" s="1732"/>
      <c r="C13" s="1326" t="s">
        <v>8123</v>
      </c>
      <c r="D13" s="1186"/>
      <c r="E13" s="1237"/>
      <c r="F13" s="652"/>
      <c r="G13" s="1701"/>
      <c r="H13" s="1702"/>
      <c r="I13" s="1702"/>
      <c r="J13" s="1702"/>
      <c r="K13" s="1703"/>
      <c r="L13" s="7"/>
      <c r="M13" s="169">
        <v>2030</v>
      </c>
      <c r="N13" s="169" t="s">
        <v>7835</v>
      </c>
      <c r="O13" s="169"/>
      <c r="P13" s="169"/>
      <c r="Q13" s="169" t="s">
        <v>359</v>
      </c>
      <c r="R13" s="169"/>
      <c r="S13" s="169"/>
    </row>
    <row r="14" spans="1:24" ht="18.75" customHeight="1">
      <c r="A14" s="147"/>
      <c r="B14" s="1732"/>
      <c r="C14" s="1326" t="s">
        <v>7908</v>
      </c>
      <c r="D14" s="1186"/>
      <c r="E14" s="1237"/>
      <c r="F14" s="652"/>
      <c r="G14" s="1701"/>
      <c r="H14" s="1702"/>
      <c r="I14" s="1702"/>
      <c r="J14" s="1702"/>
      <c r="K14" s="1703"/>
      <c r="L14" s="7"/>
      <c r="M14" s="169"/>
      <c r="O14" s="169" t="s">
        <v>161</v>
      </c>
      <c r="P14" s="169" t="s">
        <v>162</v>
      </c>
      <c r="Q14" s="169"/>
      <c r="R14" s="169"/>
      <c r="S14" s="169"/>
    </row>
    <row r="15" spans="1:24" ht="18.75" customHeight="1">
      <c r="A15" s="147"/>
      <c r="B15" s="1732"/>
      <c r="C15" s="1326" t="s">
        <v>7909</v>
      </c>
      <c r="D15" s="1186"/>
      <c r="E15" s="1237"/>
      <c r="F15" s="652"/>
      <c r="G15" s="1701"/>
      <c r="H15" s="1702"/>
      <c r="I15" s="1702"/>
      <c r="J15" s="1702"/>
      <c r="K15" s="1703"/>
      <c r="L15" s="7"/>
      <c r="M15" s="169"/>
      <c r="N15" s="169" t="s">
        <v>148</v>
      </c>
      <c r="O15" s="177">
        <f>'TAB 3 Project Cost'!W39</f>
        <v>0</v>
      </c>
      <c r="P15" s="172">
        <f>ROUNDUP(O15,-5)</f>
        <v>0</v>
      </c>
      <c r="Q15" s="169"/>
      <c r="R15" s="169"/>
      <c r="S15" s="3" t="b">
        <f>D2=N22</f>
        <v>0</v>
      </c>
    </row>
    <row r="16" spans="1:24" ht="18.75" customHeight="1">
      <c r="A16" s="147"/>
      <c r="B16" s="1732"/>
      <c r="C16" s="1326" t="s">
        <v>6927</v>
      </c>
      <c r="D16" s="1186"/>
      <c r="E16" s="1237"/>
      <c r="F16" s="652"/>
      <c r="G16" s="1701"/>
      <c r="H16" s="1702"/>
      <c r="I16" s="1702"/>
      <c r="J16" s="1702"/>
      <c r="K16" s="1703"/>
      <c r="L16" s="7"/>
      <c r="M16" s="169"/>
      <c r="N16" s="169" t="s">
        <v>150</v>
      </c>
      <c r="O16" s="177"/>
      <c r="P16" s="172">
        <f>F9-P17-P15</f>
        <v>0</v>
      </c>
      <c r="Q16" s="169"/>
      <c r="R16" s="169"/>
      <c r="S16" s="169"/>
    </row>
    <row r="17" spans="1:42" ht="18.75" customHeight="1">
      <c r="A17" s="147"/>
      <c r="B17" s="1732"/>
      <c r="C17" s="1328" t="s">
        <v>8072</v>
      </c>
      <c r="D17" s="1188"/>
      <c r="E17" s="1239"/>
      <c r="F17" s="1189"/>
      <c r="G17" s="1708"/>
      <c r="H17" s="1702"/>
      <c r="I17" s="1702"/>
      <c r="J17" s="1702"/>
      <c r="K17" s="1703"/>
      <c r="L17" s="7"/>
      <c r="M17" s="169"/>
      <c r="N17" s="169" t="s">
        <v>149</v>
      </c>
      <c r="O17" s="171">
        <f>'TAB 3 Project Cost'!G27+'TAB 3 Project Cost'!G28+'TAB 3 Project Cost'!G58+'TAB 3 Project Cost'!G59+'TAB 3 Project Cost'!Y54</f>
        <v>0</v>
      </c>
      <c r="P17" s="172">
        <f>ROUNDUP(O17,-5)</f>
        <v>0</v>
      </c>
      <c r="Q17" s="169"/>
      <c r="R17" s="169"/>
      <c r="S17" s="169"/>
    </row>
    <row r="18" spans="1:42" ht="18.75" customHeight="1" thickBot="1">
      <c r="A18" s="147"/>
      <c r="B18" s="1733"/>
      <c r="C18" s="1329" t="s">
        <v>343</v>
      </c>
      <c r="D18" s="374"/>
      <c r="E18" s="1240"/>
      <c r="F18" s="653"/>
      <c r="G18" s="1705"/>
      <c r="H18" s="1706"/>
      <c r="I18" s="1706"/>
      <c r="J18" s="1706"/>
      <c r="K18" s="1707"/>
      <c r="L18" s="7"/>
      <c r="M18" s="169"/>
      <c r="N18" s="169" t="s">
        <v>6907</v>
      </c>
    </row>
    <row r="19" spans="1:42" ht="21" customHeight="1" thickBot="1">
      <c r="A19" s="147"/>
      <c r="B19" s="700" t="s">
        <v>7902</v>
      </c>
      <c r="C19" s="372"/>
      <c r="D19" s="373"/>
      <c r="E19" s="1325"/>
      <c r="F19" s="649">
        <f>F9-SUM(F11:F18)</f>
        <v>0</v>
      </c>
      <c r="G19" s="1728"/>
      <c r="H19" s="1729"/>
      <c r="I19" s="1729"/>
      <c r="J19" s="1729"/>
      <c r="K19" s="1730"/>
      <c r="L19" s="7"/>
      <c r="M19" s="169"/>
      <c r="N19" s="184"/>
      <c r="O19" s="169"/>
      <c r="P19" s="169"/>
      <c r="Q19" s="169"/>
      <c r="R19" s="169"/>
      <c r="S19" s="171"/>
      <c r="T19" s="1185"/>
      <c r="U19" s="1185"/>
      <c r="V19" s="1185"/>
      <c r="W19" s="1185"/>
      <c r="X19" s="1185"/>
      <c r="Y19" s="1185"/>
      <c r="Z19" s="1185"/>
      <c r="AA19" s="1185"/>
      <c r="AB19" s="1185"/>
      <c r="AC19" s="1185"/>
      <c r="AD19" s="1185"/>
      <c r="AE19" s="1185"/>
      <c r="AF19" s="1185"/>
      <c r="AG19" s="1185"/>
      <c r="AH19" s="1185"/>
      <c r="AI19" s="1185"/>
      <c r="AJ19" s="1185"/>
      <c r="AK19" s="1185"/>
      <c r="AL19" s="1185"/>
      <c r="AM19" s="1185"/>
      <c r="AN19" s="1185"/>
      <c r="AO19" s="1185"/>
      <c r="AP19" s="1185"/>
    </row>
    <row r="20" spans="1:42" ht="20.45" customHeight="1" thickBot="1">
      <c r="A20" s="147"/>
      <c r="B20" s="700" t="s">
        <v>198</v>
      </c>
      <c r="C20" s="375"/>
      <c r="D20" s="375"/>
      <c r="E20" s="1324" t="str">
        <f>IF(E9="","",IF(E9=0,"",E9))</f>
        <v/>
      </c>
      <c r="F20" s="649">
        <f>SUM(F11:F19)</f>
        <v>0</v>
      </c>
      <c r="G20" s="518"/>
      <c r="H20" s="240"/>
      <c r="I20" s="376"/>
      <c r="J20" s="376"/>
      <c r="K20" s="377"/>
      <c r="L20" s="7"/>
      <c r="M20" s="169"/>
      <c r="N20" s="169" t="s">
        <v>7840</v>
      </c>
      <c r="O20" s="281"/>
      <c r="P20" s="169"/>
      <c r="Q20" s="169"/>
      <c r="R20" s="169" t="b">
        <f>D2=N21</f>
        <v>0</v>
      </c>
      <c r="S20" s="169" t="b">
        <f>D2=N22</f>
        <v>0</v>
      </c>
      <c r="T20">
        <f>IF(OR(R20=TRUE,S20=TRUE),F19,0)</f>
        <v>0</v>
      </c>
      <c r="U20" s="3" t="s">
        <v>7923</v>
      </c>
    </row>
    <row r="21" spans="1:42" ht="27" customHeight="1" thickBot="1">
      <c r="A21" s="147"/>
      <c r="B21" s="1704"/>
      <c r="C21" s="1478"/>
      <c r="D21" s="1478"/>
      <c r="E21" s="1478"/>
      <c r="F21" s="378"/>
      <c r="G21" s="379"/>
      <c r="H21" s="7"/>
      <c r="I21" s="380"/>
      <c r="J21" s="380"/>
      <c r="K21" s="380"/>
      <c r="L21" s="7"/>
      <c r="M21" s="169"/>
      <c r="N21" s="169" t="s">
        <v>152</v>
      </c>
      <c r="O21" s="169"/>
      <c r="P21" s="169"/>
      <c r="Q21" s="169"/>
      <c r="R21" s="169"/>
      <c r="S21" s="169"/>
    </row>
    <row r="22" spans="1:42" ht="18.75" customHeight="1" thickBot="1">
      <c r="A22" s="147"/>
      <c r="B22" s="381" t="s">
        <v>352</v>
      </c>
      <c r="C22" s="344"/>
      <c r="D22" s="344"/>
      <c r="E22" s="344"/>
      <c r="F22" s="365"/>
      <c r="G22" s="344"/>
      <c r="H22" s="344"/>
      <c r="I22" s="344"/>
      <c r="J22" s="344"/>
      <c r="K22" s="345"/>
      <c r="L22" s="7"/>
      <c r="M22" s="169"/>
      <c r="N22" s="169" t="s">
        <v>7839</v>
      </c>
      <c r="O22" s="169"/>
      <c r="P22" s="169"/>
      <c r="Q22" s="169"/>
      <c r="R22" s="169"/>
      <c r="S22" s="169"/>
    </row>
    <row r="23" spans="1:42" ht="10.5" customHeight="1" thickBot="1">
      <c r="A23" s="147"/>
      <c r="B23" s="7"/>
      <c r="C23" s="7"/>
      <c r="D23" s="7"/>
      <c r="E23" s="7"/>
      <c r="F23" s="7"/>
      <c r="G23" s="162"/>
      <c r="H23" s="162"/>
      <c r="I23" s="7"/>
      <c r="J23" s="7"/>
      <c r="K23" s="7"/>
      <c r="L23" s="7"/>
    </row>
    <row r="24" spans="1:42" ht="36.75" customHeight="1" thickBot="1">
      <c r="A24" s="147"/>
      <c r="B24" s="1725" t="str">
        <f>IF(D2=N20,N24,IF(D2=N22,N24,IF(D2=N21,O24,IF(D2=N22,P24,""))))</f>
        <v/>
      </c>
      <c r="C24" s="1726"/>
      <c r="D24" s="1726"/>
      <c r="E24" s="1727"/>
      <c r="F24" s="382" t="str">
        <f>IF(F2="","",F2)</f>
        <v/>
      </c>
      <c r="G24" s="1709" t="str">
        <f>IF(D2=N20,N29,IF(D2=N21,O29,IF(D2=N22,P29,"")))</f>
        <v/>
      </c>
      <c r="H24" s="1710"/>
      <c r="I24" s="413" t="str">
        <f>IF('TAB 1 Proj. ID &amp; Prim Narrative'!G23="","",'TAB 1 Proj. ID &amp; Prim Narrative'!G23)</f>
        <v/>
      </c>
      <c r="J24" s="7"/>
      <c r="K24" s="7"/>
      <c r="L24" s="7"/>
      <c r="M24" s="169"/>
      <c r="N24" s="183" t="s">
        <v>405</v>
      </c>
      <c r="O24" s="183" t="s">
        <v>404</v>
      </c>
      <c r="P24" s="183" t="s">
        <v>406</v>
      </c>
      <c r="S24" s="169" t="s">
        <v>7845</v>
      </c>
    </row>
    <row r="25" spans="1:42" ht="15" customHeight="1" thickBot="1">
      <c r="A25" s="147"/>
      <c r="C25" s="383"/>
      <c r="D25" s="383"/>
      <c r="E25" s="384"/>
      <c r="F25" s="385"/>
      <c r="G25" s="7"/>
      <c r="H25" s="7"/>
      <c r="I25" s="7"/>
      <c r="J25" s="7"/>
      <c r="K25" s="7"/>
      <c r="L25" s="7"/>
      <c r="M25" s="169"/>
      <c r="N25" s="184" t="s">
        <v>355</v>
      </c>
      <c r="O25" s="169"/>
      <c r="P25" s="169"/>
      <c r="S25" s="3" t="str">
        <f>_xlfn.CONCAT("State funds ",R7,"; change GO project type to Large Cap, OR")</f>
        <v>State funds &gt; $5M; change GO project type to Large Cap, OR</v>
      </c>
    </row>
    <row r="26" spans="1:42" ht="15.75" customHeight="1">
      <c r="A26" s="147"/>
      <c r="B26" s="521" t="str">
        <f>IF(AND(D2=N22,I26=P35),N26,"")</f>
        <v/>
      </c>
      <c r="C26" s="383"/>
      <c r="D26" s="383"/>
      <c r="E26" s="384"/>
      <c r="F26" s="238"/>
      <c r="G26" s="1714" t="str">
        <f>IF(N5=N6,N35,"")</f>
        <v/>
      </c>
      <c r="H26" s="1458"/>
      <c r="I26" s="1716" t="str">
        <f>IF(D2=N20,P36,IF(D2=N22,P35,""))</f>
        <v/>
      </c>
      <c r="J26" s="1717"/>
      <c r="K26" s="1718"/>
      <c r="L26" s="7"/>
      <c r="M26" s="169"/>
      <c r="N26" s="169" t="s">
        <v>6909</v>
      </c>
      <c r="O26" s="169"/>
      <c r="P26" s="169"/>
      <c r="S26" s="3" t="s">
        <v>7850</v>
      </c>
    </row>
    <row r="27" spans="1:42" ht="15.75" customHeight="1" thickBot="1">
      <c r="A27" s="147"/>
      <c r="B27" s="522" t="str">
        <f>IF(AND(D2=N22,I26=P35),N27,"")</f>
        <v/>
      </c>
      <c r="C27" s="519"/>
      <c r="D27" s="519"/>
      <c r="E27" s="520"/>
      <c r="F27" s="243"/>
      <c r="G27" s="1715"/>
      <c r="H27" s="1458"/>
      <c r="I27" s="1719"/>
      <c r="J27" s="1720"/>
      <c r="K27" s="1721"/>
      <c r="L27" s="7"/>
      <c r="M27" s="169"/>
      <c r="N27" s="169" t="s">
        <v>6910</v>
      </c>
      <c r="O27" s="169"/>
      <c r="P27" s="169"/>
      <c r="S27" s="3" t="str">
        <f>_xlfn.CONCAT("State funds ",R6,"; change GO project type to Small Cap, OR")</f>
        <v>State funds &lt;= $5M; change GO project type to Small Cap, OR</v>
      </c>
    </row>
    <row r="28" spans="1:42" ht="26.25" customHeight="1" thickBot="1">
      <c r="A28" s="147"/>
      <c r="B28" s="1683" t="str">
        <f>IF(AND(D2=N22,I26=P35),"Normative Large Cap 3 year GO Funding plan","")</f>
        <v/>
      </c>
      <c r="C28" s="1684"/>
      <c r="D28" s="507" t="str">
        <f>IF(AND($D$2=$N$22,$I$26=$P$35),"FY","")</f>
        <v/>
      </c>
      <c r="E28" s="508" t="str">
        <f>IF(E29="","",E29-1)</f>
        <v/>
      </c>
      <c r="F28" s="649" t="str">
        <f>IF(AND($D$2=$N$22,$I$26=$P$35),IF($F$34="",P15,P15-F35),"")</f>
        <v/>
      </c>
      <c r="G28" s="1722" t="str">
        <f>IF(D2=N20,O38,"")</f>
        <v/>
      </c>
      <c r="H28" s="1723"/>
      <c r="I28" s="1723"/>
      <c r="J28" s="1723"/>
      <c r="K28" s="1723"/>
      <c r="L28" s="7"/>
      <c r="M28" s="169"/>
      <c r="N28" s="178">
        <f>IF(F34="",0,F34)</f>
        <v>0</v>
      </c>
      <c r="O28" s="178" t="str">
        <f>IF(N29="",0,N29)</f>
        <v>FY of GO Bond Const. Funding</v>
      </c>
      <c r="P28" s="180">
        <f>SUM(F11:F18)</f>
        <v>0</v>
      </c>
      <c r="Q28" s="169">
        <f>COUNT(N24:P24)</f>
        <v>0</v>
      </c>
      <c r="S28" s="3" t="s">
        <v>7851</v>
      </c>
    </row>
    <row r="29" spans="1:42" ht="26.25" customHeight="1" thickBot="1">
      <c r="A29" s="147"/>
      <c r="B29" s="1685"/>
      <c r="C29" s="1686"/>
      <c r="D29" s="509" t="str">
        <f>IF(AND($D$2=$N$22,$I$26=$P$35),"FY","")</f>
        <v/>
      </c>
      <c r="E29" s="510" t="str">
        <f>IF(OR($D$2&lt;&gt;$N$22,$I$26&lt;&gt;$P$35),"",IF(I24=N10,M10,IF(I24=N11,M11,IF(I24=N12,M12,IF(I24=N13,M13,"")))))</f>
        <v/>
      </c>
      <c r="F29" s="649" t="str">
        <f>IF(AND($D$2=$N$22,$I$26=$P$35),IF($F$34="",P16,P16-F36),"")</f>
        <v/>
      </c>
      <c r="G29" s="1724"/>
      <c r="H29" s="1723"/>
      <c r="I29" s="1723"/>
      <c r="J29" s="1723"/>
      <c r="K29" s="1723"/>
      <c r="L29" s="7"/>
      <c r="M29" s="169"/>
      <c r="N29" s="169" t="s">
        <v>398</v>
      </c>
      <c r="O29" s="169" t="s">
        <v>399</v>
      </c>
      <c r="P29" s="169" t="s">
        <v>394</v>
      </c>
      <c r="Q29" s="169"/>
    </row>
    <row r="30" spans="1:42" ht="26.25" customHeight="1" thickBot="1">
      <c r="A30" s="147"/>
      <c r="B30" s="1687"/>
      <c r="C30" s="1688"/>
      <c r="D30" s="511" t="str">
        <f>IF(AND($D$2=$N$22,$I$26=$P$35),"FY","")</f>
        <v/>
      </c>
      <c r="E30" s="512" t="str">
        <f>IF(E29="","",E29+1)</f>
        <v/>
      </c>
      <c r="F30" s="649" t="str">
        <f>IF(AND($D$2=$N$22,$I$26=$P$35),IF($F$34="",P17,P17-F37),"")</f>
        <v/>
      </c>
      <c r="G30" s="1724"/>
      <c r="H30" s="1723"/>
      <c r="I30" s="1723"/>
      <c r="J30" s="1723"/>
      <c r="K30" s="1723"/>
      <c r="L30" s="7"/>
      <c r="M30" s="169"/>
      <c r="N30" s="169"/>
      <c r="O30" s="169"/>
      <c r="P30" s="169"/>
      <c r="Q30" s="169"/>
      <c r="S30" s="3" t="s">
        <v>7846</v>
      </c>
    </row>
    <row r="31" spans="1:42" ht="17.25" customHeight="1" thickBot="1">
      <c r="A31" s="147"/>
      <c r="B31" s="7"/>
      <c r="C31" s="7"/>
      <c r="D31" s="7"/>
      <c r="E31" s="7"/>
      <c r="F31" s="7"/>
      <c r="G31" s="523"/>
      <c r="H31" s="523"/>
      <c r="I31" s="523"/>
      <c r="J31" s="523"/>
      <c r="K31" s="523"/>
      <c r="L31" s="7"/>
      <c r="M31" s="169"/>
      <c r="N31" t="s">
        <v>6775</v>
      </c>
      <c r="Q31" s="169"/>
      <c r="S31" s="3" t="s">
        <v>7848</v>
      </c>
    </row>
    <row r="32" spans="1:42" ht="15.75" customHeight="1">
      <c r="A32" s="147"/>
      <c r="B32" s="521" t="str">
        <f>IF(SUM($F$11:$F$18)=0,"",N32)</f>
        <v/>
      </c>
      <c r="C32" s="514"/>
      <c r="D32" s="514"/>
      <c r="E32" s="514"/>
      <c r="F32" s="515"/>
      <c r="G32" s="1133" t="str">
        <f>IF(OR(G33=S25,G33=S27,G35=S30,G35=S31,G35=S32),"Project Type and GO Funding Error Messages:","")</f>
        <v/>
      </c>
      <c r="H32" s="513"/>
      <c r="I32" s="513"/>
      <c r="J32" s="513"/>
      <c r="K32" s="513"/>
      <c r="L32" s="7"/>
      <c r="M32" s="169"/>
      <c r="N32" s="484" t="s">
        <v>6911</v>
      </c>
      <c r="Q32" s="169"/>
      <c r="S32" s="3" t="s">
        <v>7847</v>
      </c>
    </row>
    <row r="33" spans="1:19" ht="15.75" customHeight="1" thickBot="1">
      <c r="A33" s="147"/>
      <c r="B33" s="522" t="str">
        <f>IF(SUM($F$11:$F$18)=0,"",N33)</f>
        <v/>
      </c>
      <c r="C33" s="516"/>
      <c r="D33" s="516"/>
      <c r="E33" s="516"/>
      <c r="F33" s="517"/>
      <c r="G33" s="1134" t="str">
        <f>IF(AND($D$2=$N$21,$I$4&lt;&gt;$R$6),S25,IF(AND($N$6=$N$5,$I$4&lt;&gt;$R$7),S27,""))</f>
        <v/>
      </c>
      <c r="H33" s="513"/>
      <c r="I33" s="513"/>
      <c r="J33" s="513"/>
      <c r="K33" s="513"/>
      <c r="L33" s="7"/>
      <c r="M33" s="169"/>
      <c r="N33" s="484" t="s">
        <v>6912</v>
      </c>
      <c r="Q33" s="169"/>
    </row>
    <row r="34" spans="1:19" ht="21" customHeight="1" thickBot="1">
      <c r="A34" s="147"/>
      <c r="B34" s="503" t="str">
        <f>IF(SUM($F$11:$F$18)&gt;0,"Total Non-GO Project Funds","")</f>
        <v/>
      </c>
      <c r="C34" s="480"/>
      <c r="D34" s="480"/>
      <c r="E34" s="481"/>
      <c r="F34" s="649" t="str">
        <f>IF(SUM(F11:F18)&gt;0,SUM(F11:F18),"")</f>
        <v/>
      </c>
      <c r="G34" s="1135" t="str">
        <f>IF(AND($D$2=$N$21,$I$4&lt;&gt;$R$6),S26,IF(AND($N$6=$N$5,$I$4&lt;&gt;$R$7),S28,""))</f>
        <v/>
      </c>
      <c r="H34" s="155"/>
      <c r="I34" s="288"/>
      <c r="J34" s="387"/>
      <c r="K34" s="387"/>
      <c r="L34" s="32"/>
      <c r="M34" s="169"/>
      <c r="N34" s="169" t="s">
        <v>6908</v>
      </c>
      <c r="O34" s="169"/>
      <c r="P34" s="169"/>
      <c r="Q34" s="169"/>
    </row>
    <row r="35" spans="1:19" ht="21" customHeight="1" thickBot="1">
      <c r="A35" s="147"/>
      <c r="B35" s="1689" t="str">
        <f>IF(SUM(F11:F18)=0,"","Availability of Non-GO funds by project phase")</f>
        <v/>
      </c>
      <c r="C35" s="1690"/>
      <c r="D35" s="479" t="str">
        <f>IF(AND(SUM($F$11:$F$18)&gt;0,$D$2=$N$22),N15,"")</f>
        <v/>
      </c>
      <c r="E35" s="501"/>
      <c r="F35" s="650"/>
      <c r="G35" s="499" t="str">
        <f>IF(F35&gt;P15,S30,"")</f>
        <v/>
      </c>
      <c r="H35" s="155"/>
      <c r="I35" s="288"/>
      <c r="J35" s="387"/>
      <c r="K35" s="387"/>
      <c r="L35" s="32"/>
      <c r="M35" s="169"/>
      <c r="N35" s="169" t="s">
        <v>6905</v>
      </c>
      <c r="O35" s="169"/>
      <c r="P35" s="169" t="s">
        <v>6904</v>
      </c>
      <c r="Q35" s="169"/>
      <c r="S35" t="s">
        <v>6906</v>
      </c>
    </row>
    <row r="36" spans="1:19" ht="21" customHeight="1" thickBot="1">
      <c r="A36" s="147"/>
      <c r="B36" s="1691"/>
      <c r="C36" s="1692"/>
      <c r="D36" s="479" t="str">
        <f>IF(SUM($F$11:$F$18)&gt;0,N16,"")</f>
        <v/>
      </c>
      <c r="E36" s="501"/>
      <c r="F36" s="650"/>
      <c r="G36" s="499" t="str">
        <f>IF(F36&gt;P16,S31,"")</f>
        <v/>
      </c>
      <c r="H36" s="155"/>
      <c r="I36" s="288"/>
      <c r="J36" s="387"/>
      <c r="K36" s="387"/>
      <c r="L36" s="32"/>
      <c r="M36" s="169"/>
      <c r="O36" s="169"/>
      <c r="P36" s="169" t="s">
        <v>6913</v>
      </c>
      <c r="Q36" s="169"/>
    </row>
    <row r="37" spans="1:19" ht="21" customHeight="1" thickBot="1">
      <c r="A37" s="147"/>
      <c r="B37" s="1693"/>
      <c r="C37" s="1694"/>
      <c r="D37" s="479" t="str">
        <f>IF(AND(SUM($F$11:$F$18)&gt;0,$D$2=$N$22),N17,"")</f>
        <v/>
      </c>
      <c r="E37" s="501"/>
      <c r="F37" s="650"/>
      <c r="G37" s="499" t="str">
        <f>IF(F37&gt;P17,S32,"")</f>
        <v/>
      </c>
      <c r="H37" s="155"/>
      <c r="I37" s="288"/>
      <c r="J37" s="387"/>
      <c r="K37" s="387"/>
      <c r="L37" s="32"/>
      <c r="M37" s="169"/>
    </row>
    <row r="38" spans="1:19" ht="23.25" customHeight="1" thickBot="1">
      <c r="A38" s="147"/>
      <c r="B38" s="1712" t="str">
        <f>IF(F38=F34,"",N34)</f>
        <v/>
      </c>
      <c r="C38" s="1713"/>
      <c r="D38" s="479" t="str">
        <f>IF(F$34="","",N18)</f>
        <v/>
      </c>
      <c r="E38" s="502"/>
      <c r="F38" s="654" t="str">
        <f>IF(SUM(F35:F37)=0,"",SUM(F35:F37))</f>
        <v/>
      </c>
      <c r="G38" s="386"/>
      <c r="H38" s="155"/>
      <c r="I38" s="288"/>
      <c r="J38" s="387"/>
      <c r="K38" s="387"/>
      <c r="L38" s="32"/>
      <c r="M38" s="169"/>
      <c r="O38" s="504" t="s">
        <v>7167</v>
      </c>
      <c r="P38" s="504"/>
      <c r="Q38" s="504"/>
      <c r="R38" s="504"/>
      <c r="S38" s="504"/>
    </row>
    <row r="39" spans="1:19" ht="21.75" customHeight="1" thickBot="1">
      <c r="A39" s="147"/>
      <c r="B39" s="506"/>
      <c r="C39" s="505"/>
      <c r="D39" s="388"/>
      <c r="E39" s="191"/>
      <c r="F39" s="389"/>
      <c r="G39" s="390"/>
      <c r="H39" s="390"/>
      <c r="I39" s="7"/>
      <c r="J39" s="7"/>
      <c r="K39" s="7"/>
      <c r="L39" s="7"/>
      <c r="M39" s="169"/>
      <c r="O39" s="504"/>
      <c r="P39" s="504"/>
      <c r="Q39" s="504"/>
      <c r="R39" s="504"/>
      <c r="S39" s="504"/>
    </row>
    <row r="40" spans="1:19" ht="21.75" customHeight="1">
      <c r="A40" s="7"/>
      <c r="B40" s="236" t="s">
        <v>211</v>
      </c>
      <c r="C40" s="206"/>
      <c r="D40" s="162"/>
      <c r="E40" s="219"/>
      <c r="F40" s="207"/>
      <c r="G40" s="237"/>
      <c r="H40" s="237"/>
      <c r="I40" s="162"/>
      <c r="J40" s="162"/>
      <c r="K40" s="238"/>
      <c r="L40" s="7"/>
      <c r="M40" s="169"/>
      <c r="N40" s="169"/>
      <c r="O40" s="504"/>
      <c r="P40" s="504"/>
      <c r="Q40" s="504"/>
      <c r="R40" s="504"/>
      <c r="S40" s="504"/>
    </row>
    <row r="41" spans="1:19" ht="16.149999999999999" customHeight="1" thickBot="1">
      <c r="A41" s="7"/>
      <c r="B41" s="239"/>
      <c r="C41" s="726" t="s">
        <v>7168</v>
      </c>
      <c r="D41" s="240"/>
      <c r="E41" s="149"/>
      <c r="F41" s="241"/>
      <c r="G41" s="242"/>
      <c r="H41" s="242"/>
      <c r="I41" s="240"/>
      <c r="J41" s="240"/>
      <c r="K41" s="243"/>
      <c r="L41" s="7"/>
      <c r="M41" s="169"/>
    </row>
    <row r="42" spans="1:19" ht="108.75" customHeight="1" thickBot="1">
      <c r="A42" s="7"/>
      <c r="B42" s="1514" t="s">
        <v>7236</v>
      </c>
      <c r="C42" s="1515"/>
      <c r="D42" s="1515"/>
      <c r="E42" s="1515"/>
      <c r="F42" s="1515"/>
      <c r="G42" s="1515"/>
      <c r="H42" s="1515"/>
      <c r="I42" s="1515"/>
      <c r="J42" s="1515"/>
      <c r="K42" s="1516"/>
      <c r="L42" s="7"/>
      <c r="M42" s="169"/>
      <c r="N42" s="169"/>
      <c r="O42" s="169"/>
      <c r="P42" s="169"/>
      <c r="Q42" s="169"/>
    </row>
    <row r="43" spans="1:19">
      <c r="A43" s="7"/>
      <c r="B43" s="7"/>
      <c r="C43" s="7"/>
      <c r="D43" s="7"/>
      <c r="E43" s="7"/>
      <c r="F43" s="7"/>
      <c r="G43" s="7"/>
      <c r="H43" s="7"/>
      <c r="I43" s="7"/>
      <c r="J43" s="7"/>
      <c r="K43" s="7"/>
      <c r="L43" s="7"/>
      <c r="M43" s="169"/>
      <c r="N43" s="169"/>
      <c r="O43" s="169"/>
      <c r="P43" s="169"/>
      <c r="Q43" s="169"/>
    </row>
    <row r="44" spans="1:19" ht="13.5" hidden="1" thickBot="1"/>
    <row r="45" spans="1:19" ht="13.5" hidden="1" thickBot="1">
      <c r="B45" s="1668" t="str">
        <f>IF(D2=N22,"PCBS Values not valid (Non-GO Bond project)","OPB PBCS Total Project Cost Entry Calculation (System Office Use)")</f>
        <v>OPB PBCS Total Project Cost Entry Calculation (System Office Use)</v>
      </c>
      <c r="C45" s="1669"/>
      <c r="D45" s="391" t="str">
        <f>IF($F$19&gt;0,"Planning/Prog.","")</f>
        <v/>
      </c>
      <c r="E45" s="392"/>
      <c r="F45" s="393">
        <f t="shared" ref="F45:F51" si="0">P45</f>
        <v>0</v>
      </c>
      <c r="N45" s="169" t="s">
        <v>344</v>
      </c>
      <c r="O45" s="178"/>
      <c r="P45" s="172">
        <f>ROUNDUP(O45,-3)</f>
        <v>0</v>
      </c>
    </row>
    <row r="46" spans="1:19" ht="13.5" hidden="1" thickTop="1">
      <c r="B46" s="1670"/>
      <c r="C46" s="1671"/>
      <c r="D46" s="394" t="str">
        <f>IF($F$19&gt;0,"Prop. Acquisition","")</f>
        <v/>
      </c>
      <c r="E46" s="395"/>
      <c r="F46" s="396">
        <f t="shared" si="0"/>
        <v>0</v>
      </c>
      <c r="N46" s="169" t="s">
        <v>345</v>
      </c>
      <c r="O46" s="178">
        <f>'TAB 3 Project Cost'!G112</f>
        <v>0</v>
      </c>
      <c r="P46" s="172">
        <f>ROUNDUP(O46,-3)</f>
        <v>0</v>
      </c>
    </row>
    <row r="47" spans="1:19" hidden="1">
      <c r="B47" s="1670"/>
      <c r="C47" s="1671"/>
      <c r="D47" s="397" t="str">
        <f>IF($F$19&gt;0,"Design","")</f>
        <v/>
      </c>
      <c r="E47" s="398"/>
      <c r="F47" s="399">
        <f t="shared" si="0"/>
        <v>0</v>
      </c>
      <c r="N47" s="169" t="s">
        <v>148</v>
      </c>
      <c r="O47" s="179">
        <f>O15</f>
        <v>0</v>
      </c>
      <c r="P47" s="172">
        <f>ROUNDUP(O47,-3)</f>
        <v>0</v>
      </c>
    </row>
    <row r="48" spans="1:19" hidden="1">
      <c r="B48" s="1670"/>
      <c r="C48" s="1671"/>
      <c r="D48" s="400" t="str">
        <f>IF($F$19&gt;0,"Construction","")</f>
        <v/>
      </c>
      <c r="E48" s="401"/>
      <c r="F48" s="402">
        <f t="shared" si="0"/>
        <v>0</v>
      </c>
      <c r="N48" s="169" t="s">
        <v>159</v>
      </c>
      <c r="O48" s="178">
        <f>F9-O46-O47-O49</f>
        <v>0</v>
      </c>
      <c r="P48" s="171">
        <f>F9-P49-P47-P46</f>
        <v>0</v>
      </c>
    </row>
    <row r="49" spans="2:16" ht="13.5" hidden="1" thickBot="1">
      <c r="B49" s="1670"/>
      <c r="C49" s="1671"/>
      <c r="D49" s="403" t="str">
        <f>IF($F$19&gt;0,"Loose Equipment","")</f>
        <v/>
      </c>
      <c r="E49" s="404"/>
      <c r="F49" s="405">
        <f t="shared" si="0"/>
        <v>0</v>
      </c>
      <c r="N49" s="169" t="s">
        <v>160</v>
      </c>
      <c r="O49" s="178">
        <f>O17</f>
        <v>0</v>
      </c>
      <c r="P49" s="172">
        <f>ROUNDUP(O49,-3)</f>
        <v>0</v>
      </c>
    </row>
    <row r="50" spans="2:16" ht="14.25" hidden="1" thickTop="1" thickBot="1">
      <c r="B50" s="1672"/>
      <c r="C50" s="1673"/>
      <c r="D50" s="406" t="s">
        <v>353</v>
      </c>
      <c r="E50" s="407"/>
      <c r="F50" s="408">
        <f t="shared" si="0"/>
        <v>0</v>
      </c>
      <c r="N50" s="169"/>
      <c r="O50" s="178"/>
      <c r="P50" s="172">
        <f>SUM(P46:P49)</f>
        <v>0</v>
      </c>
    </row>
    <row r="51" spans="2:16" ht="13.5" hidden="1" thickBot="1">
      <c r="B51" s="1674"/>
      <c r="C51" s="1675"/>
      <c r="D51" s="409" t="s">
        <v>354</v>
      </c>
      <c r="E51" s="410"/>
      <c r="F51" s="411">
        <f t="shared" si="0"/>
        <v>0</v>
      </c>
      <c r="N51" s="169"/>
      <c r="O51" s="178"/>
      <c r="P51" s="172">
        <f>SUM(P45:P49)</f>
        <v>0</v>
      </c>
    </row>
  </sheetData>
  <sheetProtection algorithmName="SHA-512" hashValue="WGqVgf7jYCKOj+TQKu1P1Nrcr3ovD9F9devltgrDw5OHsm/jb7B8OosV2OoOmINasRNfW8ZMNHWpUSc+j5kGjw==" saltValue="StYqyhL9gAZhUebpzYMGgw==" spinCount="100000" sheet="1" objects="1" scenarios="1"/>
  <mergeCells count="28">
    <mergeCell ref="B6:K6"/>
    <mergeCell ref="G16:K16"/>
    <mergeCell ref="B38:C38"/>
    <mergeCell ref="G26:H27"/>
    <mergeCell ref="I26:K27"/>
    <mergeCell ref="G28:K30"/>
    <mergeCell ref="B24:E24"/>
    <mergeCell ref="G19:K19"/>
    <mergeCell ref="G11:K11"/>
    <mergeCell ref="G13:K13"/>
    <mergeCell ref="G14:K14"/>
    <mergeCell ref="B11:B18"/>
    <mergeCell ref="G2:K2"/>
    <mergeCell ref="B45:C51"/>
    <mergeCell ref="D2:E2"/>
    <mergeCell ref="B8:D8"/>
    <mergeCell ref="G10:K10"/>
    <mergeCell ref="B42:K42"/>
    <mergeCell ref="B28:C30"/>
    <mergeCell ref="B35:C37"/>
    <mergeCell ref="B5:K5"/>
    <mergeCell ref="B7:K7"/>
    <mergeCell ref="G15:K15"/>
    <mergeCell ref="B21:E21"/>
    <mergeCell ref="G18:K18"/>
    <mergeCell ref="G12:K12"/>
    <mergeCell ref="G17:K17"/>
    <mergeCell ref="G24:H24"/>
  </mergeCells>
  <conditionalFormatting sqref="B26:F30">
    <cfRule type="expression" dxfId="29" priority="42">
      <formula>OR($D$2&lt;&gt;$N$22,$I$26&lt;&gt;$P$35)</formula>
    </cfRule>
  </conditionalFormatting>
  <conditionalFormatting sqref="B32:F38">
    <cfRule type="expression" dxfId="28" priority="5">
      <formula>SUM($F$11:$F$18)=0</formula>
    </cfRule>
  </conditionalFormatting>
  <conditionalFormatting sqref="G26:H27">
    <cfRule type="expression" dxfId="27" priority="4">
      <formula>I26=""</formula>
    </cfRule>
  </conditionalFormatting>
  <conditionalFormatting sqref="I26:K27">
    <cfRule type="expression" dxfId="26" priority="41">
      <formula>$D$2=$N$21</formula>
    </cfRule>
  </conditionalFormatting>
  <dataValidations xWindow="1387" yWindow="933" count="5">
    <dataValidation type="textLength" allowBlank="1" showInputMessage="1" showErrorMessage="1" promptTitle="PROJECT FUNDING NARRATIVE" prompt="Enter text describing any unusual and important project funding aspects not conveyed above. (maximum length 750 characters)" sqref="B42:K42" xr:uid="{00000000-0002-0000-0400-000000000000}">
      <formula1>0</formula1>
      <formula2>750</formula2>
    </dataValidation>
    <dataValidation type="whole" allowBlank="1" showInputMessage="1" showErrorMessage="1" sqref="F19" xr:uid="{00000000-0002-0000-0400-000005000000}">
      <formula1>0</formula1>
      <formula2>F9</formula2>
    </dataValidation>
    <dataValidation type="whole" allowBlank="1" showInputMessage="1" showErrorMessage="1" error="Non GO Bond Avail for design phase must not exceed cost of phase" sqref="F35" xr:uid="{00000000-0002-0000-0400-000002000000}">
      <formula1>0</formula1>
      <formula2>P15</formula2>
    </dataValidation>
    <dataValidation type="whole" allowBlank="1" showInputMessage="1" showErrorMessage="1" error="Non GO funds avail. by phase must not exceed cost of phase." sqref="F36" xr:uid="{00000000-0002-0000-0400-000003000000}">
      <formula1>0</formula1>
      <formula2>P16</formula2>
    </dataValidation>
    <dataValidation type="whole" allowBlank="1" showInputMessage="1" showErrorMessage="1" error="Non GO funds avail by phase must not exceed cost of phase" sqref="F37" xr:uid="{00000000-0002-0000-0400-000004000000}">
      <formula1>0</formula1>
      <formula2>P17</formula2>
    </dataValidation>
  </dataValidations>
  <pageMargins left="0.2" right="0.2" top="0.25" bottom="0.25" header="0.3" footer="0.3"/>
  <pageSetup paperSize="5" scale="77" fitToHeight="0" orientation="portrait" horizontalDpi="300" verticalDpi="300" r:id="rId1"/>
  <headerFooter alignWithMargins="0"/>
  <ignoredErrors>
    <ignoredError sqref="B35 F34" formulaRange="1"/>
    <ignoredError sqref="D3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P3594"/>
  <sheetViews>
    <sheetView zoomScaleNormal="100" workbookViewId="0"/>
  </sheetViews>
  <sheetFormatPr defaultRowHeight="12.75"/>
  <cols>
    <col min="1" max="10" width="9.5703125" style="2" customWidth="1"/>
    <col min="11" max="16384" width="9.140625" style="2"/>
  </cols>
  <sheetData>
    <row r="2" spans="1:12" ht="12" customHeight="1">
      <c r="A2"/>
      <c r="B2" s="3"/>
      <c r="C2"/>
      <c r="D2"/>
      <c r="E2"/>
      <c r="F2"/>
      <c r="G2"/>
      <c r="H2"/>
      <c r="I2"/>
      <c r="J2"/>
      <c r="K2"/>
      <c r="L2"/>
    </row>
    <row r="3" spans="1:12" ht="12" customHeight="1">
      <c r="A3"/>
      <c r="B3" s="3"/>
      <c r="C3"/>
      <c r="D3"/>
      <c r="E3"/>
      <c r="F3"/>
      <c r="G3"/>
      <c r="H3"/>
      <c r="I3"/>
      <c r="J3"/>
      <c r="K3"/>
      <c r="L3"/>
    </row>
    <row r="4" spans="1:12" ht="12" customHeight="1">
      <c r="A4"/>
      <c r="B4" s="3"/>
      <c r="C4"/>
      <c r="D4"/>
      <c r="E4"/>
      <c r="F4"/>
      <c r="G4"/>
      <c r="H4"/>
      <c r="I4"/>
      <c r="J4"/>
      <c r="K4"/>
      <c r="L4"/>
    </row>
    <row r="5" spans="1:12" ht="12" customHeight="1">
      <c r="A5"/>
      <c r="B5" s="3"/>
      <c r="C5"/>
      <c r="D5"/>
      <c r="E5"/>
      <c r="F5"/>
      <c r="G5"/>
      <c r="H5"/>
      <c r="I5"/>
      <c r="J5"/>
      <c r="K5"/>
      <c r="L5"/>
    </row>
    <row r="6" spans="1:12" ht="12" customHeight="1">
      <c r="A6"/>
      <c r="B6"/>
      <c r="C6"/>
      <c r="D6"/>
      <c r="E6"/>
      <c r="F6"/>
      <c r="G6"/>
      <c r="H6"/>
      <c r="I6"/>
      <c r="J6"/>
      <c r="K6"/>
      <c r="L6"/>
    </row>
    <row r="7" spans="1:12" ht="12" customHeight="1">
      <c r="A7"/>
      <c r="B7"/>
      <c r="C7"/>
      <c r="D7"/>
      <c r="E7"/>
      <c r="F7"/>
      <c r="G7"/>
      <c r="H7"/>
      <c r="I7"/>
      <c r="J7"/>
      <c r="K7"/>
      <c r="L7"/>
    </row>
    <row r="8" spans="1:12" ht="12" customHeight="1">
      <c r="A8"/>
      <c r="B8"/>
      <c r="C8"/>
      <c r="D8"/>
      <c r="E8"/>
      <c r="F8"/>
      <c r="G8"/>
      <c r="H8"/>
      <c r="I8"/>
      <c r="J8"/>
      <c r="K8"/>
      <c r="L8"/>
    </row>
    <row r="9" spans="1:12" ht="12" customHeight="1">
      <c r="A9"/>
      <c r="B9"/>
      <c r="C9"/>
      <c r="D9"/>
      <c r="E9"/>
      <c r="F9"/>
      <c r="G9"/>
      <c r="H9"/>
      <c r="I9"/>
      <c r="J9"/>
      <c r="K9"/>
      <c r="L9"/>
    </row>
    <row r="10" spans="1:12" ht="12" customHeight="1">
      <c r="A10"/>
      <c r="B10"/>
      <c r="C10"/>
      <c r="D10"/>
      <c r="E10"/>
      <c r="F10"/>
      <c r="G10"/>
      <c r="H10"/>
      <c r="I10"/>
      <c r="J10"/>
      <c r="K10"/>
      <c r="L10"/>
    </row>
    <row r="11" spans="1:12" ht="12" customHeight="1">
      <c r="A11"/>
      <c r="B11"/>
      <c r="C11"/>
      <c r="D11"/>
      <c r="E11"/>
      <c r="F11"/>
      <c r="G11"/>
      <c r="H11"/>
      <c r="I11"/>
      <c r="J11"/>
      <c r="K11"/>
      <c r="L11"/>
    </row>
    <row r="12" spans="1:12" ht="12" customHeight="1">
      <c r="A12"/>
      <c r="B12"/>
      <c r="C12"/>
      <c r="D12"/>
      <c r="E12"/>
      <c r="F12"/>
      <c r="G12"/>
      <c r="H12"/>
      <c r="I12"/>
      <c r="J12"/>
      <c r="K12"/>
      <c r="L12"/>
    </row>
    <row r="13" spans="1:12" ht="12" customHeight="1">
      <c r="A13"/>
      <c r="B13"/>
      <c r="C13"/>
      <c r="D13"/>
      <c r="E13"/>
      <c r="F13"/>
      <c r="G13"/>
      <c r="H13"/>
      <c r="I13"/>
      <c r="J13"/>
      <c r="K13"/>
      <c r="L13"/>
    </row>
    <row r="14" spans="1:12" ht="12" customHeight="1">
      <c r="A14"/>
      <c r="B14"/>
      <c r="C14"/>
      <c r="D14"/>
      <c r="E14"/>
      <c r="F14"/>
      <c r="G14"/>
      <c r="H14"/>
      <c r="I14"/>
      <c r="J14"/>
      <c r="K14"/>
      <c r="L14"/>
    </row>
    <row r="15" spans="1:12" ht="12" customHeight="1">
      <c r="A15"/>
      <c r="B15"/>
      <c r="C15"/>
      <c r="D15"/>
      <c r="E15"/>
      <c r="F15"/>
      <c r="G15"/>
      <c r="H15"/>
      <c r="I15"/>
      <c r="J15"/>
      <c r="K15"/>
      <c r="L15"/>
    </row>
    <row r="16" spans="1:12" ht="12" customHeight="1">
      <c r="A16"/>
      <c r="B16"/>
      <c r="C16"/>
      <c r="D16"/>
      <c r="E16"/>
      <c r="F16"/>
      <c r="G16"/>
      <c r="H16"/>
      <c r="I16"/>
      <c r="J16"/>
      <c r="K16"/>
      <c r="L16"/>
    </row>
    <row r="17" spans="1:12" ht="12" customHeight="1">
      <c r="A17"/>
      <c r="B17"/>
      <c r="C17"/>
      <c r="D17"/>
      <c r="E17"/>
      <c r="F17"/>
      <c r="G17"/>
      <c r="H17"/>
      <c r="I17"/>
      <c r="J17"/>
      <c r="K17"/>
      <c r="L17"/>
    </row>
    <row r="18" spans="1:12" ht="12" customHeight="1">
      <c r="A18"/>
      <c r="B18"/>
      <c r="C18"/>
      <c r="D18"/>
      <c r="E18"/>
      <c r="F18"/>
      <c r="G18"/>
      <c r="H18"/>
      <c r="I18"/>
      <c r="J18"/>
      <c r="K18"/>
      <c r="L18"/>
    </row>
    <row r="19" spans="1:12" ht="12" customHeight="1">
      <c r="A19"/>
      <c r="B19"/>
      <c r="C19"/>
      <c r="D19"/>
      <c r="E19"/>
      <c r="F19"/>
      <c r="G19"/>
      <c r="H19"/>
      <c r="I19"/>
      <c r="J19"/>
      <c r="K19"/>
      <c r="L19"/>
    </row>
    <row r="20" spans="1:12" ht="12" customHeight="1">
      <c r="A20"/>
      <c r="B20"/>
      <c r="C20"/>
      <c r="D20"/>
      <c r="E20"/>
      <c r="F20"/>
      <c r="G20"/>
      <c r="H20"/>
      <c r="I20"/>
      <c r="J20"/>
      <c r="K20"/>
      <c r="L20"/>
    </row>
    <row r="21" spans="1:12" ht="12" customHeight="1">
      <c r="A21"/>
      <c r="B21"/>
      <c r="C21"/>
      <c r="D21"/>
      <c r="E21"/>
      <c r="F21"/>
      <c r="G21"/>
      <c r="H21"/>
      <c r="I21"/>
      <c r="J21"/>
      <c r="K21"/>
      <c r="L21"/>
    </row>
    <row r="22" spans="1:12" ht="12" customHeight="1">
      <c r="A22"/>
      <c r="B22"/>
      <c r="C22"/>
      <c r="D22"/>
      <c r="E22"/>
      <c r="F22"/>
      <c r="G22"/>
      <c r="H22"/>
      <c r="I22"/>
      <c r="J22"/>
      <c r="K22"/>
      <c r="L22"/>
    </row>
    <row r="23" spans="1:12" ht="12" customHeight="1">
      <c r="A23"/>
      <c r="B23"/>
      <c r="C23"/>
      <c r="D23"/>
      <c r="E23"/>
      <c r="F23"/>
      <c r="G23"/>
      <c r="H23"/>
      <c r="I23"/>
      <c r="J23"/>
      <c r="K23"/>
      <c r="L23"/>
    </row>
    <row r="24" spans="1:12" ht="12" customHeight="1">
      <c r="A24"/>
      <c r="B24"/>
      <c r="C24"/>
      <c r="D24"/>
      <c r="E24"/>
      <c r="F24"/>
      <c r="G24"/>
      <c r="H24"/>
      <c r="I24"/>
      <c r="J24"/>
      <c r="K24"/>
      <c r="L24"/>
    </row>
    <row r="25" spans="1:12" ht="12" customHeight="1">
      <c r="A25"/>
      <c r="B25"/>
      <c r="C25"/>
      <c r="D25"/>
      <c r="E25"/>
      <c r="F25"/>
      <c r="G25"/>
      <c r="H25"/>
      <c r="I25"/>
      <c r="J25"/>
      <c r="K25"/>
      <c r="L25"/>
    </row>
    <row r="26" spans="1:12" ht="12" customHeight="1">
      <c r="A26"/>
      <c r="B26"/>
      <c r="C26"/>
      <c r="D26"/>
      <c r="E26"/>
      <c r="F26"/>
      <c r="G26"/>
      <c r="H26"/>
      <c r="I26"/>
      <c r="J26"/>
      <c r="K26"/>
      <c r="L26"/>
    </row>
    <row r="27" spans="1:12" ht="12" customHeight="1">
      <c r="A27"/>
      <c r="B27"/>
      <c r="C27"/>
      <c r="D27"/>
      <c r="E27"/>
      <c r="F27"/>
      <c r="G27"/>
      <c r="H27"/>
      <c r="I27"/>
      <c r="J27"/>
      <c r="K27"/>
      <c r="L27"/>
    </row>
    <row r="28" spans="1:12" ht="12" customHeight="1">
      <c r="A28"/>
      <c r="B28"/>
      <c r="C28"/>
      <c r="D28"/>
      <c r="E28"/>
      <c r="F28"/>
      <c r="G28"/>
      <c r="H28"/>
      <c r="I28"/>
      <c r="J28"/>
      <c r="K28"/>
      <c r="L28"/>
    </row>
    <row r="29" spans="1:12">
      <c r="A29"/>
      <c r="B29"/>
      <c r="C29"/>
      <c r="D29"/>
      <c r="E29"/>
      <c r="F29"/>
      <c r="G29"/>
      <c r="H29"/>
      <c r="I29"/>
      <c r="J29"/>
      <c r="K29"/>
      <c r="L29"/>
    </row>
    <row r="30" spans="1:12">
      <c r="A30"/>
      <c r="B30"/>
      <c r="C30"/>
      <c r="D30"/>
      <c r="E30"/>
      <c r="F30"/>
      <c r="G30"/>
      <c r="H30"/>
      <c r="I30"/>
      <c r="J30"/>
      <c r="K30"/>
      <c r="L30"/>
    </row>
    <row r="31" spans="1:12">
      <c r="A31"/>
      <c r="B31"/>
      <c r="C31"/>
      <c r="D31"/>
      <c r="E31"/>
      <c r="F31"/>
      <c r="G31"/>
      <c r="H31"/>
      <c r="I31"/>
      <c r="J31"/>
      <c r="K31"/>
      <c r="L31"/>
    </row>
    <row r="32" spans="1:12">
      <c r="A32"/>
      <c r="B32"/>
      <c r="C32"/>
      <c r="D32"/>
      <c r="E32"/>
      <c r="F32"/>
      <c r="G32"/>
      <c r="H32"/>
      <c r="I32"/>
      <c r="J32"/>
      <c r="K32"/>
      <c r="L32"/>
    </row>
    <row r="33" spans="1:12">
      <c r="A33"/>
      <c r="B33"/>
      <c r="C33"/>
      <c r="D33"/>
      <c r="E33"/>
      <c r="F33"/>
      <c r="G33"/>
      <c r="H33"/>
      <c r="I33"/>
      <c r="J33"/>
      <c r="K33"/>
      <c r="L33"/>
    </row>
    <row r="68" spans="16:16">
      <c r="P68"/>
    </row>
    <row r="69" spans="16:16">
      <c r="P69"/>
    </row>
    <row r="70" spans="16:16">
      <c r="P70"/>
    </row>
    <row r="71" spans="16:16">
      <c r="P71"/>
    </row>
    <row r="72" spans="16:16">
      <c r="P72"/>
    </row>
    <row r="73" spans="16:16">
      <c r="P73"/>
    </row>
    <row r="74" spans="16:16">
      <c r="P74"/>
    </row>
    <row r="75" spans="16:16">
      <c r="P75"/>
    </row>
    <row r="76" spans="16:16">
      <c r="P76"/>
    </row>
    <row r="77" spans="16:16">
      <c r="P77"/>
    </row>
    <row r="78" spans="16:16">
      <c r="P78"/>
    </row>
    <row r="79" spans="16:16">
      <c r="P79"/>
    </row>
    <row r="80" spans="16:16">
      <c r="P80"/>
    </row>
    <row r="81" spans="16:16">
      <c r="P81"/>
    </row>
    <row r="82" spans="16:16">
      <c r="P82"/>
    </row>
    <row r="83" spans="16:16">
      <c r="P83"/>
    </row>
    <row r="84" spans="16:16">
      <c r="P84"/>
    </row>
    <row r="85" spans="16:16">
      <c r="P85"/>
    </row>
    <row r="86" spans="16:16">
      <c r="P86"/>
    </row>
    <row r="87" spans="16:16">
      <c r="P87"/>
    </row>
    <row r="88" spans="16:16">
      <c r="P88"/>
    </row>
    <row r="89" spans="16:16">
      <c r="P89"/>
    </row>
    <row r="90" spans="16:16">
      <c r="P90"/>
    </row>
    <row r="91" spans="16:16">
      <c r="P91"/>
    </row>
    <row r="92" spans="16:16">
      <c r="P92"/>
    </row>
    <row r="93" spans="16:16">
      <c r="P93"/>
    </row>
    <row r="94" spans="16:16">
      <c r="P94"/>
    </row>
    <row r="95" spans="16:16">
      <c r="P95"/>
    </row>
    <row r="96" spans="16:16">
      <c r="P96"/>
    </row>
    <row r="97" spans="16:16">
      <c r="P97"/>
    </row>
    <row r="98" spans="16:16">
      <c r="P98"/>
    </row>
    <row r="99" spans="16:16">
      <c r="P99"/>
    </row>
    <row r="100" spans="16:16">
      <c r="P100"/>
    </row>
    <row r="101" spans="16:16">
      <c r="P101"/>
    </row>
    <row r="102" spans="16:16">
      <c r="P102"/>
    </row>
    <row r="103" spans="16:16">
      <c r="P103"/>
    </row>
    <row r="104" spans="16:16">
      <c r="P104"/>
    </row>
    <row r="105" spans="16:16">
      <c r="P105"/>
    </row>
    <row r="106" spans="16:16">
      <c r="P106"/>
    </row>
    <row r="107" spans="16:16">
      <c r="P107"/>
    </row>
    <row r="108" spans="16:16">
      <c r="P108"/>
    </row>
    <row r="109" spans="16:16">
      <c r="P109"/>
    </row>
    <row r="110" spans="16:16">
      <c r="P110"/>
    </row>
    <row r="111" spans="16:16">
      <c r="P111"/>
    </row>
    <row r="112" spans="16:16">
      <c r="P112"/>
    </row>
    <row r="113" spans="16:16">
      <c r="P113"/>
    </row>
    <row r="114" spans="16:16">
      <c r="P114"/>
    </row>
    <row r="115" spans="16:16">
      <c r="P115"/>
    </row>
    <row r="116" spans="16:16">
      <c r="P116"/>
    </row>
    <row r="117" spans="16:16">
      <c r="P117"/>
    </row>
    <row r="118" spans="16:16">
      <c r="P118"/>
    </row>
    <row r="119" spans="16:16">
      <c r="P119"/>
    </row>
    <row r="120" spans="16:16">
      <c r="P120"/>
    </row>
    <row r="121" spans="16:16">
      <c r="P121"/>
    </row>
    <row r="122" spans="16:16">
      <c r="P122"/>
    </row>
    <row r="123" spans="16:16">
      <c r="P123"/>
    </row>
    <row r="124" spans="16:16">
      <c r="P124"/>
    </row>
    <row r="125" spans="16:16">
      <c r="P125"/>
    </row>
    <row r="126" spans="16:16">
      <c r="P126"/>
    </row>
    <row r="127" spans="16:16">
      <c r="P127"/>
    </row>
    <row r="128" spans="16:16">
      <c r="P128"/>
    </row>
    <row r="129" spans="16:16">
      <c r="P129"/>
    </row>
    <row r="130" spans="16:16">
      <c r="P130"/>
    </row>
    <row r="131" spans="16:16">
      <c r="P131"/>
    </row>
    <row r="132" spans="16:16">
      <c r="P132"/>
    </row>
    <row r="133" spans="16:16">
      <c r="P133"/>
    </row>
    <row r="134" spans="16:16">
      <c r="P134"/>
    </row>
    <row r="135" spans="16:16">
      <c r="P135"/>
    </row>
    <row r="136" spans="16:16">
      <c r="P136"/>
    </row>
    <row r="137" spans="16:16">
      <c r="P137"/>
    </row>
    <row r="138" spans="16:16">
      <c r="P138"/>
    </row>
    <row r="139" spans="16:16">
      <c r="P139"/>
    </row>
    <row r="140" spans="16:16">
      <c r="P140"/>
    </row>
    <row r="141" spans="16:16">
      <c r="P141"/>
    </row>
    <row r="142" spans="16:16">
      <c r="P142"/>
    </row>
    <row r="143" spans="16:16">
      <c r="P143"/>
    </row>
    <row r="144" spans="16:16">
      <c r="P144"/>
    </row>
    <row r="145" spans="16:16">
      <c r="P145"/>
    </row>
    <row r="146" spans="16:16">
      <c r="P146"/>
    </row>
    <row r="147" spans="16:16">
      <c r="P147"/>
    </row>
    <row r="148" spans="16:16">
      <c r="P148"/>
    </row>
    <row r="149" spans="16:16">
      <c r="P149"/>
    </row>
    <row r="150" spans="16:16">
      <c r="P150"/>
    </row>
    <row r="151" spans="16:16">
      <c r="P151"/>
    </row>
    <row r="152" spans="16:16">
      <c r="P152"/>
    </row>
    <row r="153" spans="16:16">
      <c r="P153"/>
    </row>
    <row r="154" spans="16:16">
      <c r="P154"/>
    </row>
    <row r="155" spans="16:16">
      <c r="P155"/>
    </row>
    <row r="156" spans="16:16">
      <c r="P156"/>
    </row>
    <row r="157" spans="16:16">
      <c r="P157"/>
    </row>
    <row r="158" spans="16:16">
      <c r="P158"/>
    </row>
    <row r="159" spans="16:16">
      <c r="P159"/>
    </row>
    <row r="160" spans="16:16">
      <c r="P160"/>
    </row>
    <row r="161" spans="16:16">
      <c r="P161"/>
    </row>
    <row r="162" spans="16:16">
      <c r="P162"/>
    </row>
    <row r="163" spans="16:16">
      <c r="P163"/>
    </row>
    <row r="164" spans="16:16">
      <c r="P164"/>
    </row>
    <row r="165" spans="16:16">
      <c r="P165"/>
    </row>
    <row r="166" spans="16:16">
      <c r="P166"/>
    </row>
    <row r="167" spans="16:16">
      <c r="P167"/>
    </row>
    <row r="168" spans="16:16">
      <c r="P168"/>
    </row>
    <row r="169" spans="16:16">
      <c r="P169"/>
    </row>
    <row r="170" spans="16:16">
      <c r="P170"/>
    </row>
    <row r="171" spans="16:16">
      <c r="P171"/>
    </row>
    <row r="172" spans="16:16">
      <c r="P172"/>
    </row>
    <row r="173" spans="16:16">
      <c r="P173"/>
    </row>
    <row r="174" spans="16:16">
      <c r="P174"/>
    </row>
    <row r="175" spans="16:16">
      <c r="P175"/>
    </row>
    <row r="176" spans="16:16">
      <c r="P176"/>
    </row>
    <row r="177" spans="16:16">
      <c r="P177"/>
    </row>
    <row r="178" spans="16:16">
      <c r="P178"/>
    </row>
    <row r="179" spans="16:16">
      <c r="P179"/>
    </row>
    <row r="180" spans="16:16">
      <c r="P180"/>
    </row>
    <row r="181" spans="16:16">
      <c r="P181"/>
    </row>
    <row r="182" spans="16:16">
      <c r="P182"/>
    </row>
    <row r="183" spans="16:16">
      <c r="P183"/>
    </row>
    <row r="184" spans="16:16">
      <c r="P184"/>
    </row>
    <row r="185" spans="16:16">
      <c r="P185"/>
    </row>
    <row r="186" spans="16:16">
      <c r="P186"/>
    </row>
    <row r="187" spans="16:16">
      <c r="P187"/>
    </row>
    <row r="188" spans="16:16">
      <c r="P188"/>
    </row>
    <row r="189" spans="16:16">
      <c r="P189"/>
    </row>
    <row r="190" spans="16:16">
      <c r="P190"/>
    </row>
    <row r="191" spans="16:16">
      <c r="P191"/>
    </row>
    <row r="192" spans="16:16">
      <c r="P192"/>
    </row>
    <row r="193" spans="16:16">
      <c r="P193"/>
    </row>
    <row r="194" spans="16:16">
      <c r="P194"/>
    </row>
    <row r="195" spans="16:16">
      <c r="P195"/>
    </row>
    <row r="196" spans="16:16">
      <c r="P196"/>
    </row>
    <row r="197" spans="16:16">
      <c r="P197"/>
    </row>
    <row r="198" spans="16:16">
      <c r="P198"/>
    </row>
    <row r="199" spans="16:16">
      <c r="P199"/>
    </row>
    <row r="200" spans="16:16">
      <c r="P200"/>
    </row>
    <row r="201" spans="16:16">
      <c r="P201"/>
    </row>
    <row r="202" spans="16:16">
      <c r="P202"/>
    </row>
    <row r="203" spans="16:16">
      <c r="P203"/>
    </row>
    <row r="204" spans="16:16">
      <c r="P204"/>
    </row>
    <row r="205" spans="16:16">
      <c r="P205"/>
    </row>
    <row r="206" spans="16:16">
      <c r="P206"/>
    </row>
    <row r="207" spans="16:16">
      <c r="P207"/>
    </row>
    <row r="208" spans="16:16">
      <c r="P208"/>
    </row>
    <row r="209" spans="16:16">
      <c r="P209"/>
    </row>
    <row r="210" spans="16:16">
      <c r="P210"/>
    </row>
    <row r="211" spans="16:16">
      <c r="P211"/>
    </row>
    <row r="212" spans="16:16">
      <c r="P212"/>
    </row>
    <row r="213" spans="16:16">
      <c r="P213"/>
    </row>
    <row r="214" spans="16:16">
      <c r="P214"/>
    </row>
    <row r="215" spans="16:16">
      <c r="P215"/>
    </row>
    <row r="216" spans="16:16">
      <c r="P216"/>
    </row>
    <row r="217" spans="16:16">
      <c r="P217"/>
    </row>
    <row r="218" spans="16:16">
      <c r="P218"/>
    </row>
    <row r="219" spans="16:16">
      <c r="P219"/>
    </row>
    <row r="220" spans="16:16">
      <c r="P220"/>
    </row>
    <row r="221" spans="16:16">
      <c r="P221"/>
    </row>
    <row r="222" spans="16:16">
      <c r="P222"/>
    </row>
    <row r="223" spans="16:16">
      <c r="P223"/>
    </row>
    <row r="224" spans="16:16">
      <c r="P224"/>
    </row>
    <row r="225" spans="16:16">
      <c r="P225"/>
    </row>
    <row r="226" spans="16:16">
      <c r="P226"/>
    </row>
    <row r="227" spans="16:16">
      <c r="P227"/>
    </row>
    <row r="228" spans="16:16">
      <c r="P228"/>
    </row>
    <row r="229" spans="16:16">
      <c r="P229"/>
    </row>
    <row r="230" spans="16:16">
      <c r="P230"/>
    </row>
    <row r="231" spans="16:16">
      <c r="P231"/>
    </row>
    <row r="232" spans="16:16">
      <c r="P232"/>
    </row>
    <row r="233" spans="16:16">
      <c r="P233"/>
    </row>
    <row r="234" spans="16:16">
      <c r="P234"/>
    </row>
    <row r="235" spans="16:16">
      <c r="P235"/>
    </row>
    <row r="236" spans="16:16">
      <c r="P236"/>
    </row>
    <row r="237" spans="16:16">
      <c r="P237"/>
    </row>
    <row r="238" spans="16:16">
      <c r="P238"/>
    </row>
    <row r="239" spans="16:16">
      <c r="P239"/>
    </row>
    <row r="240" spans="16:16">
      <c r="P240"/>
    </row>
    <row r="241" spans="16:16">
      <c r="P241"/>
    </row>
    <row r="242" spans="16:16">
      <c r="P242"/>
    </row>
    <row r="243" spans="16:16">
      <c r="P243"/>
    </row>
    <row r="244" spans="16:16">
      <c r="P244"/>
    </row>
    <row r="245" spans="16:16">
      <c r="P245"/>
    </row>
    <row r="246" spans="16:16">
      <c r="P246"/>
    </row>
    <row r="247" spans="16:16">
      <c r="P247"/>
    </row>
    <row r="248" spans="16:16">
      <c r="P248"/>
    </row>
    <row r="249" spans="16:16">
      <c r="P249"/>
    </row>
    <row r="250" spans="16:16">
      <c r="P250"/>
    </row>
    <row r="251" spans="16:16">
      <c r="P251"/>
    </row>
    <row r="252" spans="16:16">
      <c r="P252"/>
    </row>
    <row r="253" spans="16:16">
      <c r="P253"/>
    </row>
    <row r="254" spans="16:16">
      <c r="P254"/>
    </row>
    <row r="255" spans="16:16">
      <c r="P255"/>
    </row>
    <row r="256" spans="16:16">
      <c r="P256"/>
    </row>
    <row r="257" spans="16:16">
      <c r="P257"/>
    </row>
    <row r="258" spans="16:16">
      <c r="P258"/>
    </row>
    <row r="259" spans="16:16">
      <c r="P259"/>
    </row>
    <row r="260" spans="16:16">
      <c r="P260"/>
    </row>
    <row r="261" spans="16:16">
      <c r="P261"/>
    </row>
    <row r="262" spans="16:16">
      <c r="P262"/>
    </row>
    <row r="263" spans="16:16">
      <c r="P263"/>
    </row>
    <row r="264" spans="16:16">
      <c r="P264"/>
    </row>
    <row r="265" spans="16:16">
      <c r="P265"/>
    </row>
    <row r="266" spans="16:16">
      <c r="P266"/>
    </row>
    <row r="267" spans="16:16">
      <c r="P267"/>
    </row>
    <row r="268" spans="16:16">
      <c r="P268"/>
    </row>
    <row r="269" spans="16:16">
      <c r="P269"/>
    </row>
    <row r="270" spans="16:16">
      <c r="P270"/>
    </row>
    <row r="271" spans="16:16">
      <c r="P271"/>
    </row>
    <row r="272" spans="16:16">
      <c r="P272"/>
    </row>
    <row r="273" spans="16:16">
      <c r="P273"/>
    </row>
    <row r="274" spans="16:16">
      <c r="P274"/>
    </row>
    <row r="275" spans="16:16">
      <c r="P275"/>
    </row>
    <row r="276" spans="16:16">
      <c r="P276"/>
    </row>
    <row r="277" spans="16:16">
      <c r="P277"/>
    </row>
    <row r="278" spans="16:16">
      <c r="P278"/>
    </row>
    <row r="279" spans="16:16">
      <c r="P279"/>
    </row>
    <row r="280" spans="16:16">
      <c r="P280"/>
    </row>
    <row r="281" spans="16:16">
      <c r="P281"/>
    </row>
    <row r="282" spans="16:16">
      <c r="P282"/>
    </row>
    <row r="283" spans="16:16">
      <c r="P283"/>
    </row>
    <row r="284" spans="16:16">
      <c r="P284"/>
    </row>
    <row r="285" spans="16:16">
      <c r="P285"/>
    </row>
    <row r="286" spans="16:16">
      <c r="P286"/>
    </row>
    <row r="287" spans="16:16">
      <c r="P287"/>
    </row>
    <row r="288" spans="16:16">
      <c r="P288"/>
    </row>
    <row r="289" spans="16:16">
      <c r="P289"/>
    </row>
    <row r="290" spans="16:16">
      <c r="P290"/>
    </row>
    <row r="291" spans="16:16">
      <c r="P291"/>
    </row>
    <row r="292" spans="16:16">
      <c r="P292"/>
    </row>
    <row r="293" spans="16:16">
      <c r="P293"/>
    </row>
    <row r="294" spans="16:16">
      <c r="P294"/>
    </row>
    <row r="295" spans="16:16">
      <c r="P295"/>
    </row>
    <row r="296" spans="16:16">
      <c r="P296"/>
    </row>
    <row r="297" spans="16:16">
      <c r="P297"/>
    </row>
    <row r="298" spans="16:16">
      <c r="P298"/>
    </row>
    <row r="299" spans="16:16">
      <c r="P299"/>
    </row>
    <row r="300" spans="16:16">
      <c r="P300"/>
    </row>
    <row r="301" spans="16:16">
      <c r="P301"/>
    </row>
    <row r="302" spans="16:16">
      <c r="P302"/>
    </row>
    <row r="303" spans="16:16">
      <c r="P303"/>
    </row>
    <row r="304" spans="16:16">
      <c r="P304"/>
    </row>
    <row r="305" spans="16:16">
      <c r="P305"/>
    </row>
    <row r="306" spans="16:16">
      <c r="P306"/>
    </row>
    <row r="307" spans="16:16">
      <c r="P307"/>
    </row>
    <row r="308" spans="16:16">
      <c r="P308"/>
    </row>
    <row r="309" spans="16:16">
      <c r="P309"/>
    </row>
    <row r="310" spans="16:16">
      <c r="P310"/>
    </row>
    <row r="311" spans="16:16">
      <c r="P311"/>
    </row>
    <row r="312" spans="16:16">
      <c r="P312"/>
    </row>
    <row r="313" spans="16:16">
      <c r="P313"/>
    </row>
    <row r="314" spans="16:16">
      <c r="P314"/>
    </row>
    <row r="315" spans="16:16">
      <c r="P315"/>
    </row>
    <row r="316" spans="16:16">
      <c r="P316"/>
    </row>
    <row r="317" spans="16:16">
      <c r="P317"/>
    </row>
    <row r="318" spans="16:16">
      <c r="P318"/>
    </row>
    <row r="319" spans="16:16">
      <c r="P319"/>
    </row>
    <row r="320" spans="16:16">
      <c r="P320"/>
    </row>
    <row r="321" spans="16:16">
      <c r="P321"/>
    </row>
    <row r="322" spans="16:16">
      <c r="P322"/>
    </row>
    <row r="323" spans="16:16">
      <c r="P323"/>
    </row>
    <row r="324" spans="16:16">
      <c r="P324"/>
    </row>
    <row r="325" spans="16:16">
      <c r="P325"/>
    </row>
    <row r="326" spans="16:16">
      <c r="P326"/>
    </row>
    <row r="327" spans="16:16">
      <c r="P327"/>
    </row>
    <row r="328" spans="16:16">
      <c r="P328"/>
    </row>
    <row r="329" spans="16:16">
      <c r="P329"/>
    </row>
    <row r="330" spans="16:16">
      <c r="P330"/>
    </row>
    <row r="331" spans="16:16">
      <c r="P331"/>
    </row>
    <row r="332" spans="16:16">
      <c r="P332"/>
    </row>
    <row r="333" spans="16:16">
      <c r="P333"/>
    </row>
    <row r="334" spans="16:16">
      <c r="P334"/>
    </row>
    <row r="335" spans="16:16">
      <c r="P335"/>
    </row>
    <row r="336" spans="16:16">
      <c r="P336"/>
    </row>
    <row r="337" spans="16:16">
      <c r="P337"/>
    </row>
    <row r="338" spans="16:16">
      <c r="P338"/>
    </row>
    <row r="339" spans="16:16">
      <c r="P339"/>
    </row>
    <row r="340" spans="16:16">
      <c r="P340"/>
    </row>
    <row r="341" spans="16:16">
      <c r="P341"/>
    </row>
    <row r="342" spans="16:16">
      <c r="P342"/>
    </row>
    <row r="343" spans="16:16">
      <c r="P343"/>
    </row>
    <row r="344" spans="16:16">
      <c r="P344"/>
    </row>
    <row r="345" spans="16:16">
      <c r="P345"/>
    </row>
    <row r="346" spans="16:16">
      <c r="P346"/>
    </row>
    <row r="347" spans="16:16">
      <c r="P347"/>
    </row>
    <row r="348" spans="16:16">
      <c r="P348"/>
    </row>
    <row r="349" spans="16:16">
      <c r="P349"/>
    </row>
    <row r="350" spans="16:16">
      <c r="P350"/>
    </row>
    <row r="351" spans="16:16">
      <c r="P351"/>
    </row>
    <row r="352" spans="16:16">
      <c r="P352"/>
    </row>
    <row r="353" spans="16:16">
      <c r="P353"/>
    </row>
    <row r="354" spans="16:16">
      <c r="P354"/>
    </row>
    <row r="355" spans="16:16">
      <c r="P355"/>
    </row>
    <row r="356" spans="16:16">
      <c r="P356"/>
    </row>
    <row r="357" spans="16:16">
      <c r="P357"/>
    </row>
    <row r="358" spans="16:16">
      <c r="P358"/>
    </row>
    <row r="359" spans="16:16">
      <c r="P359"/>
    </row>
    <row r="360" spans="16:16">
      <c r="P360"/>
    </row>
    <row r="361" spans="16:16">
      <c r="P361"/>
    </row>
    <row r="362" spans="16:16">
      <c r="P362"/>
    </row>
    <row r="363" spans="16:16">
      <c r="P363"/>
    </row>
    <row r="364" spans="16:16">
      <c r="P364"/>
    </row>
    <row r="365" spans="16:16">
      <c r="P365"/>
    </row>
    <row r="366" spans="16:16">
      <c r="P366"/>
    </row>
    <row r="367" spans="16:16">
      <c r="P367"/>
    </row>
    <row r="368" spans="16:16">
      <c r="P368"/>
    </row>
    <row r="369" spans="16:16">
      <c r="P369"/>
    </row>
    <row r="370" spans="16:16">
      <c r="P370"/>
    </row>
    <row r="371" spans="16:16">
      <c r="P371"/>
    </row>
    <row r="372" spans="16:16">
      <c r="P372"/>
    </row>
    <row r="373" spans="16:16">
      <c r="P373"/>
    </row>
    <row r="374" spans="16:16">
      <c r="P374"/>
    </row>
    <row r="375" spans="16:16">
      <c r="P375"/>
    </row>
    <row r="376" spans="16:16">
      <c r="P376"/>
    </row>
    <row r="377" spans="16:16">
      <c r="P377"/>
    </row>
    <row r="378" spans="16:16">
      <c r="P378"/>
    </row>
    <row r="379" spans="16:16">
      <c r="P379"/>
    </row>
    <row r="380" spans="16:16">
      <c r="P380"/>
    </row>
    <row r="381" spans="16:16">
      <c r="P381"/>
    </row>
    <row r="382" spans="16:16">
      <c r="P382"/>
    </row>
    <row r="383" spans="16:16">
      <c r="P383"/>
    </row>
    <row r="384" spans="16:16">
      <c r="P384"/>
    </row>
    <row r="385" spans="16:16">
      <c r="P385"/>
    </row>
    <row r="386" spans="16:16">
      <c r="P386"/>
    </row>
    <row r="387" spans="16:16">
      <c r="P387"/>
    </row>
    <row r="388" spans="16:16">
      <c r="P388"/>
    </row>
    <row r="389" spans="16:16">
      <c r="P389"/>
    </row>
    <row r="390" spans="16:16">
      <c r="P390"/>
    </row>
    <row r="391" spans="16:16">
      <c r="P391"/>
    </row>
    <row r="392" spans="16:16">
      <c r="P392"/>
    </row>
    <row r="393" spans="16:16">
      <c r="P393"/>
    </row>
    <row r="394" spans="16:16">
      <c r="P394"/>
    </row>
    <row r="395" spans="16:16">
      <c r="P395"/>
    </row>
    <row r="396" spans="16:16">
      <c r="P396"/>
    </row>
    <row r="397" spans="16:16">
      <c r="P397"/>
    </row>
    <row r="398" spans="16:16">
      <c r="P398"/>
    </row>
    <row r="399" spans="16:16">
      <c r="P399"/>
    </row>
    <row r="400" spans="16:16">
      <c r="P400"/>
    </row>
    <row r="401" spans="16:16">
      <c r="P401"/>
    </row>
    <row r="402" spans="16:16">
      <c r="P402"/>
    </row>
    <row r="403" spans="16:16">
      <c r="P403"/>
    </row>
    <row r="404" spans="16:16">
      <c r="P404"/>
    </row>
    <row r="405" spans="16:16">
      <c r="P405"/>
    </row>
    <row r="406" spans="16:16">
      <c r="P406"/>
    </row>
    <row r="407" spans="16:16">
      <c r="P407"/>
    </row>
    <row r="408" spans="16:16">
      <c r="P408"/>
    </row>
    <row r="409" spans="16:16">
      <c r="P409"/>
    </row>
    <row r="410" spans="16:16">
      <c r="P410"/>
    </row>
    <row r="411" spans="16:16">
      <c r="P411"/>
    </row>
    <row r="412" spans="16:16">
      <c r="P412"/>
    </row>
    <row r="413" spans="16:16">
      <c r="P413"/>
    </row>
    <row r="414" spans="16:16">
      <c r="P414"/>
    </row>
    <row r="415" spans="16:16">
      <c r="P415"/>
    </row>
    <row r="416" spans="16:16">
      <c r="P416"/>
    </row>
    <row r="417" spans="16:16">
      <c r="P417"/>
    </row>
    <row r="418" spans="16:16">
      <c r="P418"/>
    </row>
    <row r="419" spans="16:16">
      <c r="P419"/>
    </row>
    <row r="420" spans="16:16">
      <c r="P420"/>
    </row>
    <row r="421" spans="16:16">
      <c r="P421"/>
    </row>
    <row r="422" spans="16:16">
      <c r="P422"/>
    </row>
    <row r="423" spans="16:16">
      <c r="P423"/>
    </row>
    <row r="424" spans="16:16">
      <c r="P424"/>
    </row>
    <row r="425" spans="16:16">
      <c r="P425"/>
    </row>
    <row r="426" spans="16:16">
      <c r="P426"/>
    </row>
    <row r="427" spans="16:16">
      <c r="P427"/>
    </row>
    <row r="428" spans="16:16">
      <c r="P428"/>
    </row>
    <row r="429" spans="16:16">
      <c r="P429"/>
    </row>
    <row r="430" spans="16:16">
      <c r="P430"/>
    </row>
    <row r="431" spans="16:16">
      <c r="P431"/>
    </row>
    <row r="432" spans="16:16">
      <c r="P432"/>
    </row>
    <row r="433" spans="16:16">
      <c r="P433"/>
    </row>
    <row r="434" spans="16:16">
      <c r="P434"/>
    </row>
    <row r="435" spans="16:16">
      <c r="P435"/>
    </row>
    <row r="436" spans="16:16">
      <c r="P436"/>
    </row>
    <row r="437" spans="16:16">
      <c r="P437"/>
    </row>
    <row r="438" spans="16:16">
      <c r="P438"/>
    </row>
    <row r="439" spans="16:16">
      <c r="P439"/>
    </row>
    <row r="440" spans="16:16">
      <c r="P440"/>
    </row>
    <row r="441" spans="16:16">
      <c r="P441"/>
    </row>
    <row r="442" spans="16:16">
      <c r="P442"/>
    </row>
    <row r="443" spans="16:16">
      <c r="P443"/>
    </row>
    <row r="444" spans="16:16">
      <c r="P444"/>
    </row>
    <row r="445" spans="16:16">
      <c r="P445"/>
    </row>
    <row r="446" spans="16:16">
      <c r="P446"/>
    </row>
    <row r="447" spans="16:16">
      <c r="P447"/>
    </row>
    <row r="448" spans="16:16">
      <c r="P448"/>
    </row>
    <row r="449" spans="16:16">
      <c r="P449"/>
    </row>
    <row r="450" spans="16:16">
      <c r="P450"/>
    </row>
    <row r="451" spans="16:16">
      <c r="P451"/>
    </row>
    <row r="452" spans="16:16">
      <c r="P452"/>
    </row>
    <row r="453" spans="16:16">
      <c r="P453"/>
    </row>
    <row r="454" spans="16:16">
      <c r="P454"/>
    </row>
    <row r="455" spans="16:16">
      <c r="P455"/>
    </row>
    <row r="456" spans="16:16">
      <c r="P456"/>
    </row>
    <row r="457" spans="16:16">
      <c r="P457"/>
    </row>
    <row r="458" spans="16:16">
      <c r="P458"/>
    </row>
    <row r="459" spans="16:16">
      <c r="P459"/>
    </row>
    <row r="460" spans="16:16">
      <c r="P460"/>
    </row>
    <row r="461" spans="16:16">
      <c r="P461"/>
    </row>
    <row r="462" spans="16:16">
      <c r="P462"/>
    </row>
    <row r="463" spans="16:16">
      <c r="P463"/>
    </row>
    <row r="464" spans="16:16">
      <c r="P464"/>
    </row>
    <row r="465" spans="16:16">
      <c r="P465"/>
    </row>
    <row r="466" spans="16:16">
      <c r="P466"/>
    </row>
    <row r="467" spans="16:16">
      <c r="P467"/>
    </row>
    <row r="468" spans="16:16">
      <c r="P468"/>
    </row>
    <row r="469" spans="16:16">
      <c r="P469"/>
    </row>
    <row r="470" spans="16:16">
      <c r="P470"/>
    </row>
    <row r="471" spans="16:16">
      <c r="P471"/>
    </row>
    <row r="472" spans="16:16">
      <c r="P472"/>
    </row>
    <row r="473" spans="16:16">
      <c r="P473"/>
    </row>
    <row r="474" spans="16:16">
      <c r="P474"/>
    </row>
    <row r="475" spans="16:16">
      <c r="P475"/>
    </row>
    <row r="476" spans="16:16">
      <c r="P476"/>
    </row>
    <row r="477" spans="16:16">
      <c r="P477"/>
    </row>
    <row r="478" spans="16:16">
      <c r="P478"/>
    </row>
    <row r="479" spans="16:16">
      <c r="P479"/>
    </row>
    <row r="480" spans="16:16">
      <c r="P480"/>
    </row>
    <row r="481" spans="16:16">
      <c r="P481"/>
    </row>
    <row r="482" spans="16:16">
      <c r="P482"/>
    </row>
    <row r="483" spans="16:16">
      <c r="P483"/>
    </row>
    <row r="484" spans="16:16">
      <c r="P484"/>
    </row>
    <row r="485" spans="16:16">
      <c r="P485"/>
    </row>
    <row r="486" spans="16:16">
      <c r="P486"/>
    </row>
    <row r="487" spans="16:16">
      <c r="P487"/>
    </row>
    <row r="488" spans="16:16">
      <c r="P488"/>
    </row>
    <row r="489" spans="16:16">
      <c r="P489"/>
    </row>
    <row r="490" spans="16:16">
      <c r="P490"/>
    </row>
    <row r="491" spans="16:16">
      <c r="P491"/>
    </row>
    <row r="492" spans="16:16">
      <c r="P492"/>
    </row>
    <row r="493" spans="16:16">
      <c r="P493"/>
    </row>
    <row r="494" spans="16:16">
      <c r="P494"/>
    </row>
    <row r="495" spans="16:16">
      <c r="P495"/>
    </row>
    <row r="496" spans="16:16">
      <c r="P496"/>
    </row>
    <row r="497" spans="16:16">
      <c r="P497"/>
    </row>
    <row r="498" spans="16:16">
      <c r="P498"/>
    </row>
    <row r="499" spans="16:16">
      <c r="P499"/>
    </row>
    <row r="500" spans="16:16">
      <c r="P500"/>
    </row>
    <row r="501" spans="16:16">
      <c r="P501"/>
    </row>
    <row r="502" spans="16:16">
      <c r="P502"/>
    </row>
    <row r="503" spans="16:16">
      <c r="P503"/>
    </row>
    <row r="504" spans="16:16">
      <c r="P504"/>
    </row>
    <row r="505" spans="16:16">
      <c r="P505"/>
    </row>
    <row r="506" spans="16:16">
      <c r="P506"/>
    </row>
    <row r="507" spans="16:16">
      <c r="P507"/>
    </row>
    <row r="508" spans="16:16">
      <c r="P508"/>
    </row>
    <row r="509" spans="16:16">
      <c r="P509"/>
    </row>
    <row r="510" spans="16:16">
      <c r="P510"/>
    </row>
    <row r="511" spans="16:16">
      <c r="P511"/>
    </row>
    <row r="512" spans="16:16">
      <c r="P512"/>
    </row>
    <row r="513" spans="16:16">
      <c r="P513"/>
    </row>
    <row r="514" spans="16:16">
      <c r="P514"/>
    </row>
    <row r="515" spans="16:16">
      <c r="P515"/>
    </row>
    <row r="516" spans="16:16">
      <c r="P516"/>
    </row>
    <row r="517" spans="16:16">
      <c r="P517"/>
    </row>
    <row r="518" spans="16:16">
      <c r="P518"/>
    </row>
    <row r="519" spans="16:16">
      <c r="P519"/>
    </row>
    <row r="520" spans="16:16">
      <c r="P520"/>
    </row>
    <row r="521" spans="16:16">
      <c r="P521"/>
    </row>
    <row r="522" spans="16:16">
      <c r="P522"/>
    </row>
    <row r="523" spans="16:16">
      <c r="P523"/>
    </row>
    <row r="524" spans="16:16">
      <c r="P524"/>
    </row>
    <row r="525" spans="16:16">
      <c r="P525"/>
    </row>
    <row r="526" spans="16:16">
      <c r="P526"/>
    </row>
    <row r="527" spans="16:16">
      <c r="P527"/>
    </row>
    <row r="528" spans="16:16">
      <c r="P528"/>
    </row>
    <row r="529" spans="16:16">
      <c r="P529"/>
    </row>
    <row r="530" spans="16:16">
      <c r="P530"/>
    </row>
    <row r="531" spans="16:16">
      <c r="P531"/>
    </row>
    <row r="532" spans="16:16">
      <c r="P532"/>
    </row>
    <row r="533" spans="16:16">
      <c r="P533"/>
    </row>
    <row r="534" spans="16:16">
      <c r="P534"/>
    </row>
    <row r="535" spans="16:16">
      <c r="P535"/>
    </row>
    <row r="536" spans="16:16">
      <c r="P536"/>
    </row>
    <row r="537" spans="16:16">
      <c r="P537"/>
    </row>
    <row r="538" spans="16:16">
      <c r="P538"/>
    </row>
    <row r="539" spans="16:16">
      <c r="P539"/>
    </row>
    <row r="540" spans="16:16">
      <c r="P540"/>
    </row>
    <row r="541" spans="16:16">
      <c r="P541"/>
    </row>
    <row r="542" spans="16:16">
      <c r="P542"/>
    </row>
    <row r="543" spans="16:16">
      <c r="P543"/>
    </row>
    <row r="544" spans="16:16">
      <c r="P544"/>
    </row>
    <row r="545" spans="16:16">
      <c r="P545"/>
    </row>
    <row r="546" spans="16:16">
      <c r="P546"/>
    </row>
    <row r="547" spans="16:16">
      <c r="P547"/>
    </row>
    <row r="548" spans="16:16">
      <c r="P548"/>
    </row>
    <row r="549" spans="16:16">
      <c r="P549"/>
    </row>
    <row r="550" spans="16:16">
      <c r="P550"/>
    </row>
    <row r="551" spans="16:16">
      <c r="P551"/>
    </row>
    <row r="552" spans="16:16">
      <c r="P552"/>
    </row>
    <row r="553" spans="16:16">
      <c r="P553"/>
    </row>
    <row r="554" spans="16:16">
      <c r="P554"/>
    </row>
    <row r="555" spans="16:16">
      <c r="P555"/>
    </row>
    <row r="556" spans="16:16">
      <c r="P556"/>
    </row>
    <row r="557" spans="16:16">
      <c r="P557"/>
    </row>
    <row r="558" spans="16:16">
      <c r="P558"/>
    </row>
    <row r="559" spans="16:16">
      <c r="P559"/>
    </row>
    <row r="560" spans="16:16">
      <c r="P560"/>
    </row>
    <row r="561" spans="16:16">
      <c r="P561"/>
    </row>
    <row r="562" spans="16:16">
      <c r="P562"/>
    </row>
    <row r="563" spans="16:16">
      <c r="P563"/>
    </row>
    <row r="564" spans="16:16">
      <c r="P564"/>
    </row>
    <row r="565" spans="16:16">
      <c r="P565"/>
    </row>
    <row r="566" spans="16:16">
      <c r="P566"/>
    </row>
    <row r="567" spans="16:16">
      <c r="P567"/>
    </row>
    <row r="568" spans="16:16">
      <c r="P568"/>
    </row>
    <row r="569" spans="16:16">
      <c r="P569"/>
    </row>
    <row r="570" spans="16:16">
      <c r="P570"/>
    </row>
    <row r="571" spans="16:16">
      <c r="P571"/>
    </row>
    <row r="572" spans="16:16">
      <c r="P572"/>
    </row>
    <row r="573" spans="16:16">
      <c r="P573"/>
    </row>
    <row r="574" spans="16:16">
      <c r="P574"/>
    </row>
    <row r="575" spans="16:16">
      <c r="P575"/>
    </row>
    <row r="576" spans="16:16">
      <c r="P576"/>
    </row>
    <row r="577" spans="16:16">
      <c r="P577"/>
    </row>
    <row r="578" spans="16:16">
      <c r="P578"/>
    </row>
    <row r="579" spans="16:16">
      <c r="P579"/>
    </row>
    <row r="580" spans="16:16">
      <c r="P580"/>
    </row>
    <row r="581" spans="16:16">
      <c r="P581"/>
    </row>
    <row r="582" spans="16:16">
      <c r="P582"/>
    </row>
    <row r="583" spans="16:16">
      <c r="P583"/>
    </row>
    <row r="584" spans="16:16">
      <c r="P584"/>
    </row>
    <row r="585" spans="16:16">
      <c r="P585"/>
    </row>
    <row r="586" spans="16:16">
      <c r="P586"/>
    </row>
    <row r="587" spans="16:16">
      <c r="P587"/>
    </row>
    <row r="588" spans="16:16">
      <c r="P588"/>
    </row>
    <row r="589" spans="16:16">
      <c r="P589"/>
    </row>
    <row r="590" spans="16:16">
      <c r="P590"/>
    </row>
    <row r="591" spans="16:16">
      <c r="P591"/>
    </row>
    <row r="592" spans="16:16">
      <c r="P592"/>
    </row>
    <row r="593" spans="16:16">
      <c r="P593"/>
    </row>
    <row r="594" spans="16:16">
      <c r="P594"/>
    </row>
    <row r="595" spans="16:16">
      <c r="P595"/>
    </row>
    <row r="596" spans="16:16">
      <c r="P596"/>
    </row>
    <row r="597" spans="16:16">
      <c r="P597"/>
    </row>
    <row r="598" spans="16:16">
      <c r="P598"/>
    </row>
    <row r="599" spans="16:16">
      <c r="P599"/>
    </row>
    <row r="600" spans="16:16">
      <c r="P600"/>
    </row>
    <row r="601" spans="16:16">
      <c r="P601"/>
    </row>
    <row r="602" spans="16:16">
      <c r="P602"/>
    </row>
    <row r="603" spans="16:16">
      <c r="P603"/>
    </row>
    <row r="604" spans="16:16">
      <c r="P604"/>
    </row>
    <row r="605" spans="16:16">
      <c r="P605"/>
    </row>
    <row r="606" spans="16:16">
      <c r="P606"/>
    </row>
    <row r="607" spans="16:16">
      <c r="P607"/>
    </row>
    <row r="608" spans="16:16">
      <c r="P608"/>
    </row>
    <row r="609" spans="16:16">
      <c r="P609"/>
    </row>
    <row r="610" spans="16:16">
      <c r="P610"/>
    </row>
    <row r="611" spans="16:16">
      <c r="P611"/>
    </row>
    <row r="612" spans="16:16">
      <c r="P612"/>
    </row>
    <row r="613" spans="16:16">
      <c r="P613"/>
    </row>
    <row r="614" spans="16:16">
      <c r="P614"/>
    </row>
    <row r="615" spans="16:16">
      <c r="P615"/>
    </row>
    <row r="616" spans="16:16">
      <c r="P616"/>
    </row>
    <row r="617" spans="16:16">
      <c r="P617"/>
    </row>
    <row r="618" spans="16:16">
      <c r="P618"/>
    </row>
    <row r="619" spans="16:16">
      <c r="P619"/>
    </row>
    <row r="620" spans="16:16">
      <c r="P620"/>
    </row>
    <row r="621" spans="16:16">
      <c r="P621"/>
    </row>
    <row r="622" spans="16:16">
      <c r="P622"/>
    </row>
    <row r="623" spans="16:16">
      <c r="P623"/>
    </row>
    <row r="624" spans="16:16">
      <c r="P624"/>
    </row>
    <row r="625" spans="16:16">
      <c r="P625"/>
    </row>
    <row r="626" spans="16:16">
      <c r="P626"/>
    </row>
    <row r="627" spans="16:16">
      <c r="P627"/>
    </row>
    <row r="628" spans="16:16">
      <c r="P628"/>
    </row>
    <row r="629" spans="16:16">
      <c r="P629"/>
    </row>
    <row r="630" spans="16:16">
      <c r="P630"/>
    </row>
    <row r="631" spans="16:16">
      <c r="P631"/>
    </row>
    <row r="632" spans="16:16">
      <c r="P632"/>
    </row>
    <row r="633" spans="16:16">
      <c r="P633"/>
    </row>
    <row r="634" spans="16:16">
      <c r="P634"/>
    </row>
    <row r="635" spans="16:16">
      <c r="P635"/>
    </row>
    <row r="636" spans="16:16">
      <c r="P636"/>
    </row>
    <row r="637" spans="16:16">
      <c r="P637"/>
    </row>
    <row r="638" spans="16:16">
      <c r="P638"/>
    </row>
    <row r="639" spans="16:16">
      <c r="P639"/>
    </row>
    <row r="640" spans="16:16">
      <c r="P640"/>
    </row>
    <row r="641" spans="16:16">
      <c r="P641"/>
    </row>
    <row r="642" spans="16:16">
      <c r="P642"/>
    </row>
    <row r="643" spans="16:16">
      <c r="P643"/>
    </row>
    <row r="644" spans="16:16">
      <c r="P644"/>
    </row>
    <row r="645" spans="16:16">
      <c r="P645"/>
    </row>
    <row r="646" spans="16:16">
      <c r="P646"/>
    </row>
    <row r="647" spans="16:16">
      <c r="P647"/>
    </row>
    <row r="648" spans="16:16">
      <c r="P648"/>
    </row>
    <row r="649" spans="16:16">
      <c r="P649"/>
    </row>
    <row r="650" spans="16:16">
      <c r="P650"/>
    </row>
    <row r="651" spans="16:16">
      <c r="P651"/>
    </row>
    <row r="652" spans="16:16">
      <c r="P652"/>
    </row>
    <row r="653" spans="16:16">
      <c r="P653"/>
    </row>
    <row r="654" spans="16:16">
      <c r="P654"/>
    </row>
    <row r="655" spans="16:16">
      <c r="P655"/>
    </row>
    <row r="656" spans="16:16">
      <c r="P656"/>
    </row>
    <row r="657" spans="16:16">
      <c r="P657"/>
    </row>
    <row r="658" spans="16:16">
      <c r="P658"/>
    </row>
    <row r="659" spans="16:16">
      <c r="P659"/>
    </row>
    <row r="660" spans="16:16">
      <c r="P660"/>
    </row>
    <row r="661" spans="16:16">
      <c r="P661"/>
    </row>
    <row r="662" spans="16:16">
      <c r="P662"/>
    </row>
    <row r="663" spans="16:16">
      <c r="P663"/>
    </row>
    <row r="664" spans="16:16">
      <c r="P664"/>
    </row>
    <row r="665" spans="16:16">
      <c r="P665"/>
    </row>
    <row r="666" spans="16:16">
      <c r="P666"/>
    </row>
    <row r="667" spans="16:16">
      <c r="P667"/>
    </row>
    <row r="668" spans="16:16">
      <c r="P668"/>
    </row>
    <row r="669" spans="16:16">
      <c r="P669"/>
    </row>
    <row r="670" spans="16:16">
      <c r="P670"/>
    </row>
    <row r="671" spans="16:16">
      <c r="P671"/>
    </row>
    <row r="672" spans="16:16">
      <c r="P672"/>
    </row>
    <row r="673" spans="16:16">
      <c r="P673"/>
    </row>
    <row r="674" spans="16:16">
      <c r="P674"/>
    </row>
    <row r="675" spans="16:16">
      <c r="P675"/>
    </row>
    <row r="676" spans="16:16">
      <c r="P676"/>
    </row>
    <row r="677" spans="16:16">
      <c r="P677"/>
    </row>
    <row r="678" spans="16:16">
      <c r="P678"/>
    </row>
    <row r="679" spans="16:16">
      <c r="P679"/>
    </row>
    <row r="680" spans="16:16">
      <c r="P680"/>
    </row>
    <row r="681" spans="16:16">
      <c r="P681"/>
    </row>
    <row r="682" spans="16:16">
      <c r="P682"/>
    </row>
    <row r="683" spans="16:16">
      <c r="P683"/>
    </row>
    <row r="684" spans="16:16">
      <c r="P684"/>
    </row>
    <row r="685" spans="16:16">
      <c r="P685"/>
    </row>
    <row r="686" spans="16:16">
      <c r="P686"/>
    </row>
    <row r="687" spans="16:16">
      <c r="P687"/>
    </row>
    <row r="688" spans="16:16">
      <c r="P688"/>
    </row>
    <row r="689" spans="16:16">
      <c r="P689"/>
    </row>
    <row r="690" spans="16:16">
      <c r="P690"/>
    </row>
    <row r="691" spans="16:16">
      <c r="P691"/>
    </row>
    <row r="692" spans="16:16">
      <c r="P692"/>
    </row>
    <row r="693" spans="16:16">
      <c r="P693"/>
    </row>
    <row r="694" spans="16:16">
      <c r="P694"/>
    </row>
    <row r="695" spans="16:16">
      <c r="P695"/>
    </row>
    <row r="696" spans="16:16">
      <c r="P696"/>
    </row>
    <row r="697" spans="16:16">
      <c r="P697"/>
    </row>
    <row r="698" spans="16:16">
      <c r="P698"/>
    </row>
    <row r="699" spans="16:16">
      <c r="P699"/>
    </row>
    <row r="700" spans="16:16">
      <c r="P700"/>
    </row>
    <row r="701" spans="16:16">
      <c r="P701"/>
    </row>
    <row r="702" spans="16:16">
      <c r="P702"/>
    </row>
    <row r="703" spans="16:16">
      <c r="P703"/>
    </row>
    <row r="704" spans="16:16">
      <c r="P704"/>
    </row>
    <row r="705" spans="16:16">
      <c r="P705"/>
    </row>
    <row r="706" spans="16:16">
      <c r="P706"/>
    </row>
    <row r="707" spans="16:16">
      <c r="P707"/>
    </row>
    <row r="708" spans="16:16">
      <c r="P708"/>
    </row>
    <row r="709" spans="16:16">
      <c r="P709"/>
    </row>
    <row r="710" spans="16:16">
      <c r="P710"/>
    </row>
    <row r="711" spans="16:16">
      <c r="P711"/>
    </row>
    <row r="712" spans="16:16">
      <c r="P712"/>
    </row>
    <row r="713" spans="16:16">
      <c r="P713"/>
    </row>
    <row r="714" spans="16:16">
      <c r="P714"/>
    </row>
    <row r="715" spans="16:16">
      <c r="P715"/>
    </row>
    <row r="716" spans="16:16">
      <c r="P716"/>
    </row>
    <row r="717" spans="16:16">
      <c r="P717"/>
    </row>
    <row r="718" spans="16:16">
      <c r="P718"/>
    </row>
    <row r="719" spans="16:16">
      <c r="P719"/>
    </row>
    <row r="720" spans="16:16">
      <c r="P720"/>
    </row>
    <row r="721" spans="16:16">
      <c r="P721"/>
    </row>
    <row r="722" spans="16:16">
      <c r="P722"/>
    </row>
    <row r="723" spans="16:16">
      <c r="P723"/>
    </row>
    <row r="724" spans="16:16">
      <c r="P724"/>
    </row>
    <row r="725" spans="16:16">
      <c r="P725"/>
    </row>
    <row r="726" spans="16:16">
      <c r="P726"/>
    </row>
    <row r="727" spans="16:16">
      <c r="P727"/>
    </row>
    <row r="728" spans="16:16">
      <c r="P728"/>
    </row>
    <row r="729" spans="16:16">
      <c r="P729"/>
    </row>
    <row r="730" spans="16:16">
      <c r="P730"/>
    </row>
    <row r="731" spans="16:16">
      <c r="P731"/>
    </row>
    <row r="732" spans="16:16">
      <c r="P732"/>
    </row>
    <row r="733" spans="16:16">
      <c r="P733"/>
    </row>
    <row r="734" spans="16:16">
      <c r="P734"/>
    </row>
    <row r="735" spans="16:16">
      <c r="P735"/>
    </row>
    <row r="736" spans="16:16">
      <c r="P736"/>
    </row>
    <row r="737" spans="16:16">
      <c r="P737"/>
    </row>
    <row r="738" spans="16:16">
      <c r="P738"/>
    </row>
    <row r="739" spans="16:16">
      <c r="P739"/>
    </row>
    <row r="740" spans="16:16">
      <c r="P740"/>
    </row>
    <row r="741" spans="16:16">
      <c r="P741"/>
    </row>
    <row r="742" spans="16:16">
      <c r="P742"/>
    </row>
    <row r="743" spans="16:16">
      <c r="P743"/>
    </row>
    <row r="744" spans="16:16">
      <c r="P744"/>
    </row>
    <row r="745" spans="16:16">
      <c r="P745"/>
    </row>
    <row r="746" spans="16:16">
      <c r="P746"/>
    </row>
    <row r="747" spans="16:16">
      <c r="P747"/>
    </row>
    <row r="748" spans="16:16">
      <c r="P748"/>
    </row>
    <row r="749" spans="16:16">
      <c r="P749"/>
    </row>
    <row r="750" spans="16:16">
      <c r="P750"/>
    </row>
    <row r="751" spans="16:16">
      <c r="P751"/>
    </row>
    <row r="752" spans="16:16">
      <c r="P752"/>
    </row>
    <row r="753" spans="16:16">
      <c r="P753"/>
    </row>
    <row r="754" spans="16:16">
      <c r="P754"/>
    </row>
    <row r="755" spans="16:16">
      <c r="P755"/>
    </row>
    <row r="756" spans="16:16">
      <c r="P756"/>
    </row>
    <row r="757" spans="16:16">
      <c r="P757"/>
    </row>
    <row r="758" spans="16:16">
      <c r="P758"/>
    </row>
    <row r="759" spans="16:16">
      <c r="P759"/>
    </row>
    <row r="760" spans="16:16">
      <c r="P760"/>
    </row>
    <row r="761" spans="16:16">
      <c r="P761"/>
    </row>
    <row r="762" spans="16:16">
      <c r="P762"/>
    </row>
    <row r="763" spans="16:16">
      <c r="P763"/>
    </row>
    <row r="764" spans="16:16">
      <c r="P764"/>
    </row>
    <row r="765" spans="16:16">
      <c r="P765"/>
    </row>
    <row r="766" spans="16:16">
      <c r="P766"/>
    </row>
    <row r="767" spans="16:16">
      <c r="P767"/>
    </row>
    <row r="768" spans="16:16">
      <c r="P768"/>
    </row>
    <row r="769" spans="16:16">
      <c r="P769"/>
    </row>
    <row r="770" spans="16:16">
      <c r="P770"/>
    </row>
    <row r="771" spans="16:16">
      <c r="P771"/>
    </row>
    <row r="772" spans="16:16">
      <c r="P772"/>
    </row>
    <row r="773" spans="16:16">
      <c r="P773"/>
    </row>
    <row r="774" spans="16:16">
      <c r="P774"/>
    </row>
    <row r="775" spans="16:16">
      <c r="P775"/>
    </row>
    <row r="776" spans="16:16">
      <c r="P776"/>
    </row>
    <row r="777" spans="16:16">
      <c r="P777"/>
    </row>
    <row r="778" spans="16:16">
      <c r="P778"/>
    </row>
    <row r="779" spans="16:16">
      <c r="P779"/>
    </row>
    <row r="780" spans="16:16">
      <c r="P780"/>
    </row>
    <row r="781" spans="16:16">
      <c r="P781"/>
    </row>
    <row r="782" spans="16:16">
      <c r="P782"/>
    </row>
    <row r="783" spans="16:16">
      <c r="P783"/>
    </row>
    <row r="784" spans="16:16">
      <c r="P784"/>
    </row>
    <row r="785" spans="16:16">
      <c r="P785"/>
    </row>
    <row r="786" spans="16:16">
      <c r="P786"/>
    </row>
    <row r="787" spans="16:16">
      <c r="P787"/>
    </row>
    <row r="788" spans="16:16">
      <c r="P788"/>
    </row>
    <row r="789" spans="16:16">
      <c r="P789"/>
    </row>
    <row r="790" spans="16:16">
      <c r="P790"/>
    </row>
    <row r="791" spans="16:16">
      <c r="P791"/>
    </row>
    <row r="792" spans="16:16">
      <c r="P792"/>
    </row>
    <row r="793" spans="16:16">
      <c r="P793"/>
    </row>
    <row r="794" spans="16:16">
      <c r="P794"/>
    </row>
    <row r="795" spans="16:16">
      <c r="P795"/>
    </row>
    <row r="796" spans="16:16">
      <c r="P796"/>
    </row>
    <row r="797" spans="16:16">
      <c r="P797"/>
    </row>
    <row r="798" spans="16:16">
      <c r="P798"/>
    </row>
    <row r="799" spans="16:16">
      <c r="P799"/>
    </row>
    <row r="800" spans="16:16">
      <c r="P800"/>
    </row>
    <row r="801" spans="16:16">
      <c r="P801"/>
    </row>
    <row r="802" spans="16:16">
      <c r="P802"/>
    </row>
    <row r="803" spans="16:16">
      <c r="P803"/>
    </row>
    <row r="804" spans="16:16">
      <c r="P804"/>
    </row>
    <row r="805" spans="16:16">
      <c r="P805"/>
    </row>
    <row r="806" spans="16:16">
      <c r="P806"/>
    </row>
    <row r="807" spans="16:16">
      <c r="P807"/>
    </row>
    <row r="808" spans="16:16">
      <c r="P808"/>
    </row>
    <row r="809" spans="16:16">
      <c r="P809"/>
    </row>
    <row r="810" spans="16:16">
      <c r="P810"/>
    </row>
    <row r="811" spans="16:16">
      <c r="P811"/>
    </row>
    <row r="812" spans="16:16">
      <c r="P812"/>
    </row>
    <row r="813" spans="16:16">
      <c r="P813"/>
    </row>
    <row r="814" spans="16:16">
      <c r="P814"/>
    </row>
    <row r="815" spans="16:16">
      <c r="P815"/>
    </row>
    <row r="816" spans="16:16">
      <c r="P816"/>
    </row>
    <row r="817" spans="16:16">
      <c r="P817"/>
    </row>
    <row r="818" spans="16:16">
      <c r="P818"/>
    </row>
    <row r="819" spans="16:16">
      <c r="P819"/>
    </row>
    <row r="820" spans="16:16">
      <c r="P820"/>
    </row>
    <row r="821" spans="16:16">
      <c r="P821"/>
    </row>
    <row r="822" spans="16:16">
      <c r="P822"/>
    </row>
    <row r="823" spans="16:16">
      <c r="P823"/>
    </row>
    <row r="824" spans="16:16">
      <c r="P824"/>
    </row>
    <row r="825" spans="16:16">
      <c r="P825"/>
    </row>
    <row r="826" spans="16:16">
      <c r="P826"/>
    </row>
    <row r="827" spans="16:16">
      <c r="P827"/>
    </row>
    <row r="828" spans="16:16">
      <c r="P828"/>
    </row>
    <row r="829" spans="16:16">
      <c r="P829"/>
    </row>
    <row r="830" spans="16:16">
      <c r="P830"/>
    </row>
    <row r="831" spans="16:16">
      <c r="P831"/>
    </row>
    <row r="832" spans="16:16">
      <c r="P832"/>
    </row>
    <row r="833" spans="16:16">
      <c r="P833"/>
    </row>
    <row r="834" spans="16:16">
      <c r="P834"/>
    </row>
    <row r="835" spans="16:16">
      <c r="P835"/>
    </row>
    <row r="836" spans="16:16">
      <c r="P836"/>
    </row>
    <row r="837" spans="16:16">
      <c r="P837"/>
    </row>
    <row r="838" spans="16:16">
      <c r="P838"/>
    </row>
    <row r="839" spans="16:16">
      <c r="P839"/>
    </row>
    <row r="840" spans="16:16">
      <c r="P840"/>
    </row>
    <row r="841" spans="16:16">
      <c r="P841"/>
    </row>
    <row r="842" spans="16:16">
      <c r="P842"/>
    </row>
    <row r="843" spans="16:16">
      <c r="P843"/>
    </row>
    <row r="844" spans="16:16">
      <c r="P844"/>
    </row>
    <row r="845" spans="16:16">
      <c r="P845"/>
    </row>
    <row r="846" spans="16:16">
      <c r="P846"/>
    </row>
    <row r="847" spans="16:16">
      <c r="P847"/>
    </row>
    <row r="848" spans="16:16">
      <c r="P848"/>
    </row>
    <row r="849" spans="16:16">
      <c r="P849"/>
    </row>
    <row r="850" spans="16:16">
      <c r="P850"/>
    </row>
    <row r="851" spans="16:16">
      <c r="P851"/>
    </row>
    <row r="852" spans="16:16">
      <c r="P852"/>
    </row>
    <row r="853" spans="16:16">
      <c r="P853"/>
    </row>
    <row r="854" spans="16:16">
      <c r="P854"/>
    </row>
    <row r="855" spans="16:16">
      <c r="P855"/>
    </row>
    <row r="856" spans="16:16">
      <c r="P856"/>
    </row>
    <row r="857" spans="16:16">
      <c r="P857"/>
    </row>
    <row r="858" spans="16:16">
      <c r="P858"/>
    </row>
    <row r="859" spans="16:16">
      <c r="P859"/>
    </row>
    <row r="860" spans="16:16">
      <c r="P860"/>
    </row>
    <row r="861" spans="16:16">
      <c r="P861"/>
    </row>
    <row r="862" spans="16:16">
      <c r="P862"/>
    </row>
    <row r="863" spans="16:16">
      <c r="P863"/>
    </row>
    <row r="864" spans="16:16">
      <c r="P864"/>
    </row>
    <row r="865" spans="16:16">
      <c r="P865"/>
    </row>
    <row r="866" spans="16:16">
      <c r="P866"/>
    </row>
    <row r="867" spans="16:16">
      <c r="P867"/>
    </row>
    <row r="868" spans="16:16">
      <c r="P868"/>
    </row>
    <row r="869" spans="16:16">
      <c r="P869"/>
    </row>
    <row r="870" spans="16:16">
      <c r="P870"/>
    </row>
    <row r="871" spans="16:16">
      <c r="P871"/>
    </row>
    <row r="872" spans="16:16">
      <c r="P872"/>
    </row>
    <row r="873" spans="16:16">
      <c r="P873"/>
    </row>
    <row r="874" spans="16:16">
      <c r="P874"/>
    </row>
    <row r="875" spans="16:16">
      <c r="P875"/>
    </row>
    <row r="876" spans="16:16">
      <c r="P876"/>
    </row>
    <row r="877" spans="16:16">
      <c r="P877"/>
    </row>
    <row r="878" spans="16:16">
      <c r="P878"/>
    </row>
    <row r="879" spans="16:16">
      <c r="P879"/>
    </row>
    <row r="880" spans="16:16">
      <c r="P880"/>
    </row>
    <row r="881" spans="16:16">
      <c r="P881"/>
    </row>
    <row r="882" spans="16:16">
      <c r="P882"/>
    </row>
    <row r="883" spans="16:16">
      <c r="P883"/>
    </row>
    <row r="884" spans="16:16">
      <c r="P884"/>
    </row>
    <row r="885" spans="16:16">
      <c r="P885"/>
    </row>
    <row r="886" spans="16:16">
      <c r="P886"/>
    </row>
    <row r="887" spans="16:16">
      <c r="P887"/>
    </row>
    <row r="888" spans="16:16">
      <c r="P888"/>
    </row>
    <row r="889" spans="16:16">
      <c r="P889"/>
    </row>
    <row r="890" spans="16:16">
      <c r="P890"/>
    </row>
    <row r="891" spans="16:16">
      <c r="P891"/>
    </row>
    <row r="892" spans="16:16">
      <c r="P892"/>
    </row>
    <row r="893" spans="16:16">
      <c r="P893"/>
    </row>
    <row r="894" spans="16:16">
      <c r="P894"/>
    </row>
    <row r="895" spans="16:16">
      <c r="P895"/>
    </row>
    <row r="896" spans="16:16">
      <c r="P896"/>
    </row>
    <row r="897" spans="16:16">
      <c r="P897"/>
    </row>
    <row r="898" spans="16:16">
      <c r="P898"/>
    </row>
    <row r="899" spans="16:16">
      <c r="P899"/>
    </row>
    <row r="900" spans="16:16">
      <c r="P900"/>
    </row>
    <row r="901" spans="16:16">
      <c r="P901"/>
    </row>
    <row r="902" spans="16:16">
      <c r="P902"/>
    </row>
    <row r="903" spans="16:16">
      <c r="P903"/>
    </row>
    <row r="904" spans="16:16">
      <c r="P904"/>
    </row>
    <row r="905" spans="16:16">
      <c r="P905"/>
    </row>
    <row r="906" spans="16:16">
      <c r="P906"/>
    </row>
    <row r="907" spans="16:16">
      <c r="P907"/>
    </row>
    <row r="908" spans="16:16">
      <c r="P908"/>
    </row>
    <row r="909" spans="16:16">
      <c r="P909"/>
    </row>
    <row r="910" spans="16:16">
      <c r="P910"/>
    </row>
    <row r="911" spans="16:16">
      <c r="P911"/>
    </row>
    <row r="912" spans="16:16">
      <c r="P912"/>
    </row>
    <row r="913" spans="16:16">
      <c r="P913"/>
    </row>
    <row r="914" spans="16:16">
      <c r="P914"/>
    </row>
    <row r="915" spans="16:16">
      <c r="P915"/>
    </row>
    <row r="916" spans="16:16">
      <c r="P916"/>
    </row>
    <row r="917" spans="16:16">
      <c r="P917"/>
    </row>
    <row r="918" spans="16:16">
      <c r="P918"/>
    </row>
    <row r="919" spans="16:16">
      <c r="P919"/>
    </row>
    <row r="920" spans="16:16">
      <c r="P920"/>
    </row>
    <row r="921" spans="16:16">
      <c r="P921"/>
    </row>
    <row r="922" spans="16:16">
      <c r="P922"/>
    </row>
    <row r="923" spans="16:16">
      <c r="P923"/>
    </row>
    <row r="924" spans="16:16">
      <c r="P924"/>
    </row>
    <row r="925" spans="16:16">
      <c r="P925"/>
    </row>
    <row r="926" spans="16:16">
      <c r="P926"/>
    </row>
    <row r="927" spans="16:16">
      <c r="P927"/>
    </row>
    <row r="928" spans="16:16">
      <c r="P928"/>
    </row>
    <row r="929" spans="16:16">
      <c r="P929"/>
    </row>
    <row r="930" spans="16:16">
      <c r="P930"/>
    </row>
    <row r="931" spans="16:16">
      <c r="P931"/>
    </row>
    <row r="932" spans="16:16">
      <c r="P932"/>
    </row>
    <row r="933" spans="16:16">
      <c r="P933"/>
    </row>
    <row r="934" spans="16:16">
      <c r="P934"/>
    </row>
    <row r="935" spans="16:16">
      <c r="P935"/>
    </row>
    <row r="936" spans="16:16">
      <c r="P936"/>
    </row>
    <row r="937" spans="16:16">
      <c r="P937"/>
    </row>
    <row r="938" spans="16:16">
      <c r="P938"/>
    </row>
    <row r="939" spans="16:16">
      <c r="P939"/>
    </row>
    <row r="940" spans="16:16">
      <c r="P940"/>
    </row>
    <row r="941" spans="16:16">
      <c r="P941"/>
    </row>
    <row r="942" spans="16:16">
      <c r="P942"/>
    </row>
    <row r="943" spans="16:16">
      <c r="P943"/>
    </row>
    <row r="944" spans="16:16">
      <c r="P944"/>
    </row>
    <row r="945" spans="16:16">
      <c r="P945"/>
    </row>
    <row r="946" spans="16:16">
      <c r="P946"/>
    </row>
    <row r="947" spans="16:16">
      <c r="P947"/>
    </row>
    <row r="948" spans="16:16">
      <c r="P948"/>
    </row>
    <row r="949" spans="16:16">
      <c r="P949"/>
    </row>
    <row r="950" spans="16:16">
      <c r="P950"/>
    </row>
    <row r="951" spans="16:16">
      <c r="P951"/>
    </row>
    <row r="952" spans="16:16">
      <c r="P952"/>
    </row>
    <row r="953" spans="16:16">
      <c r="P953"/>
    </row>
    <row r="954" spans="16:16">
      <c r="P954"/>
    </row>
    <row r="955" spans="16:16">
      <c r="P955"/>
    </row>
    <row r="956" spans="16:16">
      <c r="P956"/>
    </row>
    <row r="957" spans="16:16">
      <c r="P957"/>
    </row>
    <row r="958" spans="16:16">
      <c r="P958"/>
    </row>
    <row r="959" spans="16:16">
      <c r="P959"/>
    </row>
    <row r="960" spans="16:16">
      <c r="P960"/>
    </row>
    <row r="961" spans="16:16">
      <c r="P961"/>
    </row>
    <row r="962" spans="16:16">
      <c r="P962"/>
    </row>
    <row r="963" spans="16:16">
      <c r="P963"/>
    </row>
    <row r="964" spans="16:16">
      <c r="P964"/>
    </row>
    <row r="965" spans="16:16">
      <c r="P965"/>
    </row>
    <row r="966" spans="16:16">
      <c r="P966"/>
    </row>
    <row r="967" spans="16:16">
      <c r="P967"/>
    </row>
    <row r="968" spans="16:16">
      <c r="P968"/>
    </row>
    <row r="969" spans="16:16">
      <c r="P969"/>
    </row>
    <row r="970" spans="16:16">
      <c r="P970"/>
    </row>
    <row r="971" spans="16:16">
      <c r="P971"/>
    </row>
    <row r="972" spans="16:16">
      <c r="P972"/>
    </row>
    <row r="973" spans="16:16">
      <c r="P973"/>
    </row>
    <row r="974" spans="16:16">
      <c r="P974"/>
    </row>
    <row r="975" spans="16:16">
      <c r="P975"/>
    </row>
    <row r="976" spans="16:16">
      <c r="P976"/>
    </row>
    <row r="977" spans="16:16">
      <c r="P977"/>
    </row>
    <row r="978" spans="16:16">
      <c r="P978"/>
    </row>
    <row r="979" spans="16:16">
      <c r="P979"/>
    </row>
    <row r="980" spans="16:16">
      <c r="P980"/>
    </row>
    <row r="981" spans="16:16">
      <c r="P981"/>
    </row>
    <row r="982" spans="16:16">
      <c r="P982"/>
    </row>
    <row r="983" spans="16:16">
      <c r="P983"/>
    </row>
    <row r="984" spans="16:16">
      <c r="P984"/>
    </row>
    <row r="985" spans="16:16">
      <c r="P985"/>
    </row>
    <row r="986" spans="16:16">
      <c r="P986"/>
    </row>
    <row r="987" spans="16:16">
      <c r="P987"/>
    </row>
    <row r="988" spans="16:16">
      <c r="P988"/>
    </row>
    <row r="989" spans="16:16">
      <c r="P989"/>
    </row>
    <row r="990" spans="16:16">
      <c r="P990"/>
    </row>
    <row r="991" spans="16:16">
      <c r="P991"/>
    </row>
    <row r="992" spans="16:16">
      <c r="P992"/>
    </row>
    <row r="993" spans="16:16">
      <c r="P993"/>
    </row>
    <row r="994" spans="16:16">
      <c r="P994"/>
    </row>
    <row r="995" spans="16:16">
      <c r="P995"/>
    </row>
    <row r="996" spans="16:16">
      <c r="P996"/>
    </row>
    <row r="997" spans="16:16">
      <c r="P997"/>
    </row>
    <row r="998" spans="16:16">
      <c r="P998"/>
    </row>
    <row r="999" spans="16:16">
      <c r="P999"/>
    </row>
    <row r="1000" spans="16:16">
      <c r="P1000"/>
    </row>
    <row r="1001" spans="16:16">
      <c r="P1001"/>
    </row>
    <row r="1002" spans="16:16">
      <c r="P1002"/>
    </row>
    <row r="1003" spans="16:16">
      <c r="P1003"/>
    </row>
    <row r="1004" spans="16:16">
      <c r="P1004"/>
    </row>
    <row r="1005" spans="16:16">
      <c r="P1005"/>
    </row>
    <row r="1006" spans="16:16">
      <c r="P1006"/>
    </row>
    <row r="1007" spans="16:16">
      <c r="P1007"/>
    </row>
    <row r="1008" spans="16:16">
      <c r="P1008"/>
    </row>
    <row r="1009" spans="16:16">
      <c r="P1009"/>
    </row>
    <row r="1010" spans="16:16">
      <c r="P1010"/>
    </row>
    <row r="1011" spans="16:16">
      <c r="P1011"/>
    </row>
    <row r="1012" spans="16:16">
      <c r="P1012"/>
    </row>
    <row r="1013" spans="16:16">
      <c r="P1013"/>
    </row>
    <row r="1014" spans="16:16">
      <c r="P1014"/>
    </row>
    <row r="1015" spans="16:16">
      <c r="P1015"/>
    </row>
    <row r="1016" spans="16:16">
      <c r="P1016"/>
    </row>
    <row r="1017" spans="16:16">
      <c r="P1017"/>
    </row>
    <row r="1018" spans="16:16">
      <c r="P1018"/>
    </row>
    <row r="1019" spans="16:16">
      <c r="P1019"/>
    </row>
    <row r="1020" spans="16:16">
      <c r="P1020"/>
    </row>
    <row r="1021" spans="16:16">
      <c r="P1021"/>
    </row>
    <row r="1022" spans="16:16">
      <c r="P1022"/>
    </row>
    <row r="1023" spans="16:16">
      <c r="P1023"/>
    </row>
    <row r="1024" spans="16:16">
      <c r="P1024"/>
    </row>
    <row r="1025" spans="16:16">
      <c r="P1025"/>
    </row>
    <row r="1026" spans="16:16">
      <c r="P1026"/>
    </row>
    <row r="1027" spans="16:16">
      <c r="P1027"/>
    </row>
    <row r="1028" spans="16:16">
      <c r="P1028"/>
    </row>
    <row r="1029" spans="16:16">
      <c r="P1029"/>
    </row>
    <row r="1030" spans="16:16">
      <c r="P1030"/>
    </row>
    <row r="1031" spans="16:16">
      <c r="P1031"/>
    </row>
    <row r="1032" spans="16:16">
      <c r="P1032"/>
    </row>
    <row r="1033" spans="16:16">
      <c r="P1033"/>
    </row>
    <row r="1034" spans="16:16">
      <c r="P1034"/>
    </row>
    <row r="1035" spans="16:16">
      <c r="P1035"/>
    </row>
    <row r="1036" spans="16:16">
      <c r="P1036"/>
    </row>
    <row r="1037" spans="16:16">
      <c r="P1037"/>
    </row>
    <row r="1038" spans="16:16">
      <c r="P1038"/>
    </row>
    <row r="1039" spans="16:16">
      <c r="P1039"/>
    </row>
    <row r="1040" spans="16:16">
      <c r="P1040"/>
    </row>
    <row r="1041" spans="16:16">
      <c r="P1041"/>
    </row>
    <row r="1042" spans="16:16">
      <c r="P1042"/>
    </row>
    <row r="1043" spans="16:16">
      <c r="P1043"/>
    </row>
    <row r="1044" spans="16:16">
      <c r="P1044"/>
    </row>
    <row r="1045" spans="16:16">
      <c r="P1045"/>
    </row>
    <row r="1046" spans="16:16">
      <c r="P1046"/>
    </row>
    <row r="1047" spans="16:16">
      <c r="P1047"/>
    </row>
    <row r="1048" spans="16:16">
      <c r="P1048"/>
    </row>
    <row r="1049" spans="16:16">
      <c r="P1049"/>
    </row>
    <row r="1050" spans="16:16">
      <c r="P1050"/>
    </row>
    <row r="1051" spans="16:16">
      <c r="P1051"/>
    </row>
    <row r="1052" spans="16:16">
      <c r="P1052"/>
    </row>
    <row r="1053" spans="16:16">
      <c r="P1053"/>
    </row>
    <row r="1054" spans="16:16">
      <c r="P1054"/>
    </row>
    <row r="1055" spans="16:16">
      <c r="P1055"/>
    </row>
    <row r="1056" spans="16:16">
      <c r="P1056"/>
    </row>
    <row r="1057" spans="16:16">
      <c r="P1057"/>
    </row>
    <row r="1058" spans="16:16">
      <c r="P1058"/>
    </row>
    <row r="1059" spans="16:16">
      <c r="P1059"/>
    </row>
    <row r="1060" spans="16:16">
      <c r="P1060"/>
    </row>
    <row r="1061" spans="16:16">
      <c r="P1061"/>
    </row>
    <row r="1062" spans="16:16">
      <c r="P1062"/>
    </row>
    <row r="1063" spans="16:16">
      <c r="P1063"/>
    </row>
    <row r="1064" spans="16:16">
      <c r="P1064"/>
    </row>
    <row r="1065" spans="16:16">
      <c r="P1065"/>
    </row>
    <row r="1066" spans="16:16">
      <c r="P1066"/>
    </row>
    <row r="1067" spans="16:16">
      <c r="P1067"/>
    </row>
    <row r="1068" spans="16:16">
      <c r="P1068"/>
    </row>
    <row r="1069" spans="16:16">
      <c r="P1069"/>
    </row>
    <row r="1070" spans="16:16">
      <c r="P1070"/>
    </row>
    <row r="1071" spans="16:16">
      <c r="P1071"/>
    </row>
    <row r="1072" spans="16:16">
      <c r="P1072"/>
    </row>
    <row r="1073" spans="16:16">
      <c r="P1073"/>
    </row>
    <row r="1074" spans="16:16">
      <c r="P1074"/>
    </row>
    <row r="1075" spans="16:16">
      <c r="P1075"/>
    </row>
    <row r="1076" spans="16:16">
      <c r="P1076"/>
    </row>
    <row r="1077" spans="16:16">
      <c r="P1077"/>
    </row>
    <row r="1078" spans="16:16">
      <c r="P1078"/>
    </row>
    <row r="1079" spans="16:16">
      <c r="P1079"/>
    </row>
    <row r="1080" spans="16:16">
      <c r="P1080"/>
    </row>
    <row r="1081" spans="16:16">
      <c r="P1081"/>
    </row>
    <row r="1082" spans="16:16">
      <c r="P1082"/>
    </row>
    <row r="1083" spans="16:16">
      <c r="P1083"/>
    </row>
    <row r="1084" spans="16:16">
      <c r="P1084"/>
    </row>
    <row r="1085" spans="16:16">
      <c r="P1085"/>
    </row>
    <row r="1086" spans="16:16">
      <c r="P1086"/>
    </row>
    <row r="1087" spans="16:16">
      <c r="P1087"/>
    </row>
    <row r="1088" spans="16:16">
      <c r="P1088"/>
    </row>
    <row r="1089" spans="16:16">
      <c r="P1089"/>
    </row>
    <row r="1090" spans="16:16">
      <c r="P1090"/>
    </row>
    <row r="1091" spans="16:16">
      <c r="P1091"/>
    </row>
    <row r="1092" spans="16:16">
      <c r="P1092"/>
    </row>
    <row r="1093" spans="16:16">
      <c r="P1093"/>
    </row>
    <row r="1094" spans="16:16">
      <c r="P1094"/>
    </row>
    <row r="1095" spans="16:16">
      <c r="P1095"/>
    </row>
    <row r="1096" spans="16:16">
      <c r="P1096"/>
    </row>
    <row r="1097" spans="16:16">
      <c r="P1097"/>
    </row>
    <row r="1098" spans="16:16">
      <c r="P1098"/>
    </row>
    <row r="1099" spans="16:16">
      <c r="P1099"/>
    </row>
    <row r="1100" spans="16:16">
      <c r="P1100"/>
    </row>
    <row r="1101" spans="16:16">
      <c r="P1101"/>
    </row>
    <row r="1102" spans="16:16">
      <c r="P1102"/>
    </row>
    <row r="1103" spans="16:16">
      <c r="P1103"/>
    </row>
    <row r="1104" spans="16:16">
      <c r="P1104"/>
    </row>
    <row r="1105" spans="16:16">
      <c r="P1105"/>
    </row>
    <row r="1106" spans="16:16">
      <c r="P1106"/>
    </row>
    <row r="1107" spans="16:16">
      <c r="P1107"/>
    </row>
    <row r="1108" spans="16:16">
      <c r="P1108"/>
    </row>
    <row r="1109" spans="16:16">
      <c r="P1109"/>
    </row>
    <row r="1110" spans="16:16">
      <c r="P1110"/>
    </row>
    <row r="1111" spans="16:16">
      <c r="P1111"/>
    </row>
    <row r="1112" spans="16:16">
      <c r="P1112"/>
    </row>
    <row r="1113" spans="16:16">
      <c r="P1113"/>
    </row>
    <row r="1114" spans="16:16">
      <c r="P1114"/>
    </row>
    <row r="1115" spans="16:16">
      <c r="P1115"/>
    </row>
    <row r="1116" spans="16:16">
      <c r="P1116"/>
    </row>
    <row r="1117" spans="16:16">
      <c r="P1117"/>
    </row>
    <row r="1118" spans="16:16">
      <c r="P1118"/>
    </row>
    <row r="1119" spans="16:16">
      <c r="P1119"/>
    </row>
    <row r="1120" spans="16:16">
      <c r="P1120"/>
    </row>
    <row r="1121" spans="16:16">
      <c r="P1121"/>
    </row>
    <row r="1122" spans="16:16">
      <c r="P1122"/>
    </row>
    <row r="1123" spans="16:16">
      <c r="P1123"/>
    </row>
    <row r="1124" spans="16:16">
      <c r="P1124"/>
    </row>
    <row r="1125" spans="16:16">
      <c r="P1125"/>
    </row>
    <row r="1126" spans="16:16">
      <c r="P1126"/>
    </row>
    <row r="1127" spans="16:16">
      <c r="P1127"/>
    </row>
    <row r="1128" spans="16:16">
      <c r="P1128"/>
    </row>
    <row r="1129" spans="16:16">
      <c r="P1129"/>
    </row>
    <row r="1130" spans="16:16">
      <c r="P1130"/>
    </row>
    <row r="1131" spans="16:16">
      <c r="P1131"/>
    </row>
    <row r="1132" spans="16:16">
      <c r="P1132"/>
    </row>
    <row r="1133" spans="16:16">
      <c r="P1133"/>
    </row>
    <row r="1134" spans="16:16">
      <c r="P1134"/>
    </row>
    <row r="1135" spans="16:16">
      <c r="P1135"/>
    </row>
    <row r="1136" spans="16:16">
      <c r="P1136"/>
    </row>
    <row r="1137" spans="16:16">
      <c r="P1137"/>
    </row>
    <row r="1138" spans="16:16">
      <c r="P1138"/>
    </row>
    <row r="1139" spans="16:16">
      <c r="P1139"/>
    </row>
    <row r="1140" spans="16:16">
      <c r="P1140"/>
    </row>
    <row r="1141" spans="16:16">
      <c r="P1141"/>
    </row>
    <row r="1142" spans="16:16">
      <c r="P1142"/>
    </row>
    <row r="1143" spans="16:16">
      <c r="P1143"/>
    </row>
    <row r="1144" spans="16:16">
      <c r="P1144"/>
    </row>
    <row r="1145" spans="16:16">
      <c r="P1145"/>
    </row>
    <row r="1146" spans="16:16">
      <c r="P1146"/>
    </row>
    <row r="1147" spans="16:16">
      <c r="P1147"/>
    </row>
    <row r="1148" spans="16:16">
      <c r="P1148"/>
    </row>
    <row r="1149" spans="16:16">
      <c r="P1149"/>
    </row>
    <row r="1150" spans="16:16">
      <c r="P1150"/>
    </row>
    <row r="1151" spans="16:16">
      <c r="P1151"/>
    </row>
    <row r="1152" spans="16:16">
      <c r="P1152"/>
    </row>
    <row r="1153" spans="16:16">
      <c r="P1153"/>
    </row>
    <row r="1154" spans="16:16">
      <c r="P1154"/>
    </row>
    <row r="1155" spans="16:16">
      <c r="P1155"/>
    </row>
    <row r="1156" spans="16:16">
      <c r="P1156"/>
    </row>
    <row r="1157" spans="16:16">
      <c r="P1157"/>
    </row>
    <row r="1158" spans="16:16">
      <c r="P1158"/>
    </row>
    <row r="1159" spans="16:16">
      <c r="P1159"/>
    </row>
    <row r="1160" spans="16:16">
      <c r="P1160"/>
    </row>
    <row r="1161" spans="16:16">
      <c r="P1161"/>
    </row>
    <row r="1162" spans="16:16">
      <c r="P1162"/>
    </row>
    <row r="1163" spans="16:16">
      <c r="P1163"/>
    </row>
    <row r="1164" spans="16:16">
      <c r="P1164"/>
    </row>
    <row r="1165" spans="16:16">
      <c r="P1165"/>
    </row>
    <row r="1166" spans="16:16">
      <c r="P1166"/>
    </row>
    <row r="1167" spans="16:16">
      <c r="P1167"/>
    </row>
    <row r="1168" spans="16:16">
      <c r="P1168"/>
    </row>
    <row r="1169" spans="16:16">
      <c r="P1169"/>
    </row>
    <row r="1170" spans="16:16">
      <c r="P1170"/>
    </row>
    <row r="1171" spans="16:16">
      <c r="P1171"/>
    </row>
    <row r="1172" spans="16:16">
      <c r="P1172"/>
    </row>
    <row r="1173" spans="16:16">
      <c r="P1173"/>
    </row>
    <row r="1174" spans="16:16">
      <c r="P1174"/>
    </row>
    <row r="1175" spans="16:16">
      <c r="P1175"/>
    </row>
    <row r="1176" spans="16:16">
      <c r="P1176"/>
    </row>
    <row r="1177" spans="16:16">
      <c r="P1177"/>
    </row>
    <row r="1178" spans="16:16">
      <c r="P1178"/>
    </row>
    <row r="1179" spans="16:16">
      <c r="P1179"/>
    </row>
    <row r="1180" spans="16:16">
      <c r="P1180"/>
    </row>
    <row r="1181" spans="16:16">
      <c r="P1181"/>
    </row>
    <row r="1182" spans="16:16">
      <c r="P1182"/>
    </row>
    <row r="1183" spans="16:16">
      <c r="P1183"/>
    </row>
    <row r="1184" spans="16:16">
      <c r="P1184"/>
    </row>
    <row r="1185" spans="16:16">
      <c r="P1185"/>
    </row>
    <row r="1186" spans="16:16">
      <c r="P1186"/>
    </row>
    <row r="1187" spans="16:16">
      <c r="P1187"/>
    </row>
    <row r="1188" spans="16:16">
      <c r="P1188"/>
    </row>
    <row r="1189" spans="16:16">
      <c r="P1189"/>
    </row>
    <row r="1190" spans="16:16">
      <c r="P1190"/>
    </row>
    <row r="1191" spans="16:16">
      <c r="P1191"/>
    </row>
    <row r="1192" spans="16:16">
      <c r="P1192"/>
    </row>
    <row r="1193" spans="16:16">
      <c r="P1193"/>
    </row>
    <row r="1194" spans="16:16">
      <c r="P1194"/>
    </row>
    <row r="1195" spans="16:16">
      <c r="P1195"/>
    </row>
    <row r="1196" spans="16:16">
      <c r="P1196"/>
    </row>
    <row r="1197" spans="16:16">
      <c r="P1197"/>
    </row>
    <row r="1198" spans="16:16">
      <c r="P1198"/>
    </row>
    <row r="1199" spans="16:16">
      <c r="P1199"/>
    </row>
    <row r="1200" spans="16:16">
      <c r="P1200"/>
    </row>
    <row r="1201" spans="16:16">
      <c r="P1201"/>
    </row>
    <row r="1202" spans="16:16">
      <c r="P1202"/>
    </row>
    <row r="1203" spans="16:16">
      <c r="P1203"/>
    </row>
    <row r="1204" spans="16:16">
      <c r="P1204"/>
    </row>
    <row r="1205" spans="16:16">
      <c r="P1205"/>
    </row>
    <row r="1206" spans="16:16">
      <c r="P1206"/>
    </row>
    <row r="1207" spans="16:16">
      <c r="P1207"/>
    </row>
    <row r="1208" spans="16:16">
      <c r="P1208"/>
    </row>
    <row r="1209" spans="16:16">
      <c r="P1209"/>
    </row>
    <row r="1210" spans="16:16">
      <c r="P1210"/>
    </row>
    <row r="1211" spans="16:16">
      <c r="P1211"/>
    </row>
    <row r="1212" spans="16:16">
      <c r="P1212"/>
    </row>
    <row r="1213" spans="16:16">
      <c r="P1213"/>
    </row>
    <row r="1214" spans="16:16">
      <c r="P1214"/>
    </row>
    <row r="1215" spans="16:16">
      <c r="P1215"/>
    </row>
    <row r="1216" spans="16:16">
      <c r="P1216"/>
    </row>
    <row r="1217" spans="16:16">
      <c r="P1217"/>
    </row>
    <row r="1218" spans="16:16">
      <c r="P1218"/>
    </row>
    <row r="1219" spans="16:16">
      <c r="P1219"/>
    </row>
    <row r="1220" spans="16:16">
      <c r="P1220"/>
    </row>
    <row r="1221" spans="16:16">
      <c r="P1221"/>
    </row>
    <row r="1222" spans="16:16">
      <c r="P1222"/>
    </row>
    <row r="1223" spans="16:16">
      <c r="P1223"/>
    </row>
    <row r="1224" spans="16:16">
      <c r="P1224"/>
    </row>
    <row r="1225" spans="16:16">
      <c r="P1225"/>
    </row>
    <row r="1226" spans="16:16">
      <c r="P1226"/>
    </row>
    <row r="1227" spans="16:16">
      <c r="P1227"/>
    </row>
    <row r="1228" spans="16:16">
      <c r="P1228"/>
    </row>
    <row r="1229" spans="16:16">
      <c r="P1229"/>
    </row>
    <row r="1230" spans="16:16">
      <c r="P1230"/>
    </row>
    <row r="1231" spans="16:16">
      <c r="P1231"/>
    </row>
    <row r="1232" spans="16:16">
      <c r="P1232"/>
    </row>
    <row r="1233" spans="16:16">
      <c r="P1233"/>
    </row>
    <row r="1234" spans="16:16">
      <c r="P1234"/>
    </row>
    <row r="1235" spans="16:16">
      <c r="P1235"/>
    </row>
    <row r="1236" spans="16:16">
      <c r="P1236"/>
    </row>
    <row r="1237" spans="16:16">
      <c r="P1237"/>
    </row>
    <row r="1238" spans="16:16">
      <c r="P1238"/>
    </row>
    <row r="1239" spans="16:16">
      <c r="P1239"/>
    </row>
    <row r="1240" spans="16:16">
      <c r="P1240"/>
    </row>
    <row r="1241" spans="16:16">
      <c r="P1241"/>
    </row>
    <row r="1242" spans="16:16">
      <c r="P1242"/>
    </row>
    <row r="1243" spans="16:16">
      <c r="P1243"/>
    </row>
    <row r="1244" spans="16:16">
      <c r="P1244"/>
    </row>
    <row r="1245" spans="16:16">
      <c r="P1245"/>
    </row>
    <row r="1246" spans="16:16">
      <c r="P1246"/>
    </row>
    <row r="1247" spans="16:16">
      <c r="P1247"/>
    </row>
    <row r="1248" spans="16:16">
      <c r="P1248"/>
    </row>
    <row r="1249" spans="16:16">
      <c r="P1249"/>
    </row>
    <row r="1250" spans="16:16">
      <c r="P1250"/>
    </row>
    <row r="1251" spans="16:16">
      <c r="P1251"/>
    </row>
    <row r="1252" spans="16:16">
      <c r="P1252"/>
    </row>
    <row r="1253" spans="16:16">
      <c r="P1253"/>
    </row>
    <row r="1254" spans="16:16">
      <c r="P1254"/>
    </row>
    <row r="1255" spans="16:16">
      <c r="P1255"/>
    </row>
    <row r="1256" spans="16:16">
      <c r="P1256"/>
    </row>
    <row r="1257" spans="16:16">
      <c r="P1257"/>
    </row>
    <row r="1258" spans="16:16">
      <c r="P1258"/>
    </row>
    <row r="1259" spans="16:16">
      <c r="P1259"/>
    </row>
    <row r="1260" spans="16:16">
      <c r="P1260"/>
    </row>
    <row r="1261" spans="16:16">
      <c r="P1261"/>
    </row>
    <row r="1262" spans="16:16">
      <c r="P1262"/>
    </row>
    <row r="1263" spans="16:16">
      <c r="P1263"/>
    </row>
    <row r="1264" spans="16:16">
      <c r="P1264"/>
    </row>
    <row r="1265" spans="16:16">
      <c r="P1265"/>
    </row>
    <row r="1266" spans="16:16">
      <c r="P1266"/>
    </row>
    <row r="1267" spans="16:16">
      <c r="P1267"/>
    </row>
    <row r="1268" spans="16:16">
      <c r="P1268"/>
    </row>
    <row r="1269" spans="16:16">
      <c r="P1269"/>
    </row>
    <row r="1270" spans="16:16">
      <c r="P1270"/>
    </row>
    <row r="1271" spans="16:16">
      <c r="P1271"/>
    </row>
    <row r="1272" spans="16:16">
      <c r="P1272"/>
    </row>
    <row r="1273" spans="16:16">
      <c r="P1273"/>
    </row>
    <row r="1274" spans="16:16">
      <c r="P1274"/>
    </row>
    <row r="1275" spans="16:16">
      <c r="P1275"/>
    </row>
    <row r="1276" spans="16:16">
      <c r="P1276"/>
    </row>
    <row r="1277" spans="16:16">
      <c r="P1277"/>
    </row>
    <row r="1278" spans="16:16">
      <c r="P1278"/>
    </row>
    <row r="1279" spans="16:16">
      <c r="P1279"/>
    </row>
    <row r="1280" spans="16:16">
      <c r="P1280"/>
    </row>
    <row r="1281" spans="16:16">
      <c r="P1281"/>
    </row>
    <row r="1282" spans="16:16">
      <c r="P1282"/>
    </row>
    <row r="1283" spans="16:16">
      <c r="P1283"/>
    </row>
    <row r="1284" spans="16:16">
      <c r="P1284"/>
    </row>
    <row r="1285" spans="16:16">
      <c r="P1285"/>
    </row>
    <row r="1286" spans="16:16">
      <c r="P1286"/>
    </row>
    <row r="1287" spans="16:16">
      <c r="P1287"/>
    </row>
    <row r="1288" spans="16:16">
      <c r="P1288"/>
    </row>
    <row r="1289" spans="16:16">
      <c r="P1289"/>
    </row>
    <row r="1290" spans="16:16">
      <c r="P1290"/>
    </row>
    <row r="1291" spans="16:16">
      <c r="P1291"/>
    </row>
    <row r="1292" spans="16:16">
      <c r="P1292"/>
    </row>
    <row r="1293" spans="16:16">
      <c r="P1293"/>
    </row>
    <row r="1294" spans="16:16">
      <c r="P1294"/>
    </row>
    <row r="1295" spans="16:16">
      <c r="P1295"/>
    </row>
    <row r="1296" spans="16:16">
      <c r="P1296"/>
    </row>
    <row r="1297" spans="16:16">
      <c r="P1297"/>
    </row>
    <row r="1298" spans="16:16">
      <c r="P1298"/>
    </row>
    <row r="1299" spans="16:16">
      <c r="P1299"/>
    </row>
    <row r="1300" spans="16:16">
      <c r="P1300"/>
    </row>
    <row r="1301" spans="16:16">
      <c r="P1301"/>
    </row>
    <row r="1302" spans="16:16">
      <c r="P1302"/>
    </row>
    <row r="1303" spans="16:16">
      <c r="P1303"/>
    </row>
    <row r="1304" spans="16:16">
      <c r="P1304"/>
    </row>
    <row r="1305" spans="16:16">
      <c r="P1305"/>
    </row>
    <row r="1306" spans="16:16">
      <c r="P1306"/>
    </row>
    <row r="1307" spans="16:16">
      <c r="P1307"/>
    </row>
    <row r="1308" spans="16:16">
      <c r="P1308"/>
    </row>
    <row r="1309" spans="16:16">
      <c r="P1309"/>
    </row>
    <row r="1310" spans="16:16">
      <c r="P1310"/>
    </row>
    <row r="1311" spans="16:16">
      <c r="P1311"/>
    </row>
    <row r="1312" spans="16:16">
      <c r="P1312"/>
    </row>
    <row r="1313" spans="16:16">
      <c r="P1313"/>
    </row>
    <row r="1314" spans="16:16">
      <c r="P1314"/>
    </row>
    <row r="1315" spans="16:16">
      <c r="P1315"/>
    </row>
    <row r="1316" spans="16:16">
      <c r="P1316"/>
    </row>
    <row r="1317" spans="16:16">
      <c r="P1317"/>
    </row>
    <row r="1318" spans="16:16">
      <c r="P1318"/>
    </row>
    <row r="1319" spans="16:16">
      <c r="P1319"/>
    </row>
    <row r="1320" spans="16:16">
      <c r="P1320"/>
    </row>
    <row r="1321" spans="16:16">
      <c r="P1321"/>
    </row>
    <row r="1322" spans="16:16">
      <c r="P1322"/>
    </row>
    <row r="1323" spans="16:16">
      <c r="P1323"/>
    </row>
    <row r="1324" spans="16:16">
      <c r="P1324"/>
    </row>
    <row r="1325" spans="16:16">
      <c r="P1325"/>
    </row>
    <row r="1326" spans="16:16">
      <c r="P1326"/>
    </row>
    <row r="1327" spans="16:16">
      <c r="P1327"/>
    </row>
    <row r="1328" spans="16:16">
      <c r="P1328"/>
    </row>
    <row r="1329" spans="16:16">
      <c r="P1329"/>
    </row>
    <row r="1330" spans="16:16">
      <c r="P1330"/>
    </row>
    <row r="1331" spans="16:16">
      <c r="P1331"/>
    </row>
    <row r="1332" spans="16:16">
      <c r="P1332"/>
    </row>
    <row r="1333" spans="16:16">
      <c r="P1333"/>
    </row>
    <row r="1334" spans="16:16">
      <c r="P1334"/>
    </row>
    <row r="1335" spans="16:16">
      <c r="P1335"/>
    </row>
    <row r="1336" spans="16:16">
      <c r="P1336"/>
    </row>
    <row r="1337" spans="16:16">
      <c r="P1337"/>
    </row>
    <row r="1338" spans="16:16">
      <c r="P1338"/>
    </row>
    <row r="1339" spans="16:16">
      <c r="P1339"/>
    </row>
    <row r="1340" spans="16:16">
      <c r="P1340"/>
    </row>
    <row r="1341" spans="16:16">
      <c r="P1341"/>
    </row>
    <row r="1342" spans="16:16">
      <c r="P1342"/>
    </row>
    <row r="1343" spans="16:16">
      <c r="P1343"/>
    </row>
    <row r="1344" spans="16:16">
      <c r="P1344"/>
    </row>
    <row r="1345" spans="16:16">
      <c r="P1345"/>
    </row>
    <row r="1346" spans="16:16">
      <c r="P1346"/>
    </row>
    <row r="1347" spans="16:16">
      <c r="P1347"/>
    </row>
    <row r="1348" spans="16:16">
      <c r="P1348"/>
    </row>
    <row r="1349" spans="16:16">
      <c r="P1349"/>
    </row>
    <row r="1350" spans="16:16">
      <c r="P1350"/>
    </row>
    <row r="1351" spans="16:16">
      <c r="P1351"/>
    </row>
    <row r="1352" spans="16:16">
      <c r="P1352"/>
    </row>
    <row r="1353" spans="16:16">
      <c r="P1353"/>
    </row>
    <row r="1354" spans="16:16">
      <c r="P1354"/>
    </row>
    <row r="1355" spans="16:16">
      <c r="P1355"/>
    </row>
    <row r="1356" spans="16:16">
      <c r="P1356"/>
    </row>
    <row r="1357" spans="16:16">
      <c r="P1357"/>
    </row>
    <row r="1358" spans="16:16">
      <c r="P1358"/>
    </row>
    <row r="1359" spans="16:16">
      <c r="P1359"/>
    </row>
    <row r="1360" spans="16:16">
      <c r="P1360"/>
    </row>
    <row r="1361" spans="16:16">
      <c r="P1361"/>
    </row>
    <row r="1362" spans="16:16">
      <c r="P1362"/>
    </row>
    <row r="1363" spans="16:16">
      <c r="P1363"/>
    </row>
    <row r="1364" spans="16:16">
      <c r="P1364"/>
    </row>
    <row r="1365" spans="16:16">
      <c r="P1365"/>
    </row>
    <row r="1366" spans="16:16">
      <c r="P1366"/>
    </row>
    <row r="1367" spans="16:16">
      <c r="P1367"/>
    </row>
    <row r="1368" spans="16:16">
      <c r="P1368"/>
    </row>
    <row r="1369" spans="16:16">
      <c r="P1369"/>
    </row>
    <row r="1370" spans="16:16">
      <c r="P1370"/>
    </row>
    <row r="1371" spans="16:16">
      <c r="P1371"/>
    </row>
    <row r="1372" spans="16:16">
      <c r="P1372"/>
    </row>
    <row r="1373" spans="16:16">
      <c r="P1373"/>
    </row>
    <row r="1374" spans="16:16">
      <c r="P1374"/>
    </row>
    <row r="1375" spans="16:16">
      <c r="P1375"/>
    </row>
    <row r="1376" spans="16:16">
      <c r="P1376"/>
    </row>
    <row r="1377" spans="16:16">
      <c r="P1377"/>
    </row>
    <row r="1378" spans="16:16">
      <c r="P1378"/>
    </row>
    <row r="1379" spans="16:16">
      <c r="P1379"/>
    </row>
    <row r="1380" spans="16:16">
      <c r="P1380"/>
    </row>
    <row r="1381" spans="16:16">
      <c r="P1381"/>
    </row>
    <row r="1382" spans="16:16">
      <c r="P1382"/>
    </row>
    <row r="1383" spans="16:16">
      <c r="P1383"/>
    </row>
    <row r="1384" spans="16:16">
      <c r="P1384"/>
    </row>
    <row r="1385" spans="16:16">
      <c r="P1385"/>
    </row>
    <row r="1386" spans="16:16">
      <c r="P1386"/>
    </row>
    <row r="1387" spans="16:16">
      <c r="P1387"/>
    </row>
    <row r="1388" spans="16:16">
      <c r="P1388"/>
    </row>
    <row r="1389" spans="16:16">
      <c r="P1389"/>
    </row>
    <row r="1390" spans="16:16">
      <c r="P1390"/>
    </row>
    <row r="1391" spans="16:16">
      <c r="P1391"/>
    </row>
    <row r="1392" spans="16:16">
      <c r="P1392"/>
    </row>
    <row r="1393" spans="16:16">
      <c r="P1393"/>
    </row>
    <row r="1394" spans="16:16">
      <c r="P1394"/>
    </row>
    <row r="1395" spans="16:16">
      <c r="P1395"/>
    </row>
    <row r="1396" spans="16:16">
      <c r="P1396"/>
    </row>
    <row r="1397" spans="16:16">
      <c r="P1397"/>
    </row>
    <row r="1398" spans="16:16">
      <c r="P1398"/>
    </row>
    <row r="1399" spans="16:16">
      <c r="P1399"/>
    </row>
    <row r="1400" spans="16:16">
      <c r="P1400"/>
    </row>
    <row r="1401" spans="16:16">
      <c r="P1401"/>
    </row>
    <row r="1402" spans="16:16">
      <c r="P1402"/>
    </row>
    <row r="1403" spans="16:16">
      <c r="P1403"/>
    </row>
    <row r="1404" spans="16:16">
      <c r="P1404"/>
    </row>
    <row r="1405" spans="16:16">
      <c r="P1405"/>
    </row>
    <row r="1406" spans="16:16">
      <c r="P1406"/>
    </row>
    <row r="1407" spans="16:16">
      <c r="P1407"/>
    </row>
    <row r="1408" spans="16:16">
      <c r="P1408"/>
    </row>
    <row r="1409" spans="16:16">
      <c r="P1409"/>
    </row>
    <row r="1410" spans="16:16">
      <c r="P1410"/>
    </row>
    <row r="1411" spans="16:16">
      <c r="P1411"/>
    </row>
    <row r="1412" spans="16:16">
      <c r="P1412"/>
    </row>
    <row r="1413" spans="16:16">
      <c r="P1413"/>
    </row>
    <row r="1414" spans="16:16">
      <c r="P1414"/>
    </row>
    <row r="1415" spans="16:16">
      <c r="P1415"/>
    </row>
    <row r="1416" spans="16:16">
      <c r="P1416"/>
    </row>
    <row r="1417" spans="16:16">
      <c r="P1417"/>
    </row>
    <row r="1418" spans="16:16">
      <c r="P1418"/>
    </row>
    <row r="1419" spans="16:16">
      <c r="P1419"/>
    </row>
    <row r="1420" spans="16:16">
      <c r="P1420"/>
    </row>
    <row r="1421" spans="16:16">
      <c r="P1421"/>
    </row>
    <row r="1422" spans="16:16">
      <c r="P1422"/>
    </row>
    <row r="1423" spans="16:16">
      <c r="P1423"/>
    </row>
    <row r="1424" spans="16:16">
      <c r="P1424"/>
    </row>
    <row r="1425" spans="16:16">
      <c r="P1425"/>
    </row>
    <row r="1426" spans="16:16">
      <c r="P1426"/>
    </row>
    <row r="1427" spans="16:16">
      <c r="P1427"/>
    </row>
    <row r="1428" spans="16:16">
      <c r="P1428"/>
    </row>
    <row r="1429" spans="16:16">
      <c r="P1429"/>
    </row>
    <row r="1430" spans="16:16">
      <c r="P1430"/>
    </row>
    <row r="1431" spans="16:16">
      <c r="P1431"/>
    </row>
    <row r="1432" spans="16:16">
      <c r="P1432"/>
    </row>
    <row r="1433" spans="16:16">
      <c r="P1433"/>
    </row>
    <row r="1434" spans="16:16">
      <c r="P1434"/>
    </row>
    <row r="1435" spans="16:16">
      <c r="P1435"/>
    </row>
    <row r="1436" spans="16:16">
      <c r="P1436"/>
    </row>
    <row r="1437" spans="16:16">
      <c r="P1437"/>
    </row>
    <row r="1438" spans="16:16">
      <c r="P1438"/>
    </row>
    <row r="1439" spans="16:16">
      <c r="P1439"/>
    </row>
    <row r="1440" spans="16:16">
      <c r="P1440"/>
    </row>
    <row r="1441" spans="16:16">
      <c r="P1441"/>
    </row>
    <row r="1442" spans="16:16">
      <c r="P1442"/>
    </row>
    <row r="1443" spans="16:16">
      <c r="P1443"/>
    </row>
    <row r="1444" spans="16:16">
      <c r="P1444"/>
    </row>
    <row r="1445" spans="16:16">
      <c r="P1445"/>
    </row>
    <row r="1446" spans="16:16">
      <c r="P1446"/>
    </row>
    <row r="1447" spans="16:16">
      <c r="P1447"/>
    </row>
    <row r="1448" spans="16:16">
      <c r="P1448"/>
    </row>
    <row r="1449" spans="16:16">
      <c r="P1449"/>
    </row>
    <row r="1450" spans="16:16">
      <c r="P1450"/>
    </row>
    <row r="1451" spans="16:16">
      <c r="P1451"/>
    </row>
    <row r="1452" spans="16:16">
      <c r="P1452"/>
    </row>
    <row r="1453" spans="16:16">
      <c r="P1453"/>
    </row>
    <row r="1454" spans="16:16">
      <c r="P1454"/>
    </row>
    <row r="1455" spans="16:16">
      <c r="P1455"/>
    </row>
    <row r="1456" spans="16:16">
      <c r="P1456"/>
    </row>
    <row r="1457" spans="16:16">
      <c r="P1457"/>
    </row>
    <row r="1458" spans="16:16">
      <c r="P1458"/>
    </row>
    <row r="1459" spans="16:16">
      <c r="P1459"/>
    </row>
    <row r="1460" spans="16:16">
      <c r="P1460"/>
    </row>
    <row r="1461" spans="16:16">
      <c r="P1461"/>
    </row>
    <row r="1462" spans="16:16">
      <c r="P1462"/>
    </row>
    <row r="1463" spans="16:16">
      <c r="P1463"/>
    </row>
    <row r="1464" spans="16:16">
      <c r="P1464"/>
    </row>
    <row r="1465" spans="16:16">
      <c r="P1465"/>
    </row>
    <row r="1466" spans="16:16">
      <c r="P1466"/>
    </row>
    <row r="1467" spans="16:16">
      <c r="P1467"/>
    </row>
    <row r="1468" spans="16:16">
      <c r="P1468"/>
    </row>
    <row r="1469" spans="16:16">
      <c r="P1469"/>
    </row>
    <row r="1470" spans="16:16">
      <c r="P1470"/>
    </row>
    <row r="1471" spans="16:16">
      <c r="P1471"/>
    </row>
    <row r="1472" spans="16:16">
      <c r="P1472"/>
    </row>
    <row r="1473" spans="16:16">
      <c r="P1473"/>
    </row>
    <row r="1474" spans="16:16">
      <c r="P1474"/>
    </row>
    <row r="1475" spans="16:16">
      <c r="P1475"/>
    </row>
    <row r="1476" spans="16:16">
      <c r="P1476"/>
    </row>
    <row r="1477" spans="16:16">
      <c r="P1477"/>
    </row>
    <row r="1478" spans="16:16">
      <c r="P1478"/>
    </row>
    <row r="1479" spans="16:16">
      <c r="P1479"/>
    </row>
    <row r="1480" spans="16:16">
      <c r="P1480"/>
    </row>
    <row r="1481" spans="16:16">
      <c r="P1481"/>
    </row>
    <row r="1482" spans="16:16">
      <c r="P1482"/>
    </row>
    <row r="1483" spans="16:16">
      <c r="P1483"/>
    </row>
    <row r="1484" spans="16:16">
      <c r="P1484"/>
    </row>
    <row r="1485" spans="16:16">
      <c r="P1485"/>
    </row>
    <row r="1486" spans="16:16">
      <c r="P1486"/>
    </row>
    <row r="1487" spans="16:16">
      <c r="P1487"/>
    </row>
    <row r="1488" spans="16:16">
      <c r="P1488"/>
    </row>
    <row r="1489" spans="16:16">
      <c r="P1489"/>
    </row>
    <row r="1490" spans="16:16">
      <c r="P1490"/>
    </row>
    <row r="1491" spans="16:16">
      <c r="P1491"/>
    </row>
    <row r="1492" spans="16:16">
      <c r="P1492"/>
    </row>
    <row r="1493" spans="16:16">
      <c r="P1493"/>
    </row>
    <row r="1494" spans="16:16">
      <c r="P1494"/>
    </row>
    <row r="1495" spans="16:16">
      <c r="P1495"/>
    </row>
    <row r="1496" spans="16:16">
      <c r="P1496"/>
    </row>
    <row r="1497" spans="16:16">
      <c r="P1497"/>
    </row>
    <row r="1498" spans="16:16">
      <c r="P1498"/>
    </row>
    <row r="1499" spans="16:16">
      <c r="P1499"/>
    </row>
    <row r="1500" spans="16:16">
      <c r="P1500"/>
    </row>
    <row r="1501" spans="16:16">
      <c r="P1501"/>
    </row>
    <row r="1502" spans="16:16">
      <c r="P1502"/>
    </row>
    <row r="1503" spans="16:16">
      <c r="P1503"/>
    </row>
    <row r="1504" spans="16:16">
      <c r="P1504"/>
    </row>
    <row r="1505" spans="16:16">
      <c r="P1505"/>
    </row>
    <row r="1506" spans="16:16">
      <c r="P1506"/>
    </row>
    <row r="1507" spans="16:16">
      <c r="P1507"/>
    </row>
    <row r="1508" spans="16:16">
      <c r="P1508"/>
    </row>
    <row r="1509" spans="16:16">
      <c r="P1509"/>
    </row>
    <row r="1510" spans="16:16">
      <c r="P1510"/>
    </row>
    <row r="1511" spans="16:16">
      <c r="P1511"/>
    </row>
    <row r="1512" spans="16:16">
      <c r="P1512"/>
    </row>
    <row r="1513" spans="16:16">
      <c r="P1513"/>
    </row>
    <row r="1514" spans="16:16">
      <c r="P1514"/>
    </row>
    <row r="1515" spans="16:16">
      <c r="P1515"/>
    </row>
    <row r="1516" spans="16:16">
      <c r="P1516"/>
    </row>
    <row r="1517" spans="16:16">
      <c r="P1517"/>
    </row>
    <row r="1518" spans="16:16">
      <c r="P1518"/>
    </row>
    <row r="1519" spans="16:16">
      <c r="P1519"/>
    </row>
    <row r="1520" spans="16:16">
      <c r="P1520"/>
    </row>
    <row r="1521" spans="16:16">
      <c r="P1521"/>
    </row>
    <row r="1522" spans="16:16">
      <c r="P1522"/>
    </row>
    <row r="1523" spans="16:16">
      <c r="P1523"/>
    </row>
    <row r="1524" spans="16:16">
      <c r="P1524"/>
    </row>
    <row r="1525" spans="16:16">
      <c r="P1525"/>
    </row>
    <row r="1526" spans="16:16">
      <c r="P1526"/>
    </row>
    <row r="1527" spans="16:16">
      <c r="P1527"/>
    </row>
    <row r="1528" spans="16:16">
      <c r="P1528"/>
    </row>
    <row r="1529" spans="16:16">
      <c r="P1529"/>
    </row>
    <row r="1530" spans="16:16">
      <c r="P1530"/>
    </row>
    <row r="1531" spans="16:16">
      <c r="P1531"/>
    </row>
    <row r="1532" spans="16:16">
      <c r="P1532"/>
    </row>
    <row r="1533" spans="16:16">
      <c r="P1533"/>
    </row>
    <row r="1534" spans="16:16">
      <c r="P1534"/>
    </row>
    <row r="1535" spans="16:16">
      <c r="P1535"/>
    </row>
    <row r="1536" spans="16:16">
      <c r="P1536"/>
    </row>
    <row r="1537" spans="16:16">
      <c r="P1537"/>
    </row>
    <row r="1538" spans="16:16">
      <c r="P1538"/>
    </row>
    <row r="1539" spans="16:16">
      <c r="P1539"/>
    </row>
    <row r="1540" spans="16:16">
      <c r="P1540"/>
    </row>
    <row r="1541" spans="16:16">
      <c r="P1541"/>
    </row>
    <row r="1542" spans="16:16">
      <c r="P1542"/>
    </row>
    <row r="1543" spans="16:16">
      <c r="P1543"/>
    </row>
    <row r="1544" spans="16:16">
      <c r="P1544"/>
    </row>
    <row r="1545" spans="16:16">
      <c r="P1545"/>
    </row>
    <row r="1546" spans="16:16">
      <c r="P1546"/>
    </row>
    <row r="1547" spans="16:16">
      <c r="P1547"/>
    </row>
    <row r="1548" spans="16:16">
      <c r="P1548"/>
    </row>
    <row r="1549" spans="16:16">
      <c r="P1549"/>
    </row>
    <row r="1550" spans="16:16">
      <c r="P1550"/>
    </row>
    <row r="1551" spans="16:16">
      <c r="P1551"/>
    </row>
    <row r="1552" spans="16:16">
      <c r="P1552"/>
    </row>
    <row r="1553" spans="16:16">
      <c r="P1553"/>
    </row>
    <row r="1554" spans="16:16">
      <c r="P1554"/>
    </row>
    <row r="1555" spans="16:16">
      <c r="P1555"/>
    </row>
    <row r="1556" spans="16:16">
      <c r="P1556"/>
    </row>
    <row r="1557" spans="16:16">
      <c r="P1557"/>
    </row>
    <row r="1558" spans="16:16">
      <c r="P1558"/>
    </row>
    <row r="1559" spans="16:16">
      <c r="P1559"/>
    </row>
    <row r="1560" spans="16:16">
      <c r="P1560"/>
    </row>
    <row r="1561" spans="16:16">
      <c r="P1561"/>
    </row>
    <row r="1562" spans="16:16">
      <c r="P1562"/>
    </row>
    <row r="1563" spans="16:16">
      <c r="P1563"/>
    </row>
    <row r="1564" spans="16:16">
      <c r="P1564"/>
    </row>
    <row r="1565" spans="16:16">
      <c r="P1565"/>
    </row>
    <row r="1566" spans="16:16">
      <c r="P1566"/>
    </row>
    <row r="1567" spans="16:16">
      <c r="P1567"/>
    </row>
    <row r="1568" spans="16:16">
      <c r="P1568"/>
    </row>
    <row r="1569" spans="16:16">
      <c r="P1569"/>
    </row>
    <row r="1570" spans="16:16">
      <c r="P1570"/>
    </row>
    <row r="1571" spans="16:16">
      <c r="P1571"/>
    </row>
    <row r="1572" spans="16:16">
      <c r="P1572"/>
    </row>
    <row r="1573" spans="16:16">
      <c r="P1573"/>
    </row>
    <row r="1574" spans="16:16">
      <c r="P1574"/>
    </row>
    <row r="1575" spans="16:16">
      <c r="P1575"/>
    </row>
    <row r="1576" spans="16:16">
      <c r="P1576"/>
    </row>
    <row r="1577" spans="16:16">
      <c r="P1577"/>
    </row>
    <row r="1578" spans="16:16">
      <c r="P1578"/>
    </row>
    <row r="1579" spans="16:16">
      <c r="P1579"/>
    </row>
    <row r="1580" spans="16:16">
      <c r="P1580"/>
    </row>
    <row r="1581" spans="16:16">
      <c r="P1581"/>
    </row>
    <row r="1582" spans="16:16">
      <c r="P1582"/>
    </row>
    <row r="1583" spans="16:16">
      <c r="P1583"/>
    </row>
    <row r="1584" spans="16:16">
      <c r="P1584"/>
    </row>
    <row r="1585" spans="16:16">
      <c r="P1585"/>
    </row>
    <row r="1586" spans="16:16">
      <c r="P1586"/>
    </row>
    <row r="1587" spans="16:16">
      <c r="P1587"/>
    </row>
    <row r="1588" spans="16:16">
      <c r="P1588"/>
    </row>
    <row r="1589" spans="16:16">
      <c r="P1589"/>
    </row>
    <row r="1590" spans="16:16">
      <c r="P1590"/>
    </row>
    <row r="1591" spans="16:16">
      <c r="P1591"/>
    </row>
    <row r="1592" spans="16:16">
      <c r="P1592"/>
    </row>
    <row r="1593" spans="16:16">
      <c r="P1593"/>
    </row>
    <row r="1594" spans="16:16">
      <c r="P1594"/>
    </row>
    <row r="1595" spans="16:16">
      <c r="P1595"/>
    </row>
    <row r="1596" spans="16:16">
      <c r="P1596"/>
    </row>
    <row r="1597" spans="16:16">
      <c r="P1597"/>
    </row>
    <row r="1598" spans="16:16">
      <c r="P1598"/>
    </row>
    <row r="1599" spans="16:16">
      <c r="P1599"/>
    </row>
    <row r="1600" spans="16:16">
      <c r="P1600"/>
    </row>
    <row r="1601" spans="16:16">
      <c r="P1601"/>
    </row>
    <row r="1602" spans="16:16">
      <c r="P1602"/>
    </row>
    <row r="1603" spans="16:16">
      <c r="P1603"/>
    </row>
    <row r="1604" spans="16:16">
      <c r="P1604"/>
    </row>
    <row r="1605" spans="16:16">
      <c r="P1605"/>
    </row>
    <row r="1606" spans="16:16">
      <c r="P1606"/>
    </row>
    <row r="1607" spans="16:16">
      <c r="P1607"/>
    </row>
    <row r="1608" spans="16:16">
      <c r="P1608"/>
    </row>
    <row r="1609" spans="16:16">
      <c r="P1609"/>
    </row>
    <row r="1610" spans="16:16">
      <c r="P1610"/>
    </row>
    <row r="1611" spans="16:16">
      <c r="P1611"/>
    </row>
    <row r="1612" spans="16:16">
      <c r="P1612"/>
    </row>
    <row r="1613" spans="16:16">
      <c r="P1613"/>
    </row>
    <row r="1614" spans="16:16">
      <c r="P1614"/>
    </row>
    <row r="1615" spans="16:16">
      <c r="P1615"/>
    </row>
    <row r="1616" spans="16:16">
      <c r="P1616"/>
    </row>
    <row r="1617" spans="16:16">
      <c r="P1617"/>
    </row>
    <row r="1618" spans="16:16">
      <c r="P1618"/>
    </row>
    <row r="1619" spans="16:16">
      <c r="P1619"/>
    </row>
    <row r="1620" spans="16:16">
      <c r="P1620"/>
    </row>
    <row r="1621" spans="16:16">
      <c r="P1621"/>
    </row>
    <row r="1622" spans="16:16">
      <c r="P1622"/>
    </row>
    <row r="1623" spans="16:16">
      <c r="P1623"/>
    </row>
    <row r="1624" spans="16:16">
      <c r="P1624"/>
    </row>
    <row r="1625" spans="16:16">
      <c r="P1625"/>
    </row>
    <row r="1626" spans="16:16">
      <c r="P1626"/>
    </row>
    <row r="1627" spans="16:16">
      <c r="P1627"/>
    </row>
    <row r="1628" spans="16:16">
      <c r="P1628"/>
    </row>
    <row r="1629" spans="16:16">
      <c r="P1629"/>
    </row>
    <row r="1630" spans="16:16">
      <c r="P1630"/>
    </row>
    <row r="1631" spans="16:16">
      <c r="P1631"/>
    </row>
    <row r="1632" spans="16:16">
      <c r="P1632"/>
    </row>
    <row r="1633" spans="16:16">
      <c r="P1633"/>
    </row>
    <row r="1634" spans="16:16">
      <c r="P1634"/>
    </row>
    <row r="1635" spans="16:16">
      <c r="P1635"/>
    </row>
    <row r="1636" spans="16:16">
      <c r="P1636"/>
    </row>
    <row r="1637" spans="16:16">
      <c r="P1637"/>
    </row>
    <row r="1638" spans="16:16">
      <c r="P1638"/>
    </row>
    <row r="1639" spans="16:16">
      <c r="P1639"/>
    </row>
    <row r="1640" spans="16:16">
      <c r="P1640"/>
    </row>
    <row r="1641" spans="16:16">
      <c r="P1641"/>
    </row>
    <row r="1642" spans="16:16">
      <c r="P1642"/>
    </row>
    <row r="1643" spans="16:16">
      <c r="P1643"/>
    </row>
    <row r="1644" spans="16:16">
      <c r="P1644"/>
    </row>
    <row r="1645" spans="16:16">
      <c r="P1645"/>
    </row>
    <row r="1646" spans="16:16">
      <c r="P1646"/>
    </row>
    <row r="1647" spans="16:16">
      <c r="P1647"/>
    </row>
    <row r="1648" spans="16:16">
      <c r="P1648"/>
    </row>
    <row r="1649" spans="16:16">
      <c r="P1649"/>
    </row>
    <row r="1650" spans="16:16">
      <c r="P1650"/>
    </row>
    <row r="1651" spans="16:16">
      <c r="P1651"/>
    </row>
    <row r="1652" spans="16:16">
      <c r="P1652"/>
    </row>
    <row r="1653" spans="16:16">
      <c r="P1653"/>
    </row>
    <row r="1654" spans="16:16">
      <c r="P1654"/>
    </row>
    <row r="1655" spans="16:16">
      <c r="P1655"/>
    </row>
    <row r="1656" spans="16:16">
      <c r="P1656"/>
    </row>
    <row r="1657" spans="16:16">
      <c r="P1657"/>
    </row>
    <row r="1658" spans="16:16">
      <c r="P1658"/>
    </row>
    <row r="1659" spans="16:16">
      <c r="P1659"/>
    </row>
    <row r="1660" spans="16:16">
      <c r="P1660"/>
    </row>
    <row r="1661" spans="16:16">
      <c r="P1661"/>
    </row>
    <row r="1662" spans="16:16">
      <c r="P1662"/>
    </row>
    <row r="1663" spans="16:16">
      <c r="P1663"/>
    </row>
    <row r="1664" spans="16:16">
      <c r="P1664"/>
    </row>
    <row r="1665" spans="16:16">
      <c r="P1665"/>
    </row>
    <row r="1666" spans="16:16">
      <c r="P1666"/>
    </row>
    <row r="1667" spans="16:16">
      <c r="P1667"/>
    </row>
    <row r="1668" spans="16:16">
      <c r="P1668"/>
    </row>
    <row r="1669" spans="16:16">
      <c r="P1669"/>
    </row>
    <row r="1670" spans="16:16">
      <c r="P1670"/>
    </row>
    <row r="1671" spans="16:16">
      <c r="P1671"/>
    </row>
    <row r="1672" spans="16:16">
      <c r="P1672"/>
    </row>
    <row r="1673" spans="16:16">
      <c r="P1673"/>
    </row>
    <row r="1674" spans="16:16">
      <c r="P1674"/>
    </row>
    <row r="1675" spans="16:16">
      <c r="P1675"/>
    </row>
    <row r="1676" spans="16:16">
      <c r="P1676"/>
    </row>
    <row r="1677" spans="16:16">
      <c r="P1677"/>
    </row>
    <row r="1678" spans="16:16">
      <c r="P1678"/>
    </row>
    <row r="1679" spans="16:16">
      <c r="P1679"/>
    </row>
    <row r="1680" spans="16:16">
      <c r="P1680"/>
    </row>
    <row r="1681" spans="16:16">
      <c r="P1681"/>
    </row>
    <row r="1682" spans="16:16">
      <c r="P1682"/>
    </row>
    <row r="1683" spans="16:16">
      <c r="P1683"/>
    </row>
    <row r="1684" spans="16:16">
      <c r="P1684"/>
    </row>
    <row r="1685" spans="16:16">
      <c r="P1685"/>
    </row>
    <row r="1686" spans="16:16">
      <c r="P1686"/>
    </row>
    <row r="1687" spans="16:16">
      <c r="P1687"/>
    </row>
    <row r="1688" spans="16:16">
      <c r="P1688"/>
    </row>
    <row r="1689" spans="16:16">
      <c r="P1689"/>
    </row>
    <row r="1690" spans="16:16">
      <c r="P1690"/>
    </row>
    <row r="1691" spans="16:16">
      <c r="P1691"/>
    </row>
    <row r="1692" spans="16:16">
      <c r="P1692"/>
    </row>
    <row r="1693" spans="16:16">
      <c r="P1693"/>
    </row>
    <row r="1694" spans="16:16">
      <c r="P1694"/>
    </row>
    <row r="1695" spans="16:16">
      <c r="P1695"/>
    </row>
    <row r="1696" spans="16:16">
      <c r="P1696"/>
    </row>
    <row r="1697" spans="16:16">
      <c r="P1697"/>
    </row>
    <row r="1698" spans="16:16">
      <c r="P1698"/>
    </row>
    <row r="1699" spans="16:16">
      <c r="P1699"/>
    </row>
    <row r="1700" spans="16:16">
      <c r="P1700"/>
    </row>
    <row r="1701" spans="16:16">
      <c r="P1701"/>
    </row>
    <row r="1702" spans="16:16">
      <c r="P1702"/>
    </row>
    <row r="1703" spans="16:16">
      <c r="P1703"/>
    </row>
    <row r="1704" spans="16:16">
      <c r="P1704"/>
    </row>
    <row r="1705" spans="16:16">
      <c r="P1705"/>
    </row>
    <row r="1706" spans="16:16">
      <c r="P1706"/>
    </row>
    <row r="1707" spans="16:16">
      <c r="P1707"/>
    </row>
    <row r="1708" spans="16:16">
      <c r="P1708"/>
    </row>
    <row r="1709" spans="16:16">
      <c r="P1709"/>
    </row>
    <row r="1710" spans="16:16">
      <c r="P1710"/>
    </row>
    <row r="1711" spans="16:16">
      <c r="P1711"/>
    </row>
    <row r="1712" spans="16:16">
      <c r="P1712"/>
    </row>
    <row r="1713" spans="16:16">
      <c r="P1713"/>
    </row>
    <row r="1714" spans="16:16">
      <c r="P1714"/>
    </row>
    <row r="1715" spans="16:16">
      <c r="P1715"/>
    </row>
    <row r="1716" spans="16:16">
      <c r="P1716"/>
    </row>
    <row r="1717" spans="16:16">
      <c r="P1717"/>
    </row>
    <row r="1718" spans="16:16">
      <c r="P1718"/>
    </row>
    <row r="1719" spans="16:16">
      <c r="P1719"/>
    </row>
    <row r="1720" spans="16:16">
      <c r="P1720"/>
    </row>
    <row r="1721" spans="16:16">
      <c r="P1721"/>
    </row>
    <row r="1722" spans="16:16">
      <c r="P1722"/>
    </row>
    <row r="1723" spans="16:16">
      <c r="P1723"/>
    </row>
    <row r="1724" spans="16:16">
      <c r="P1724"/>
    </row>
    <row r="1725" spans="16:16">
      <c r="P1725"/>
    </row>
    <row r="1726" spans="16:16">
      <c r="P1726"/>
    </row>
    <row r="1727" spans="16:16">
      <c r="P1727"/>
    </row>
    <row r="1728" spans="16:16">
      <c r="P1728"/>
    </row>
    <row r="1729" spans="16:16">
      <c r="P1729"/>
    </row>
    <row r="1730" spans="16:16">
      <c r="P1730"/>
    </row>
    <row r="1731" spans="16:16">
      <c r="P1731"/>
    </row>
    <row r="1732" spans="16:16">
      <c r="P1732"/>
    </row>
    <row r="1733" spans="16:16">
      <c r="P1733"/>
    </row>
    <row r="1734" spans="16:16">
      <c r="P1734"/>
    </row>
    <row r="1735" spans="16:16">
      <c r="P1735"/>
    </row>
    <row r="1736" spans="16:16">
      <c r="P1736"/>
    </row>
    <row r="1737" spans="16:16">
      <c r="P1737"/>
    </row>
    <row r="1738" spans="16:16">
      <c r="P1738"/>
    </row>
    <row r="1739" spans="16:16">
      <c r="P1739"/>
    </row>
    <row r="1740" spans="16:16">
      <c r="P1740"/>
    </row>
    <row r="1741" spans="16:16">
      <c r="P1741"/>
    </row>
    <row r="1742" spans="16:16">
      <c r="P1742"/>
    </row>
    <row r="1743" spans="16:16">
      <c r="P1743"/>
    </row>
    <row r="1744" spans="16:16">
      <c r="P1744"/>
    </row>
    <row r="1745" spans="16:16">
      <c r="P1745"/>
    </row>
    <row r="1746" spans="16:16">
      <c r="P1746"/>
    </row>
    <row r="1747" spans="16:16">
      <c r="P1747"/>
    </row>
    <row r="1748" spans="16:16">
      <c r="P1748"/>
    </row>
    <row r="1749" spans="16:16">
      <c r="P1749"/>
    </row>
    <row r="1750" spans="16:16">
      <c r="P1750"/>
    </row>
    <row r="1751" spans="16:16">
      <c r="P1751"/>
    </row>
    <row r="1752" spans="16:16">
      <c r="P1752"/>
    </row>
    <row r="1753" spans="16:16">
      <c r="P1753"/>
    </row>
    <row r="1754" spans="16:16">
      <c r="P1754"/>
    </row>
    <row r="1755" spans="16:16">
      <c r="P1755"/>
    </row>
    <row r="1756" spans="16:16">
      <c r="P1756"/>
    </row>
    <row r="1757" spans="16:16">
      <c r="P1757"/>
    </row>
    <row r="1758" spans="16:16">
      <c r="P1758"/>
    </row>
    <row r="1759" spans="16:16">
      <c r="P1759"/>
    </row>
    <row r="1760" spans="16:16">
      <c r="P1760"/>
    </row>
    <row r="1761" spans="16:16">
      <c r="P1761"/>
    </row>
    <row r="1762" spans="16:16">
      <c r="P1762"/>
    </row>
    <row r="1763" spans="16:16">
      <c r="P1763"/>
    </row>
    <row r="1764" spans="16:16">
      <c r="P1764"/>
    </row>
    <row r="1765" spans="16:16">
      <c r="P1765"/>
    </row>
    <row r="1766" spans="16:16">
      <c r="P1766"/>
    </row>
    <row r="1767" spans="16:16">
      <c r="P1767"/>
    </row>
    <row r="1768" spans="16:16">
      <c r="P1768"/>
    </row>
    <row r="1769" spans="16:16">
      <c r="P1769"/>
    </row>
    <row r="1770" spans="16:16">
      <c r="P1770"/>
    </row>
    <row r="1771" spans="16:16">
      <c r="P1771"/>
    </row>
    <row r="1772" spans="16:16">
      <c r="P1772"/>
    </row>
    <row r="1773" spans="16:16">
      <c r="P1773"/>
    </row>
    <row r="1774" spans="16:16">
      <c r="P1774"/>
    </row>
    <row r="1775" spans="16:16">
      <c r="P1775"/>
    </row>
    <row r="1776" spans="16:16">
      <c r="P1776"/>
    </row>
    <row r="1777" spans="16:16">
      <c r="P1777"/>
    </row>
    <row r="1778" spans="16:16">
      <c r="P1778"/>
    </row>
    <row r="1779" spans="16:16">
      <c r="P1779"/>
    </row>
    <row r="1780" spans="16:16">
      <c r="P1780"/>
    </row>
    <row r="1781" spans="16:16">
      <c r="P1781"/>
    </row>
    <row r="1782" spans="16:16">
      <c r="P1782"/>
    </row>
    <row r="1783" spans="16:16">
      <c r="P1783"/>
    </row>
    <row r="1784" spans="16:16">
      <c r="P1784"/>
    </row>
    <row r="1785" spans="16:16">
      <c r="P1785"/>
    </row>
    <row r="1786" spans="16:16">
      <c r="P1786"/>
    </row>
    <row r="1787" spans="16:16">
      <c r="P1787"/>
    </row>
    <row r="1788" spans="16:16">
      <c r="P1788"/>
    </row>
    <row r="1789" spans="16:16">
      <c r="P1789"/>
    </row>
    <row r="1790" spans="16:16">
      <c r="P1790"/>
    </row>
    <row r="1791" spans="16:16">
      <c r="P1791"/>
    </row>
    <row r="1792" spans="16:16">
      <c r="P1792"/>
    </row>
    <row r="1793" spans="16:16">
      <c r="P1793"/>
    </row>
    <row r="1794" spans="16:16">
      <c r="P1794"/>
    </row>
    <row r="1795" spans="16:16">
      <c r="P1795"/>
    </row>
    <row r="1796" spans="16:16">
      <c r="P1796"/>
    </row>
    <row r="1797" spans="16:16">
      <c r="P1797"/>
    </row>
    <row r="1798" spans="16:16">
      <c r="P1798"/>
    </row>
    <row r="1799" spans="16:16">
      <c r="P1799"/>
    </row>
    <row r="1800" spans="16:16">
      <c r="P1800"/>
    </row>
    <row r="1801" spans="16:16">
      <c r="P1801"/>
    </row>
    <row r="1802" spans="16:16">
      <c r="P1802"/>
    </row>
    <row r="1803" spans="16:16">
      <c r="P1803"/>
    </row>
    <row r="1804" spans="16:16">
      <c r="P1804"/>
    </row>
    <row r="1805" spans="16:16">
      <c r="P1805"/>
    </row>
    <row r="1806" spans="16:16">
      <c r="P1806"/>
    </row>
    <row r="1807" spans="16:16">
      <c r="P1807"/>
    </row>
    <row r="1808" spans="16:16">
      <c r="P1808"/>
    </row>
    <row r="1809" spans="16:16">
      <c r="P1809"/>
    </row>
    <row r="1810" spans="16:16">
      <c r="P1810"/>
    </row>
    <row r="1811" spans="16:16">
      <c r="P1811"/>
    </row>
    <row r="1812" spans="16:16">
      <c r="P1812"/>
    </row>
    <row r="1813" spans="16:16">
      <c r="P1813"/>
    </row>
    <row r="1814" spans="16:16">
      <c r="P1814"/>
    </row>
    <row r="1815" spans="16:16">
      <c r="P1815"/>
    </row>
    <row r="1816" spans="16:16">
      <c r="P1816"/>
    </row>
    <row r="1817" spans="16:16">
      <c r="P1817"/>
    </row>
    <row r="1818" spans="16:16">
      <c r="P1818"/>
    </row>
    <row r="1819" spans="16:16">
      <c r="P1819"/>
    </row>
    <row r="1820" spans="16:16">
      <c r="P1820"/>
    </row>
    <row r="1821" spans="16:16">
      <c r="P1821"/>
    </row>
    <row r="1822" spans="16:16">
      <c r="P1822"/>
    </row>
    <row r="1823" spans="16:16">
      <c r="P1823"/>
    </row>
    <row r="1824" spans="16:16">
      <c r="P1824"/>
    </row>
    <row r="1825" spans="16:16">
      <c r="P1825"/>
    </row>
    <row r="1826" spans="16:16">
      <c r="P1826"/>
    </row>
    <row r="1827" spans="16:16">
      <c r="P1827"/>
    </row>
    <row r="1828" spans="16:16">
      <c r="P1828"/>
    </row>
    <row r="1829" spans="16:16">
      <c r="P1829"/>
    </row>
    <row r="1830" spans="16:16">
      <c r="P1830"/>
    </row>
    <row r="1831" spans="16:16">
      <c r="P1831"/>
    </row>
    <row r="1832" spans="16:16">
      <c r="P1832"/>
    </row>
    <row r="1833" spans="16:16">
      <c r="P1833"/>
    </row>
    <row r="1834" spans="16:16">
      <c r="P1834"/>
    </row>
    <row r="1835" spans="16:16">
      <c r="P1835"/>
    </row>
    <row r="1836" spans="16:16">
      <c r="P1836"/>
    </row>
    <row r="1837" spans="16:16">
      <c r="P1837"/>
    </row>
    <row r="1838" spans="16:16">
      <c r="P1838"/>
    </row>
    <row r="1839" spans="16:16">
      <c r="P1839"/>
    </row>
    <row r="1840" spans="16:16">
      <c r="P1840"/>
    </row>
    <row r="1841" spans="16:16">
      <c r="P1841"/>
    </row>
    <row r="1842" spans="16:16">
      <c r="P1842"/>
    </row>
    <row r="1843" spans="16:16">
      <c r="P1843"/>
    </row>
    <row r="1844" spans="16:16">
      <c r="P1844"/>
    </row>
    <row r="1845" spans="16:16">
      <c r="P1845"/>
    </row>
    <row r="1846" spans="16:16">
      <c r="P1846"/>
    </row>
    <row r="1847" spans="16:16">
      <c r="P1847"/>
    </row>
    <row r="1848" spans="16:16">
      <c r="P1848"/>
    </row>
    <row r="1849" spans="16:16">
      <c r="P1849"/>
    </row>
    <row r="1850" spans="16:16">
      <c r="P1850"/>
    </row>
    <row r="1851" spans="16:16">
      <c r="P1851"/>
    </row>
    <row r="1852" spans="16:16">
      <c r="P1852"/>
    </row>
    <row r="1853" spans="16:16">
      <c r="P1853"/>
    </row>
    <row r="1854" spans="16:16">
      <c r="P1854"/>
    </row>
    <row r="1855" spans="16:16">
      <c r="P1855"/>
    </row>
    <row r="1856" spans="16:16">
      <c r="P1856"/>
    </row>
    <row r="1857" spans="16:16">
      <c r="P1857"/>
    </row>
    <row r="1858" spans="16:16">
      <c r="P1858"/>
    </row>
    <row r="1859" spans="16:16">
      <c r="P1859"/>
    </row>
    <row r="1860" spans="16:16">
      <c r="P1860"/>
    </row>
    <row r="1861" spans="16:16">
      <c r="P1861"/>
    </row>
    <row r="1862" spans="16:16">
      <c r="P1862"/>
    </row>
    <row r="1863" spans="16:16">
      <c r="P1863"/>
    </row>
    <row r="1864" spans="16:16">
      <c r="P1864"/>
    </row>
    <row r="1865" spans="16:16">
      <c r="P1865"/>
    </row>
    <row r="1866" spans="16:16">
      <c r="P1866"/>
    </row>
    <row r="1867" spans="16:16">
      <c r="P1867"/>
    </row>
    <row r="1868" spans="16:16">
      <c r="P1868"/>
    </row>
    <row r="1869" spans="16:16">
      <c r="P1869"/>
    </row>
    <row r="1870" spans="16:16">
      <c r="P1870"/>
    </row>
    <row r="1871" spans="16:16">
      <c r="P1871"/>
    </row>
    <row r="1872" spans="16:16">
      <c r="P1872"/>
    </row>
    <row r="1873" spans="16:16">
      <c r="P1873"/>
    </row>
    <row r="1874" spans="16:16">
      <c r="P1874"/>
    </row>
    <row r="1875" spans="16:16">
      <c r="P1875"/>
    </row>
    <row r="1876" spans="16:16">
      <c r="P1876"/>
    </row>
    <row r="1877" spans="16:16">
      <c r="P1877"/>
    </row>
    <row r="1878" spans="16:16">
      <c r="P1878"/>
    </row>
    <row r="1879" spans="16:16">
      <c r="P1879"/>
    </row>
    <row r="1880" spans="16:16">
      <c r="P1880"/>
    </row>
    <row r="1881" spans="16:16">
      <c r="P1881"/>
    </row>
    <row r="1882" spans="16:16">
      <c r="P1882"/>
    </row>
    <row r="1883" spans="16:16">
      <c r="P1883"/>
    </row>
    <row r="1884" spans="16:16">
      <c r="P1884"/>
    </row>
    <row r="1885" spans="16:16">
      <c r="P1885"/>
    </row>
    <row r="1886" spans="16:16">
      <c r="P1886"/>
    </row>
    <row r="1887" spans="16:16">
      <c r="P1887"/>
    </row>
    <row r="1888" spans="16:16">
      <c r="P1888"/>
    </row>
    <row r="1889" spans="16:16">
      <c r="P1889"/>
    </row>
    <row r="1890" spans="16:16">
      <c r="P1890"/>
    </row>
    <row r="1891" spans="16:16">
      <c r="P1891"/>
    </row>
    <row r="1892" spans="16:16">
      <c r="P1892"/>
    </row>
    <row r="1893" spans="16:16">
      <c r="P1893"/>
    </row>
    <row r="1894" spans="16:16">
      <c r="P1894"/>
    </row>
    <row r="1895" spans="16:16">
      <c r="P1895"/>
    </row>
    <row r="1896" spans="16:16">
      <c r="P1896"/>
    </row>
    <row r="1897" spans="16:16">
      <c r="P1897"/>
    </row>
    <row r="1898" spans="16:16">
      <c r="P1898"/>
    </row>
    <row r="1899" spans="16:16">
      <c r="P1899"/>
    </row>
    <row r="1900" spans="16:16">
      <c r="P1900"/>
    </row>
    <row r="1901" spans="16:16">
      <c r="P1901"/>
    </row>
    <row r="1902" spans="16:16">
      <c r="P1902"/>
    </row>
    <row r="1903" spans="16:16">
      <c r="P1903"/>
    </row>
    <row r="1904" spans="16:16">
      <c r="P1904"/>
    </row>
    <row r="1905" spans="16:16">
      <c r="P1905"/>
    </row>
    <row r="1906" spans="16:16">
      <c r="P1906"/>
    </row>
    <row r="1907" spans="16:16">
      <c r="P1907"/>
    </row>
    <row r="1908" spans="16:16">
      <c r="P1908"/>
    </row>
    <row r="1909" spans="16:16">
      <c r="P1909"/>
    </row>
    <row r="1910" spans="16:16">
      <c r="P1910"/>
    </row>
    <row r="1911" spans="16:16">
      <c r="P1911"/>
    </row>
    <row r="1912" spans="16:16">
      <c r="P1912"/>
    </row>
    <row r="1913" spans="16:16">
      <c r="P1913"/>
    </row>
    <row r="1914" spans="16:16">
      <c r="P1914"/>
    </row>
    <row r="1915" spans="16:16">
      <c r="P1915"/>
    </row>
    <row r="1916" spans="16:16">
      <c r="P1916"/>
    </row>
    <row r="1917" spans="16:16">
      <c r="P1917"/>
    </row>
    <row r="1918" spans="16:16">
      <c r="P1918"/>
    </row>
    <row r="1919" spans="16:16">
      <c r="P1919"/>
    </row>
    <row r="1920" spans="16:16">
      <c r="P1920"/>
    </row>
    <row r="1921" spans="16:16">
      <c r="P1921"/>
    </row>
    <row r="1922" spans="16:16">
      <c r="P1922"/>
    </row>
    <row r="1923" spans="16:16">
      <c r="P1923"/>
    </row>
    <row r="1924" spans="16:16">
      <c r="P1924"/>
    </row>
    <row r="1925" spans="16:16">
      <c r="P1925"/>
    </row>
    <row r="1926" spans="16:16">
      <c r="P1926"/>
    </row>
    <row r="1927" spans="16:16">
      <c r="P1927"/>
    </row>
    <row r="1928" spans="16:16">
      <c r="P1928"/>
    </row>
    <row r="1929" spans="16:16">
      <c r="P1929"/>
    </row>
    <row r="1930" spans="16:16">
      <c r="P1930"/>
    </row>
    <row r="1931" spans="16:16">
      <c r="P1931"/>
    </row>
    <row r="1932" spans="16:16">
      <c r="P1932"/>
    </row>
    <row r="1933" spans="16:16">
      <c r="P1933"/>
    </row>
    <row r="1934" spans="16:16">
      <c r="P1934"/>
    </row>
    <row r="1935" spans="16:16">
      <c r="P1935"/>
    </row>
    <row r="1936" spans="16:16">
      <c r="P1936"/>
    </row>
    <row r="1937" spans="16:16">
      <c r="P1937"/>
    </row>
    <row r="1938" spans="16:16">
      <c r="P1938"/>
    </row>
    <row r="1939" spans="16:16">
      <c r="P1939"/>
    </row>
    <row r="1940" spans="16:16">
      <c r="P1940"/>
    </row>
    <row r="1941" spans="16:16">
      <c r="P1941"/>
    </row>
    <row r="1942" spans="16:16">
      <c r="P1942"/>
    </row>
    <row r="1943" spans="16:16">
      <c r="P1943"/>
    </row>
    <row r="1944" spans="16:16">
      <c r="P1944"/>
    </row>
    <row r="1945" spans="16:16">
      <c r="P1945"/>
    </row>
    <row r="1946" spans="16:16">
      <c r="P1946"/>
    </row>
    <row r="1947" spans="16:16">
      <c r="P1947"/>
    </row>
    <row r="1948" spans="16:16">
      <c r="P1948"/>
    </row>
    <row r="1949" spans="16:16">
      <c r="P1949"/>
    </row>
    <row r="1950" spans="16:16">
      <c r="P1950"/>
    </row>
    <row r="1951" spans="16:16">
      <c r="P1951"/>
    </row>
    <row r="1952" spans="16:16">
      <c r="P1952"/>
    </row>
    <row r="1953" spans="16:16">
      <c r="P1953"/>
    </row>
    <row r="1954" spans="16:16">
      <c r="P1954"/>
    </row>
    <row r="1955" spans="16:16">
      <c r="P1955"/>
    </row>
    <row r="1956" spans="16:16">
      <c r="P1956"/>
    </row>
    <row r="1957" spans="16:16">
      <c r="P1957"/>
    </row>
    <row r="1958" spans="16:16">
      <c r="P1958"/>
    </row>
    <row r="1959" spans="16:16">
      <c r="P1959"/>
    </row>
    <row r="1960" spans="16:16">
      <c r="P1960"/>
    </row>
    <row r="1961" spans="16:16">
      <c r="P1961"/>
    </row>
    <row r="1962" spans="16:16">
      <c r="P1962"/>
    </row>
    <row r="1963" spans="16:16">
      <c r="P1963"/>
    </row>
    <row r="1964" spans="16:16">
      <c r="P1964"/>
    </row>
    <row r="1965" spans="16:16">
      <c r="P1965"/>
    </row>
    <row r="1966" spans="16:16">
      <c r="P1966"/>
    </row>
    <row r="1967" spans="16:16">
      <c r="P1967"/>
    </row>
    <row r="1968" spans="16:16">
      <c r="P1968"/>
    </row>
    <row r="1969" spans="16:16">
      <c r="P1969"/>
    </row>
    <row r="1970" spans="16:16">
      <c r="P1970"/>
    </row>
    <row r="1971" spans="16:16">
      <c r="P1971"/>
    </row>
    <row r="1972" spans="16:16">
      <c r="P1972"/>
    </row>
    <row r="1973" spans="16:16">
      <c r="P1973"/>
    </row>
    <row r="1974" spans="16:16">
      <c r="P1974"/>
    </row>
    <row r="1975" spans="16:16">
      <c r="P1975"/>
    </row>
    <row r="1976" spans="16:16">
      <c r="P1976"/>
    </row>
    <row r="1977" spans="16:16">
      <c r="P1977"/>
    </row>
    <row r="1978" spans="16:16">
      <c r="P1978"/>
    </row>
    <row r="1979" spans="16:16">
      <c r="P1979"/>
    </row>
    <row r="1980" spans="16:16">
      <c r="P1980"/>
    </row>
    <row r="1981" spans="16:16">
      <c r="P1981"/>
    </row>
    <row r="1982" spans="16:16">
      <c r="P1982"/>
    </row>
    <row r="1983" spans="16:16">
      <c r="P1983"/>
    </row>
    <row r="1984" spans="16:16">
      <c r="P1984"/>
    </row>
    <row r="1985" spans="16:16">
      <c r="P1985"/>
    </row>
    <row r="1986" spans="16:16">
      <c r="P1986"/>
    </row>
    <row r="1987" spans="16:16">
      <c r="P1987"/>
    </row>
    <row r="1988" spans="16:16">
      <c r="P1988"/>
    </row>
    <row r="1989" spans="16:16">
      <c r="P1989"/>
    </row>
    <row r="1990" spans="16:16">
      <c r="P1990"/>
    </row>
    <row r="1991" spans="16:16">
      <c r="P1991"/>
    </row>
    <row r="1992" spans="16:16">
      <c r="P1992"/>
    </row>
    <row r="1993" spans="16:16">
      <c r="P1993"/>
    </row>
    <row r="1994" spans="16:16">
      <c r="P1994"/>
    </row>
    <row r="1995" spans="16:16">
      <c r="P1995"/>
    </row>
    <row r="1996" spans="16:16">
      <c r="P1996"/>
    </row>
    <row r="1997" spans="16:16">
      <c r="P1997"/>
    </row>
    <row r="1998" spans="16:16">
      <c r="P1998"/>
    </row>
    <row r="1999" spans="16:16">
      <c r="P1999"/>
    </row>
    <row r="2000" spans="16:16">
      <c r="P2000"/>
    </row>
    <row r="2001" spans="16:16">
      <c r="P2001"/>
    </row>
    <row r="2002" spans="16:16">
      <c r="P2002"/>
    </row>
    <row r="2003" spans="16:16">
      <c r="P2003"/>
    </row>
    <row r="2004" spans="16:16">
      <c r="P2004"/>
    </row>
    <row r="2005" spans="16:16">
      <c r="P2005"/>
    </row>
    <row r="2006" spans="16:16">
      <c r="P2006"/>
    </row>
    <row r="2007" spans="16:16">
      <c r="P2007"/>
    </row>
    <row r="2008" spans="16:16">
      <c r="P2008"/>
    </row>
    <row r="2009" spans="16:16">
      <c r="P2009"/>
    </row>
    <row r="2010" spans="16:16">
      <c r="P2010"/>
    </row>
    <row r="2011" spans="16:16">
      <c r="P2011"/>
    </row>
    <row r="2012" spans="16:16">
      <c r="P2012"/>
    </row>
    <row r="2013" spans="16:16">
      <c r="P2013"/>
    </row>
    <row r="2014" spans="16:16">
      <c r="P2014"/>
    </row>
    <row r="2015" spans="16:16">
      <c r="P2015"/>
    </row>
    <row r="2016" spans="16:16">
      <c r="P2016"/>
    </row>
    <row r="2017" spans="16:16">
      <c r="P2017"/>
    </row>
    <row r="2018" spans="16:16">
      <c r="P2018"/>
    </row>
    <row r="2019" spans="16:16">
      <c r="P2019"/>
    </row>
    <row r="2020" spans="16:16">
      <c r="P2020"/>
    </row>
    <row r="2021" spans="16:16">
      <c r="P2021"/>
    </row>
    <row r="2022" spans="16:16">
      <c r="P2022"/>
    </row>
    <row r="2023" spans="16:16">
      <c r="P2023"/>
    </row>
    <row r="2024" spans="16:16">
      <c r="P2024"/>
    </row>
    <row r="2025" spans="16:16">
      <c r="P2025"/>
    </row>
    <row r="2026" spans="16:16">
      <c r="P2026"/>
    </row>
    <row r="2027" spans="16:16">
      <c r="P2027"/>
    </row>
    <row r="2028" spans="16:16">
      <c r="P2028"/>
    </row>
    <row r="2029" spans="16:16">
      <c r="P2029"/>
    </row>
    <row r="2030" spans="16:16">
      <c r="P2030"/>
    </row>
    <row r="2031" spans="16:16">
      <c r="P2031"/>
    </row>
    <row r="2032" spans="16:16">
      <c r="P2032"/>
    </row>
    <row r="2033" spans="16:16">
      <c r="P2033"/>
    </row>
    <row r="2034" spans="16:16">
      <c r="P2034"/>
    </row>
    <row r="2035" spans="16:16">
      <c r="P2035"/>
    </row>
    <row r="2036" spans="16:16">
      <c r="P2036"/>
    </row>
    <row r="2037" spans="16:16">
      <c r="P2037"/>
    </row>
    <row r="2038" spans="16:16">
      <c r="P2038"/>
    </row>
    <row r="2039" spans="16:16">
      <c r="P2039"/>
    </row>
    <row r="2040" spans="16:16">
      <c r="P2040"/>
    </row>
    <row r="2041" spans="16:16">
      <c r="P2041"/>
    </row>
    <row r="2042" spans="16:16">
      <c r="P2042"/>
    </row>
    <row r="2043" spans="16:16">
      <c r="P2043"/>
    </row>
    <row r="2044" spans="16:16">
      <c r="P2044"/>
    </row>
    <row r="2045" spans="16:16">
      <c r="P2045"/>
    </row>
    <row r="2046" spans="16:16">
      <c r="P2046"/>
    </row>
    <row r="2047" spans="16:16">
      <c r="P2047"/>
    </row>
    <row r="2048" spans="16:16">
      <c r="P2048"/>
    </row>
    <row r="2049" spans="16:16">
      <c r="P2049"/>
    </row>
    <row r="2050" spans="16:16">
      <c r="P2050"/>
    </row>
    <row r="2051" spans="16:16">
      <c r="P2051"/>
    </row>
    <row r="2052" spans="16:16">
      <c r="P2052"/>
    </row>
    <row r="2053" spans="16:16">
      <c r="P2053"/>
    </row>
    <row r="2054" spans="16:16">
      <c r="P2054"/>
    </row>
    <row r="2055" spans="16:16">
      <c r="P2055"/>
    </row>
    <row r="2056" spans="16:16">
      <c r="P2056"/>
    </row>
    <row r="2057" spans="16:16">
      <c r="P2057"/>
    </row>
    <row r="2058" spans="16:16">
      <c r="P2058"/>
    </row>
    <row r="2059" spans="16:16">
      <c r="P2059"/>
    </row>
    <row r="2060" spans="16:16">
      <c r="P2060"/>
    </row>
    <row r="2061" spans="16:16">
      <c r="P2061"/>
    </row>
    <row r="2062" spans="16:16">
      <c r="P2062"/>
    </row>
    <row r="2063" spans="16:16">
      <c r="P2063"/>
    </row>
    <row r="2064" spans="16:16">
      <c r="P2064"/>
    </row>
    <row r="2065" spans="16:16">
      <c r="P2065"/>
    </row>
    <row r="2066" spans="16:16">
      <c r="P2066"/>
    </row>
    <row r="2067" spans="16:16">
      <c r="P2067"/>
    </row>
    <row r="2068" spans="16:16">
      <c r="P2068"/>
    </row>
    <row r="2069" spans="16:16">
      <c r="P2069"/>
    </row>
    <row r="2070" spans="16:16">
      <c r="P2070"/>
    </row>
    <row r="2071" spans="16:16">
      <c r="P2071"/>
    </row>
    <row r="2072" spans="16:16">
      <c r="P2072"/>
    </row>
    <row r="2073" spans="16:16">
      <c r="P2073"/>
    </row>
    <row r="2074" spans="16:16">
      <c r="P2074"/>
    </row>
    <row r="2075" spans="16:16">
      <c r="P2075"/>
    </row>
    <row r="2076" spans="16:16">
      <c r="P2076"/>
    </row>
    <row r="2077" spans="16:16">
      <c r="P2077"/>
    </row>
    <row r="2078" spans="16:16">
      <c r="P2078"/>
    </row>
    <row r="2079" spans="16:16">
      <c r="P2079"/>
    </row>
    <row r="2080" spans="16:16">
      <c r="P2080"/>
    </row>
    <row r="2081" spans="16:16">
      <c r="P2081"/>
    </row>
    <row r="2082" spans="16:16">
      <c r="P2082"/>
    </row>
    <row r="2083" spans="16:16">
      <c r="P2083"/>
    </row>
    <row r="2084" spans="16:16">
      <c r="P2084"/>
    </row>
    <row r="2085" spans="16:16">
      <c r="P2085"/>
    </row>
    <row r="2086" spans="16:16">
      <c r="P2086"/>
    </row>
    <row r="2087" spans="16:16">
      <c r="P2087"/>
    </row>
    <row r="2088" spans="16:16">
      <c r="P2088"/>
    </row>
    <row r="2089" spans="16:16">
      <c r="P2089"/>
    </row>
    <row r="2090" spans="16:16">
      <c r="P2090"/>
    </row>
    <row r="2091" spans="16:16">
      <c r="P2091"/>
    </row>
    <row r="2092" spans="16:16">
      <c r="P2092"/>
    </row>
    <row r="2093" spans="16:16">
      <c r="P2093"/>
    </row>
    <row r="2094" spans="16:16">
      <c r="P2094"/>
    </row>
    <row r="2095" spans="16:16">
      <c r="P2095"/>
    </row>
    <row r="2096" spans="16:16">
      <c r="P2096"/>
    </row>
    <row r="2097" spans="16:16">
      <c r="P2097"/>
    </row>
    <row r="2098" spans="16:16">
      <c r="P2098"/>
    </row>
    <row r="2099" spans="16:16">
      <c r="P2099"/>
    </row>
    <row r="2100" spans="16:16">
      <c r="P2100"/>
    </row>
    <row r="2101" spans="16:16">
      <c r="P2101"/>
    </row>
    <row r="2102" spans="16:16">
      <c r="P2102"/>
    </row>
    <row r="2103" spans="16:16">
      <c r="P2103"/>
    </row>
    <row r="2104" spans="16:16">
      <c r="P2104"/>
    </row>
    <row r="2105" spans="16:16">
      <c r="P2105"/>
    </row>
    <row r="2106" spans="16:16">
      <c r="P2106"/>
    </row>
    <row r="2107" spans="16:16">
      <c r="P2107"/>
    </row>
    <row r="2108" spans="16:16">
      <c r="P2108"/>
    </row>
    <row r="2109" spans="16:16">
      <c r="P2109"/>
    </row>
    <row r="2110" spans="16:16">
      <c r="P2110"/>
    </row>
    <row r="2111" spans="16:16">
      <c r="P2111"/>
    </row>
    <row r="2112" spans="16:16">
      <c r="P2112"/>
    </row>
    <row r="2113" spans="16:16">
      <c r="P2113"/>
    </row>
    <row r="2114" spans="16:16">
      <c r="P2114"/>
    </row>
    <row r="2115" spans="16:16">
      <c r="P2115"/>
    </row>
    <row r="2116" spans="16:16">
      <c r="P2116"/>
    </row>
    <row r="2117" spans="16:16">
      <c r="P2117"/>
    </row>
    <row r="2118" spans="16:16">
      <c r="P2118"/>
    </row>
    <row r="2119" spans="16:16">
      <c r="P2119"/>
    </row>
    <row r="2120" spans="16:16">
      <c r="P2120"/>
    </row>
    <row r="2121" spans="16:16">
      <c r="P2121"/>
    </row>
    <row r="2122" spans="16:16">
      <c r="P2122"/>
    </row>
    <row r="2123" spans="16:16">
      <c r="P2123"/>
    </row>
    <row r="2124" spans="16:16">
      <c r="P2124"/>
    </row>
    <row r="2125" spans="16:16">
      <c r="P2125"/>
    </row>
    <row r="2126" spans="16:16">
      <c r="P2126"/>
    </row>
    <row r="2127" spans="16:16">
      <c r="P2127"/>
    </row>
    <row r="2128" spans="16:16">
      <c r="P2128"/>
    </row>
    <row r="2129" spans="16:16">
      <c r="P2129"/>
    </row>
    <row r="2130" spans="16:16">
      <c r="P2130"/>
    </row>
    <row r="2131" spans="16:16">
      <c r="P2131"/>
    </row>
    <row r="2132" spans="16:16">
      <c r="P2132"/>
    </row>
    <row r="2133" spans="16:16">
      <c r="P2133"/>
    </row>
    <row r="2134" spans="16:16">
      <c r="P2134"/>
    </row>
    <row r="2135" spans="16:16">
      <c r="P2135"/>
    </row>
    <row r="2136" spans="16:16">
      <c r="P2136"/>
    </row>
    <row r="2137" spans="16:16">
      <c r="P2137"/>
    </row>
    <row r="2138" spans="16:16">
      <c r="P2138"/>
    </row>
    <row r="2139" spans="16:16">
      <c r="P2139"/>
    </row>
    <row r="2140" spans="16:16">
      <c r="P2140"/>
    </row>
    <row r="2141" spans="16:16">
      <c r="P2141"/>
    </row>
    <row r="2142" spans="16:16">
      <c r="P2142"/>
    </row>
    <row r="2143" spans="16:16">
      <c r="P2143"/>
    </row>
    <row r="2144" spans="16:16">
      <c r="P2144"/>
    </row>
    <row r="2145" spans="16:16">
      <c r="P2145"/>
    </row>
    <row r="2146" spans="16:16">
      <c r="P2146"/>
    </row>
    <row r="2147" spans="16:16">
      <c r="P2147"/>
    </row>
    <row r="2148" spans="16:16">
      <c r="P2148"/>
    </row>
    <row r="2149" spans="16:16">
      <c r="P2149"/>
    </row>
    <row r="2150" spans="16:16">
      <c r="P2150"/>
    </row>
    <row r="2151" spans="16:16">
      <c r="P2151"/>
    </row>
    <row r="2152" spans="16:16">
      <c r="P2152"/>
    </row>
    <row r="2153" spans="16:16">
      <c r="P2153"/>
    </row>
    <row r="2154" spans="16:16">
      <c r="P2154"/>
    </row>
    <row r="2155" spans="16:16">
      <c r="P2155"/>
    </row>
    <row r="2156" spans="16:16">
      <c r="P2156"/>
    </row>
    <row r="2157" spans="16:16">
      <c r="P2157"/>
    </row>
    <row r="2158" spans="16:16">
      <c r="P2158"/>
    </row>
    <row r="2159" spans="16:16">
      <c r="P2159"/>
    </row>
    <row r="2160" spans="16:16">
      <c r="P2160"/>
    </row>
    <row r="2161" spans="16:16">
      <c r="P2161"/>
    </row>
    <row r="2162" spans="16:16">
      <c r="P2162"/>
    </row>
    <row r="2163" spans="16:16">
      <c r="P2163"/>
    </row>
    <row r="2164" spans="16:16">
      <c r="P2164"/>
    </row>
    <row r="2165" spans="16:16">
      <c r="P2165"/>
    </row>
    <row r="2166" spans="16:16">
      <c r="P2166"/>
    </row>
    <row r="2167" spans="16:16">
      <c r="P2167"/>
    </row>
    <row r="2168" spans="16:16">
      <c r="P2168"/>
    </row>
    <row r="2169" spans="16:16">
      <c r="P2169"/>
    </row>
    <row r="2170" spans="16:16">
      <c r="P2170"/>
    </row>
    <row r="2171" spans="16:16">
      <c r="P2171"/>
    </row>
    <row r="2172" spans="16:16">
      <c r="P2172"/>
    </row>
    <row r="2173" spans="16:16">
      <c r="P2173"/>
    </row>
    <row r="2174" spans="16:16">
      <c r="P2174"/>
    </row>
    <row r="2175" spans="16:16">
      <c r="P2175"/>
    </row>
    <row r="2176" spans="16:16">
      <c r="P2176"/>
    </row>
    <row r="2177" spans="16:16">
      <c r="P2177"/>
    </row>
    <row r="2178" spans="16:16">
      <c r="P2178"/>
    </row>
    <row r="2179" spans="16:16">
      <c r="P2179"/>
    </row>
    <row r="2180" spans="16:16">
      <c r="P2180"/>
    </row>
    <row r="2181" spans="16:16">
      <c r="P2181"/>
    </row>
    <row r="2182" spans="16:16">
      <c r="P2182"/>
    </row>
    <row r="2183" spans="16:16">
      <c r="P2183"/>
    </row>
    <row r="2184" spans="16:16">
      <c r="P2184"/>
    </row>
    <row r="2185" spans="16:16">
      <c r="P2185"/>
    </row>
    <row r="2186" spans="16:16">
      <c r="P2186"/>
    </row>
    <row r="2187" spans="16:16">
      <c r="P2187"/>
    </row>
    <row r="2188" spans="16:16">
      <c r="P2188"/>
    </row>
    <row r="2189" spans="16:16">
      <c r="P2189"/>
    </row>
    <row r="2190" spans="16:16">
      <c r="P2190"/>
    </row>
    <row r="2191" spans="16:16">
      <c r="P2191"/>
    </row>
    <row r="2192" spans="16:16">
      <c r="P2192"/>
    </row>
    <row r="2193" spans="16:16">
      <c r="P2193"/>
    </row>
    <row r="2194" spans="16:16">
      <c r="P2194"/>
    </row>
    <row r="2195" spans="16:16">
      <c r="P2195"/>
    </row>
    <row r="2196" spans="16:16">
      <c r="P2196"/>
    </row>
    <row r="2197" spans="16:16">
      <c r="P2197"/>
    </row>
    <row r="2198" spans="16:16">
      <c r="P2198"/>
    </row>
    <row r="2199" spans="16:16">
      <c r="P2199"/>
    </row>
    <row r="2200" spans="16:16">
      <c r="P2200"/>
    </row>
    <row r="2201" spans="16:16">
      <c r="P2201"/>
    </row>
    <row r="2202" spans="16:16">
      <c r="P2202"/>
    </row>
    <row r="2203" spans="16:16">
      <c r="P2203"/>
    </row>
    <row r="2204" spans="16:16">
      <c r="P2204"/>
    </row>
    <row r="2205" spans="16:16">
      <c r="P2205"/>
    </row>
    <row r="2206" spans="16:16">
      <c r="P2206"/>
    </row>
    <row r="2207" spans="16:16">
      <c r="P2207"/>
    </row>
    <row r="2208" spans="16:16">
      <c r="P2208"/>
    </row>
    <row r="2209" spans="16:16">
      <c r="P2209"/>
    </row>
    <row r="2210" spans="16:16">
      <c r="P2210"/>
    </row>
    <row r="2211" spans="16:16">
      <c r="P2211"/>
    </row>
    <row r="2212" spans="16:16">
      <c r="P2212"/>
    </row>
    <row r="2213" spans="16:16">
      <c r="P2213"/>
    </row>
    <row r="2214" spans="16:16">
      <c r="P2214"/>
    </row>
    <row r="2215" spans="16:16">
      <c r="P2215"/>
    </row>
    <row r="2216" spans="16:16">
      <c r="P2216"/>
    </row>
    <row r="2217" spans="16:16">
      <c r="P2217"/>
    </row>
    <row r="2218" spans="16:16">
      <c r="P2218"/>
    </row>
    <row r="2219" spans="16:16">
      <c r="P2219"/>
    </row>
    <row r="2220" spans="16:16">
      <c r="P2220"/>
    </row>
    <row r="2221" spans="16:16">
      <c r="P2221"/>
    </row>
    <row r="2222" spans="16:16">
      <c r="P2222"/>
    </row>
    <row r="2223" spans="16:16">
      <c r="P2223"/>
    </row>
    <row r="2224" spans="16:16">
      <c r="P2224"/>
    </row>
    <row r="2225" spans="16:16">
      <c r="P2225"/>
    </row>
    <row r="2226" spans="16:16">
      <c r="P2226"/>
    </row>
    <row r="2227" spans="16:16">
      <c r="P2227"/>
    </row>
    <row r="2228" spans="16:16">
      <c r="P2228"/>
    </row>
    <row r="2229" spans="16:16">
      <c r="P2229"/>
    </row>
    <row r="2230" spans="16:16">
      <c r="P2230"/>
    </row>
    <row r="2231" spans="16:16">
      <c r="P2231"/>
    </row>
    <row r="2232" spans="16:16">
      <c r="P2232"/>
    </row>
    <row r="2233" spans="16:16">
      <c r="P2233"/>
    </row>
    <row r="2234" spans="16:16">
      <c r="P2234"/>
    </row>
    <row r="2235" spans="16:16">
      <c r="P2235"/>
    </row>
    <row r="2236" spans="16:16">
      <c r="P2236"/>
    </row>
    <row r="2237" spans="16:16">
      <c r="P2237"/>
    </row>
    <row r="2238" spans="16:16">
      <c r="P2238"/>
    </row>
    <row r="2239" spans="16:16">
      <c r="P2239"/>
    </row>
    <row r="2240" spans="16:16">
      <c r="P2240"/>
    </row>
    <row r="2241" spans="16:16">
      <c r="P2241"/>
    </row>
    <row r="2242" spans="16:16">
      <c r="P2242"/>
    </row>
    <row r="2243" spans="16:16">
      <c r="P2243"/>
    </row>
    <row r="2244" spans="16:16">
      <c r="P2244"/>
    </row>
    <row r="2245" spans="16:16">
      <c r="P2245"/>
    </row>
    <row r="2246" spans="16:16">
      <c r="P2246"/>
    </row>
    <row r="2247" spans="16:16">
      <c r="P2247"/>
    </row>
    <row r="2248" spans="16:16">
      <c r="P2248"/>
    </row>
    <row r="2249" spans="16:16">
      <c r="P2249"/>
    </row>
    <row r="2250" spans="16:16">
      <c r="P2250"/>
    </row>
    <row r="2251" spans="16:16">
      <c r="P2251"/>
    </row>
    <row r="2252" spans="16:16">
      <c r="P2252"/>
    </row>
    <row r="2253" spans="16:16">
      <c r="P2253"/>
    </row>
    <row r="2254" spans="16:16">
      <c r="P2254"/>
    </row>
    <row r="2255" spans="16:16">
      <c r="P2255"/>
    </row>
    <row r="2256" spans="16:16">
      <c r="P2256"/>
    </row>
    <row r="2257" spans="16:16">
      <c r="P2257"/>
    </row>
    <row r="2258" spans="16:16">
      <c r="P2258"/>
    </row>
    <row r="2259" spans="16:16">
      <c r="P2259"/>
    </row>
    <row r="2260" spans="16:16">
      <c r="P2260"/>
    </row>
    <row r="2261" spans="16:16">
      <c r="P2261"/>
    </row>
    <row r="2262" spans="16:16">
      <c r="P2262"/>
    </row>
    <row r="2263" spans="16:16">
      <c r="P2263"/>
    </row>
    <row r="2264" spans="16:16">
      <c r="P2264"/>
    </row>
    <row r="2265" spans="16:16">
      <c r="P2265"/>
    </row>
    <row r="2266" spans="16:16">
      <c r="P2266"/>
    </row>
    <row r="2267" spans="16:16">
      <c r="P2267"/>
    </row>
    <row r="2268" spans="16:16">
      <c r="P2268"/>
    </row>
    <row r="2269" spans="16:16">
      <c r="P2269"/>
    </row>
    <row r="2270" spans="16:16">
      <c r="P2270"/>
    </row>
    <row r="2271" spans="16:16">
      <c r="P2271"/>
    </row>
    <row r="2272" spans="16:16">
      <c r="P2272"/>
    </row>
    <row r="2273" spans="16:16">
      <c r="P2273"/>
    </row>
    <row r="2274" spans="16:16">
      <c r="P2274"/>
    </row>
    <row r="2275" spans="16:16">
      <c r="P2275"/>
    </row>
    <row r="2276" spans="16:16">
      <c r="P2276"/>
    </row>
    <row r="2277" spans="16:16">
      <c r="P2277"/>
    </row>
    <row r="2278" spans="16:16">
      <c r="P2278"/>
    </row>
    <row r="2279" spans="16:16">
      <c r="P2279"/>
    </row>
    <row r="2280" spans="16:16">
      <c r="P2280"/>
    </row>
    <row r="2281" spans="16:16">
      <c r="P2281"/>
    </row>
    <row r="2282" spans="16:16">
      <c r="P2282"/>
    </row>
    <row r="2283" spans="16:16">
      <c r="P2283"/>
    </row>
    <row r="2284" spans="16:16">
      <c r="P2284"/>
    </row>
    <row r="2285" spans="16:16">
      <c r="P2285"/>
    </row>
    <row r="2286" spans="16:16">
      <c r="P2286"/>
    </row>
    <row r="2287" spans="16:16">
      <c r="P2287"/>
    </row>
    <row r="2288" spans="16:16">
      <c r="P2288"/>
    </row>
    <row r="2289" spans="16:16">
      <c r="P2289"/>
    </row>
    <row r="2290" spans="16:16">
      <c r="P2290"/>
    </row>
    <row r="2291" spans="16:16">
      <c r="P2291"/>
    </row>
    <row r="2292" spans="16:16">
      <c r="P2292"/>
    </row>
    <row r="2293" spans="16:16">
      <c r="P2293"/>
    </row>
    <row r="2294" spans="16:16">
      <c r="P2294"/>
    </row>
    <row r="2295" spans="16:16">
      <c r="P2295"/>
    </row>
    <row r="2296" spans="16:16">
      <c r="P2296"/>
    </row>
    <row r="2297" spans="16:16">
      <c r="P2297"/>
    </row>
    <row r="2298" spans="16:16">
      <c r="P2298"/>
    </row>
    <row r="2299" spans="16:16">
      <c r="P2299"/>
    </row>
    <row r="2300" spans="16:16">
      <c r="P2300"/>
    </row>
    <row r="2301" spans="16:16">
      <c r="P2301"/>
    </row>
    <row r="2302" spans="16:16">
      <c r="P2302"/>
    </row>
    <row r="2303" spans="16:16">
      <c r="P2303"/>
    </row>
    <row r="2304" spans="16:16">
      <c r="P2304"/>
    </row>
    <row r="2305" spans="16:16">
      <c r="P2305"/>
    </row>
    <row r="2306" spans="16:16">
      <c r="P2306"/>
    </row>
    <row r="2307" spans="16:16">
      <c r="P2307"/>
    </row>
    <row r="2308" spans="16:16">
      <c r="P2308"/>
    </row>
    <row r="2309" spans="16:16">
      <c r="P2309"/>
    </row>
    <row r="2310" spans="16:16">
      <c r="P2310"/>
    </row>
    <row r="2311" spans="16:16">
      <c r="P2311"/>
    </row>
    <row r="2312" spans="16:16">
      <c r="P2312"/>
    </row>
    <row r="2313" spans="16:16">
      <c r="P2313"/>
    </row>
    <row r="2314" spans="16:16">
      <c r="P2314"/>
    </row>
    <row r="2315" spans="16:16">
      <c r="P2315"/>
    </row>
    <row r="2316" spans="16:16">
      <c r="P2316"/>
    </row>
    <row r="2317" spans="16:16">
      <c r="P2317"/>
    </row>
    <row r="2318" spans="16:16">
      <c r="P2318"/>
    </row>
    <row r="2319" spans="16:16">
      <c r="P2319"/>
    </row>
    <row r="2320" spans="16:16">
      <c r="P2320"/>
    </row>
    <row r="2321" spans="16:16">
      <c r="P2321"/>
    </row>
    <row r="2322" spans="16:16">
      <c r="P2322"/>
    </row>
    <row r="2323" spans="16:16">
      <c r="P2323"/>
    </row>
    <row r="2324" spans="16:16">
      <c r="P2324"/>
    </row>
    <row r="2325" spans="16:16">
      <c r="P2325"/>
    </row>
    <row r="2326" spans="16:16">
      <c r="P2326"/>
    </row>
    <row r="2327" spans="16:16">
      <c r="P2327"/>
    </row>
    <row r="2328" spans="16:16">
      <c r="P2328"/>
    </row>
    <row r="2329" spans="16:16">
      <c r="P2329"/>
    </row>
    <row r="2330" spans="16:16">
      <c r="P2330"/>
    </row>
    <row r="2331" spans="16:16">
      <c r="P2331"/>
    </row>
    <row r="2332" spans="16:16">
      <c r="P2332"/>
    </row>
    <row r="2333" spans="16:16">
      <c r="P2333"/>
    </row>
    <row r="2334" spans="16:16">
      <c r="P2334"/>
    </row>
    <row r="2335" spans="16:16">
      <c r="P2335"/>
    </row>
    <row r="2336" spans="16:16">
      <c r="P2336"/>
    </row>
    <row r="2337" spans="16:16">
      <c r="P2337"/>
    </row>
    <row r="2338" spans="16:16">
      <c r="P2338"/>
    </row>
    <row r="2339" spans="16:16">
      <c r="P2339"/>
    </row>
    <row r="2340" spans="16:16">
      <c r="P2340"/>
    </row>
    <row r="2341" spans="16:16">
      <c r="P2341"/>
    </row>
    <row r="2342" spans="16:16">
      <c r="P2342"/>
    </row>
    <row r="2343" spans="16:16">
      <c r="P2343"/>
    </row>
    <row r="2344" spans="16:16">
      <c r="P2344"/>
    </row>
    <row r="2345" spans="16:16">
      <c r="P2345"/>
    </row>
    <row r="2346" spans="16:16">
      <c r="P2346"/>
    </row>
    <row r="2347" spans="16:16">
      <c r="P2347"/>
    </row>
    <row r="2348" spans="16:16">
      <c r="P2348"/>
    </row>
    <row r="2349" spans="16:16">
      <c r="P2349"/>
    </row>
    <row r="2350" spans="16:16">
      <c r="P2350"/>
    </row>
    <row r="2351" spans="16:16">
      <c r="P2351"/>
    </row>
    <row r="2352" spans="16:16">
      <c r="P2352"/>
    </row>
    <row r="2353" spans="16:16">
      <c r="P2353"/>
    </row>
    <row r="2354" spans="16:16">
      <c r="P2354"/>
    </row>
    <row r="2355" spans="16:16">
      <c r="P2355"/>
    </row>
    <row r="2356" spans="16:16">
      <c r="P2356"/>
    </row>
    <row r="2357" spans="16:16">
      <c r="P2357"/>
    </row>
    <row r="2358" spans="16:16">
      <c r="P2358"/>
    </row>
    <row r="2359" spans="16:16">
      <c r="P2359"/>
    </row>
    <row r="2360" spans="16:16">
      <c r="P2360"/>
    </row>
    <row r="2361" spans="16:16">
      <c r="P2361"/>
    </row>
    <row r="2362" spans="16:16">
      <c r="P2362"/>
    </row>
    <row r="2363" spans="16:16">
      <c r="P2363"/>
    </row>
    <row r="2364" spans="16:16">
      <c r="P2364"/>
    </row>
    <row r="2365" spans="16:16">
      <c r="P2365"/>
    </row>
    <row r="2366" spans="16:16">
      <c r="P2366"/>
    </row>
    <row r="2367" spans="16:16">
      <c r="P2367"/>
    </row>
    <row r="2368" spans="16:16">
      <c r="P2368"/>
    </row>
    <row r="2369" spans="16:16">
      <c r="P2369"/>
    </row>
    <row r="2370" spans="16:16">
      <c r="P2370"/>
    </row>
    <row r="2371" spans="16:16">
      <c r="P2371"/>
    </row>
    <row r="2372" spans="16:16">
      <c r="P2372"/>
    </row>
    <row r="2373" spans="16:16">
      <c r="P2373"/>
    </row>
    <row r="2374" spans="16:16">
      <c r="P2374"/>
    </row>
    <row r="2375" spans="16:16">
      <c r="P2375"/>
    </row>
    <row r="2376" spans="16:16">
      <c r="P2376"/>
    </row>
    <row r="2377" spans="16:16">
      <c r="P2377"/>
    </row>
    <row r="2378" spans="16:16">
      <c r="P2378"/>
    </row>
    <row r="2379" spans="16:16">
      <c r="P2379"/>
    </row>
    <row r="2380" spans="16:16">
      <c r="P2380"/>
    </row>
    <row r="2381" spans="16:16">
      <c r="P2381"/>
    </row>
    <row r="2382" spans="16:16">
      <c r="P2382"/>
    </row>
    <row r="2383" spans="16:16">
      <c r="P2383"/>
    </row>
    <row r="2384" spans="16:16">
      <c r="P2384"/>
    </row>
    <row r="2385" spans="16:16">
      <c r="P2385"/>
    </row>
    <row r="2386" spans="16:16">
      <c r="P2386"/>
    </row>
    <row r="2387" spans="16:16">
      <c r="P2387"/>
    </row>
    <row r="2388" spans="16:16">
      <c r="P2388"/>
    </row>
    <row r="2389" spans="16:16">
      <c r="P2389"/>
    </row>
    <row r="2390" spans="16:16">
      <c r="P2390"/>
    </row>
    <row r="2391" spans="16:16">
      <c r="P2391"/>
    </row>
    <row r="2392" spans="16:16">
      <c r="P2392"/>
    </row>
    <row r="2393" spans="16:16">
      <c r="P2393"/>
    </row>
    <row r="2394" spans="16:16">
      <c r="P2394"/>
    </row>
    <row r="2395" spans="16:16">
      <c r="P2395"/>
    </row>
    <row r="2396" spans="16:16">
      <c r="P2396"/>
    </row>
    <row r="2397" spans="16:16">
      <c r="P2397"/>
    </row>
    <row r="2398" spans="16:16">
      <c r="P2398"/>
    </row>
    <row r="2399" spans="16:16">
      <c r="P2399"/>
    </row>
    <row r="2400" spans="16:16">
      <c r="P2400"/>
    </row>
    <row r="2401" spans="16:16">
      <c r="P2401"/>
    </row>
    <row r="2402" spans="16:16">
      <c r="P2402"/>
    </row>
    <row r="2403" spans="16:16">
      <c r="P2403"/>
    </row>
    <row r="2404" spans="16:16">
      <c r="P2404"/>
    </row>
    <row r="2405" spans="16:16">
      <c r="P2405"/>
    </row>
    <row r="2406" spans="16:16">
      <c r="P2406"/>
    </row>
    <row r="2407" spans="16:16">
      <c r="P2407"/>
    </row>
    <row r="2408" spans="16:16">
      <c r="P2408"/>
    </row>
    <row r="2409" spans="16:16">
      <c r="P2409"/>
    </row>
    <row r="2410" spans="16:16">
      <c r="P2410"/>
    </row>
    <row r="2411" spans="16:16">
      <c r="P2411"/>
    </row>
    <row r="2412" spans="16:16">
      <c r="P2412"/>
    </row>
    <row r="2413" spans="16:16">
      <c r="P2413"/>
    </row>
    <row r="2414" spans="16:16">
      <c r="P2414"/>
    </row>
    <row r="2415" spans="16:16">
      <c r="P2415"/>
    </row>
    <row r="2416" spans="16:16">
      <c r="P2416"/>
    </row>
    <row r="2417" spans="16:16">
      <c r="P2417"/>
    </row>
    <row r="2418" spans="16:16">
      <c r="P2418"/>
    </row>
    <row r="2419" spans="16:16">
      <c r="P2419"/>
    </row>
    <row r="2420" spans="16:16">
      <c r="P2420"/>
    </row>
    <row r="2421" spans="16:16">
      <c r="P2421"/>
    </row>
    <row r="2422" spans="16:16">
      <c r="P2422"/>
    </row>
    <row r="2423" spans="16:16">
      <c r="P2423"/>
    </row>
    <row r="2424" spans="16:16">
      <c r="P2424"/>
    </row>
    <row r="2425" spans="16:16">
      <c r="P2425"/>
    </row>
    <row r="2426" spans="16:16">
      <c r="P2426"/>
    </row>
    <row r="2427" spans="16:16">
      <c r="P2427"/>
    </row>
    <row r="2428" spans="16:16">
      <c r="P2428"/>
    </row>
    <row r="2429" spans="16:16">
      <c r="P2429"/>
    </row>
    <row r="2430" spans="16:16">
      <c r="P2430"/>
    </row>
    <row r="2431" spans="16:16">
      <c r="P2431"/>
    </row>
    <row r="2432" spans="16:16">
      <c r="P2432"/>
    </row>
    <row r="2433" spans="16:16">
      <c r="P2433"/>
    </row>
    <row r="2434" spans="16:16">
      <c r="P2434"/>
    </row>
    <row r="2435" spans="16:16">
      <c r="P2435"/>
    </row>
    <row r="2436" spans="16:16">
      <c r="P2436"/>
    </row>
    <row r="2437" spans="16:16">
      <c r="P2437"/>
    </row>
    <row r="2438" spans="16:16">
      <c r="P2438"/>
    </row>
    <row r="2439" spans="16:16">
      <c r="P2439"/>
    </row>
    <row r="2440" spans="16:16">
      <c r="P2440"/>
    </row>
    <row r="2441" spans="16:16">
      <c r="P2441"/>
    </row>
    <row r="2442" spans="16:16">
      <c r="P2442"/>
    </row>
    <row r="2443" spans="16:16">
      <c r="P2443"/>
    </row>
    <row r="2444" spans="16:16">
      <c r="P2444"/>
    </row>
    <row r="2445" spans="16:16">
      <c r="P2445"/>
    </row>
    <row r="2446" spans="16:16">
      <c r="P2446"/>
    </row>
    <row r="2447" spans="16:16">
      <c r="P2447"/>
    </row>
    <row r="2448" spans="16:16">
      <c r="P2448"/>
    </row>
    <row r="2449" spans="16:16">
      <c r="P2449"/>
    </row>
    <row r="2450" spans="16:16">
      <c r="P2450"/>
    </row>
    <row r="2451" spans="16:16">
      <c r="P2451"/>
    </row>
    <row r="2452" spans="16:16">
      <c r="P2452"/>
    </row>
    <row r="2453" spans="16:16">
      <c r="P2453"/>
    </row>
    <row r="2454" spans="16:16">
      <c r="P2454"/>
    </row>
    <row r="2455" spans="16:16">
      <c r="P2455"/>
    </row>
    <row r="2456" spans="16:16">
      <c r="P2456"/>
    </row>
    <row r="2457" spans="16:16">
      <c r="P2457"/>
    </row>
    <row r="2458" spans="16:16">
      <c r="P2458"/>
    </row>
    <row r="2459" spans="16:16">
      <c r="P2459"/>
    </row>
    <row r="2460" spans="16:16">
      <c r="P2460"/>
    </row>
    <row r="2461" spans="16:16">
      <c r="P2461"/>
    </row>
    <row r="2462" spans="16:16">
      <c r="P2462"/>
    </row>
    <row r="2463" spans="16:16">
      <c r="P2463"/>
    </row>
    <row r="2464" spans="16:16">
      <c r="P2464"/>
    </row>
    <row r="2465" spans="16:16">
      <c r="P2465"/>
    </row>
    <row r="2466" spans="16:16">
      <c r="P2466"/>
    </row>
    <row r="2467" spans="16:16">
      <c r="P2467"/>
    </row>
    <row r="2468" spans="16:16">
      <c r="P2468"/>
    </row>
    <row r="2469" spans="16:16">
      <c r="P2469"/>
    </row>
    <row r="2470" spans="16:16">
      <c r="P2470"/>
    </row>
    <row r="2471" spans="16:16">
      <c r="P2471"/>
    </row>
    <row r="2472" spans="16:16">
      <c r="P2472"/>
    </row>
    <row r="2473" spans="16:16">
      <c r="P2473"/>
    </row>
    <row r="2474" spans="16:16">
      <c r="P2474"/>
    </row>
    <row r="2475" spans="16:16">
      <c r="P2475"/>
    </row>
    <row r="2476" spans="16:16">
      <c r="P2476"/>
    </row>
    <row r="2477" spans="16:16">
      <c r="P2477"/>
    </row>
    <row r="2478" spans="16:16">
      <c r="P2478"/>
    </row>
    <row r="2479" spans="16:16">
      <c r="P2479"/>
    </row>
    <row r="2480" spans="16:16">
      <c r="P2480"/>
    </row>
    <row r="2481" spans="16:16">
      <c r="P2481"/>
    </row>
    <row r="2482" spans="16:16">
      <c r="P2482"/>
    </row>
    <row r="2483" spans="16:16">
      <c r="P2483"/>
    </row>
    <row r="2484" spans="16:16">
      <c r="P2484"/>
    </row>
    <row r="2485" spans="16:16">
      <c r="P2485"/>
    </row>
    <row r="2486" spans="16:16">
      <c r="P2486"/>
    </row>
    <row r="2487" spans="16:16">
      <c r="P2487"/>
    </row>
    <row r="2488" spans="16:16">
      <c r="P2488"/>
    </row>
    <row r="2489" spans="16:16">
      <c r="P2489"/>
    </row>
    <row r="2490" spans="16:16">
      <c r="P2490"/>
    </row>
    <row r="2491" spans="16:16">
      <c r="P2491"/>
    </row>
    <row r="2492" spans="16:16">
      <c r="P2492"/>
    </row>
    <row r="2493" spans="16:16">
      <c r="P2493"/>
    </row>
    <row r="2494" spans="16:16">
      <c r="P2494"/>
    </row>
    <row r="2495" spans="16:16">
      <c r="P2495"/>
    </row>
    <row r="2496" spans="16:16">
      <c r="P2496"/>
    </row>
    <row r="2497" spans="16:16">
      <c r="P2497"/>
    </row>
    <row r="2498" spans="16:16">
      <c r="P2498"/>
    </row>
    <row r="2499" spans="16:16">
      <c r="P2499"/>
    </row>
    <row r="2500" spans="16:16">
      <c r="P2500"/>
    </row>
    <row r="2501" spans="16:16">
      <c r="P2501"/>
    </row>
    <row r="2502" spans="16:16">
      <c r="P2502"/>
    </row>
    <row r="2503" spans="16:16">
      <c r="P2503"/>
    </row>
    <row r="2504" spans="16:16">
      <c r="P2504"/>
    </row>
    <row r="2505" spans="16:16">
      <c r="P2505"/>
    </row>
    <row r="2506" spans="16:16">
      <c r="P2506"/>
    </row>
    <row r="2507" spans="16:16">
      <c r="P2507"/>
    </row>
    <row r="2508" spans="16:16">
      <c r="P2508"/>
    </row>
    <row r="2509" spans="16:16">
      <c r="P2509"/>
    </row>
    <row r="2510" spans="16:16">
      <c r="P2510"/>
    </row>
    <row r="2511" spans="16:16">
      <c r="P2511"/>
    </row>
    <row r="2512" spans="16:16">
      <c r="P2512"/>
    </row>
    <row r="2513" spans="16:16">
      <c r="P2513"/>
    </row>
    <row r="2514" spans="16:16">
      <c r="P2514"/>
    </row>
    <row r="2515" spans="16:16">
      <c r="P2515"/>
    </row>
    <row r="2516" spans="16:16">
      <c r="P2516"/>
    </row>
    <row r="2517" spans="16:16">
      <c r="P2517"/>
    </row>
    <row r="2518" spans="16:16">
      <c r="P2518"/>
    </row>
    <row r="2519" spans="16:16">
      <c r="P2519"/>
    </row>
    <row r="2520" spans="16:16">
      <c r="P2520"/>
    </row>
    <row r="2521" spans="16:16">
      <c r="P2521"/>
    </row>
    <row r="2522" spans="16:16">
      <c r="P2522"/>
    </row>
    <row r="2523" spans="16:16">
      <c r="P2523"/>
    </row>
    <row r="2524" spans="16:16">
      <c r="P2524"/>
    </row>
    <row r="2525" spans="16:16">
      <c r="P2525"/>
    </row>
    <row r="2526" spans="16:16">
      <c r="P2526"/>
    </row>
    <row r="2527" spans="16:16">
      <c r="P2527"/>
    </row>
    <row r="2528" spans="16:16">
      <c r="P2528"/>
    </row>
    <row r="2529" spans="16:16">
      <c r="P2529"/>
    </row>
    <row r="2530" spans="16:16">
      <c r="P2530"/>
    </row>
    <row r="2531" spans="16:16">
      <c r="P2531"/>
    </row>
    <row r="2532" spans="16:16">
      <c r="P2532"/>
    </row>
    <row r="2533" spans="16:16">
      <c r="P2533"/>
    </row>
    <row r="2534" spans="16:16">
      <c r="P2534"/>
    </row>
    <row r="2535" spans="16:16">
      <c r="P2535"/>
    </row>
    <row r="2536" spans="16:16">
      <c r="P2536"/>
    </row>
    <row r="2537" spans="16:16">
      <c r="P2537"/>
    </row>
    <row r="2538" spans="16:16">
      <c r="P2538"/>
    </row>
    <row r="2539" spans="16:16">
      <c r="P2539"/>
    </row>
    <row r="2540" spans="16:16">
      <c r="P2540"/>
    </row>
    <row r="2541" spans="16:16">
      <c r="P2541"/>
    </row>
    <row r="2542" spans="16:16">
      <c r="P2542"/>
    </row>
    <row r="2543" spans="16:16">
      <c r="P2543"/>
    </row>
    <row r="2544" spans="16:16">
      <c r="P2544"/>
    </row>
    <row r="2545" spans="16:16">
      <c r="P2545"/>
    </row>
    <row r="2546" spans="16:16">
      <c r="P2546"/>
    </row>
    <row r="2547" spans="16:16">
      <c r="P2547"/>
    </row>
    <row r="2548" spans="16:16">
      <c r="P2548"/>
    </row>
    <row r="2549" spans="16:16">
      <c r="P2549"/>
    </row>
    <row r="2550" spans="16:16">
      <c r="P2550"/>
    </row>
    <row r="2551" spans="16:16">
      <c r="P2551"/>
    </row>
    <row r="2552" spans="16:16">
      <c r="P2552"/>
    </row>
    <row r="2553" spans="16:16">
      <c r="P2553"/>
    </row>
    <row r="2554" spans="16:16">
      <c r="P2554"/>
    </row>
    <row r="2555" spans="16:16">
      <c r="P2555"/>
    </row>
    <row r="2556" spans="16:16">
      <c r="P2556"/>
    </row>
    <row r="2557" spans="16:16">
      <c r="P2557"/>
    </row>
    <row r="2558" spans="16:16">
      <c r="P2558"/>
    </row>
    <row r="2559" spans="16:16">
      <c r="P2559"/>
    </row>
    <row r="2560" spans="16:16">
      <c r="P2560"/>
    </row>
    <row r="2561" spans="16:16">
      <c r="P2561"/>
    </row>
    <row r="2562" spans="16:16">
      <c r="P2562"/>
    </row>
    <row r="2563" spans="16:16">
      <c r="P2563"/>
    </row>
    <row r="2564" spans="16:16">
      <c r="P2564"/>
    </row>
    <row r="2565" spans="16:16">
      <c r="P2565"/>
    </row>
    <row r="2566" spans="16:16">
      <c r="P2566"/>
    </row>
    <row r="2567" spans="16:16">
      <c r="P2567"/>
    </row>
    <row r="2568" spans="16:16">
      <c r="P2568"/>
    </row>
    <row r="2569" spans="16:16">
      <c r="P2569"/>
    </row>
    <row r="2570" spans="16:16">
      <c r="P2570"/>
    </row>
    <row r="2571" spans="16:16">
      <c r="P2571"/>
    </row>
    <row r="2572" spans="16:16">
      <c r="P2572"/>
    </row>
    <row r="2573" spans="16:16">
      <c r="P2573"/>
    </row>
    <row r="2574" spans="16:16">
      <c r="P2574"/>
    </row>
    <row r="2575" spans="16:16">
      <c r="P2575"/>
    </row>
    <row r="2576" spans="16:16">
      <c r="P2576"/>
    </row>
    <row r="2577" spans="16:16">
      <c r="P2577"/>
    </row>
    <row r="2578" spans="16:16">
      <c r="P2578"/>
    </row>
    <row r="2579" spans="16:16">
      <c r="P2579"/>
    </row>
    <row r="2580" spans="16:16">
      <c r="P2580"/>
    </row>
    <row r="2581" spans="16:16">
      <c r="P2581"/>
    </row>
    <row r="2582" spans="16:16">
      <c r="P2582"/>
    </row>
    <row r="2583" spans="16:16">
      <c r="P2583"/>
    </row>
    <row r="2584" spans="16:16">
      <c r="P2584"/>
    </row>
    <row r="2585" spans="16:16">
      <c r="P2585"/>
    </row>
    <row r="2586" spans="16:16">
      <c r="P2586"/>
    </row>
    <row r="2587" spans="16:16">
      <c r="P2587"/>
    </row>
    <row r="2588" spans="16:16">
      <c r="P2588"/>
    </row>
    <row r="2589" spans="16:16">
      <c r="P2589"/>
    </row>
    <row r="2590" spans="16:16">
      <c r="P2590"/>
    </row>
    <row r="2591" spans="16:16">
      <c r="P2591"/>
    </row>
    <row r="2592" spans="16:16">
      <c r="P2592"/>
    </row>
    <row r="2593" spans="16:16">
      <c r="P2593"/>
    </row>
    <row r="2594" spans="16:16">
      <c r="P2594"/>
    </row>
    <row r="2595" spans="16:16">
      <c r="P2595"/>
    </row>
    <row r="2596" spans="16:16">
      <c r="P2596"/>
    </row>
    <row r="2597" spans="16:16">
      <c r="P2597"/>
    </row>
    <row r="2598" spans="16:16">
      <c r="P2598"/>
    </row>
    <row r="2599" spans="16:16">
      <c r="P2599"/>
    </row>
    <row r="2600" spans="16:16">
      <c r="P2600"/>
    </row>
    <row r="2601" spans="16:16">
      <c r="P2601"/>
    </row>
    <row r="2602" spans="16:16">
      <c r="P2602"/>
    </row>
    <row r="2603" spans="16:16">
      <c r="P2603"/>
    </row>
    <row r="2604" spans="16:16">
      <c r="P2604"/>
    </row>
    <row r="2605" spans="16:16">
      <c r="P2605"/>
    </row>
    <row r="2606" spans="16:16">
      <c r="P2606"/>
    </row>
    <row r="2607" spans="16:16">
      <c r="P2607"/>
    </row>
    <row r="2608" spans="16:16">
      <c r="P2608"/>
    </row>
    <row r="2609" spans="16:16">
      <c r="P2609"/>
    </row>
    <row r="2610" spans="16:16">
      <c r="P2610"/>
    </row>
    <row r="2611" spans="16:16">
      <c r="P2611"/>
    </row>
    <row r="2612" spans="16:16">
      <c r="P2612"/>
    </row>
    <row r="2613" spans="16:16">
      <c r="P2613"/>
    </row>
    <row r="2614" spans="16:16">
      <c r="P2614"/>
    </row>
    <row r="2615" spans="16:16">
      <c r="P2615"/>
    </row>
    <row r="2616" spans="16:16">
      <c r="P2616"/>
    </row>
    <row r="2617" spans="16:16">
      <c r="P2617"/>
    </row>
    <row r="2618" spans="16:16">
      <c r="P2618"/>
    </row>
    <row r="2619" spans="16:16">
      <c r="P2619"/>
    </row>
    <row r="2620" spans="16:16">
      <c r="P2620"/>
    </row>
    <row r="2621" spans="16:16">
      <c r="P2621"/>
    </row>
    <row r="2622" spans="16:16">
      <c r="P2622"/>
    </row>
    <row r="2623" spans="16:16">
      <c r="P2623"/>
    </row>
    <row r="2624" spans="16:16">
      <c r="P2624"/>
    </row>
    <row r="2625" spans="16:16">
      <c r="P2625"/>
    </row>
    <row r="2626" spans="16:16">
      <c r="P2626"/>
    </row>
    <row r="2627" spans="16:16">
      <c r="P2627"/>
    </row>
    <row r="2628" spans="16:16">
      <c r="P2628"/>
    </row>
    <row r="2629" spans="16:16">
      <c r="P2629"/>
    </row>
    <row r="2630" spans="16:16">
      <c r="P2630"/>
    </row>
    <row r="2631" spans="16:16">
      <c r="P2631"/>
    </row>
    <row r="2632" spans="16:16">
      <c r="P2632"/>
    </row>
    <row r="2633" spans="16:16">
      <c r="P2633"/>
    </row>
    <row r="2634" spans="16:16">
      <c r="P2634"/>
    </row>
    <row r="2635" spans="16:16">
      <c r="P2635"/>
    </row>
    <row r="2636" spans="16:16">
      <c r="P2636"/>
    </row>
    <row r="2637" spans="16:16">
      <c r="P2637"/>
    </row>
    <row r="2638" spans="16:16">
      <c r="P2638"/>
    </row>
    <row r="2639" spans="16:16">
      <c r="P2639"/>
    </row>
    <row r="2640" spans="16:16">
      <c r="P2640"/>
    </row>
    <row r="2641" spans="16:16">
      <c r="P2641"/>
    </row>
    <row r="2642" spans="16:16">
      <c r="P2642"/>
    </row>
    <row r="2643" spans="16:16">
      <c r="P2643"/>
    </row>
    <row r="2644" spans="16:16">
      <c r="P2644"/>
    </row>
    <row r="2645" spans="16:16">
      <c r="P2645"/>
    </row>
    <row r="2646" spans="16:16">
      <c r="P2646"/>
    </row>
    <row r="2647" spans="16:16">
      <c r="P2647"/>
    </row>
    <row r="2648" spans="16:16">
      <c r="P2648"/>
    </row>
    <row r="2649" spans="16:16">
      <c r="P2649"/>
    </row>
    <row r="2650" spans="16:16">
      <c r="P2650"/>
    </row>
    <row r="2651" spans="16:16">
      <c r="P2651"/>
    </row>
    <row r="2652" spans="16:16">
      <c r="P2652"/>
    </row>
    <row r="2653" spans="16:16">
      <c r="P2653"/>
    </row>
    <row r="2654" spans="16:16">
      <c r="P2654"/>
    </row>
    <row r="2655" spans="16:16">
      <c r="P2655"/>
    </row>
    <row r="2656" spans="16:16">
      <c r="P2656"/>
    </row>
    <row r="2657" spans="16:16">
      <c r="P2657"/>
    </row>
    <row r="2658" spans="16:16">
      <c r="P2658"/>
    </row>
    <row r="2659" spans="16:16">
      <c r="P2659"/>
    </row>
    <row r="2660" spans="16:16">
      <c r="P2660"/>
    </row>
    <row r="2661" spans="16:16">
      <c r="P2661"/>
    </row>
    <row r="2662" spans="16:16">
      <c r="P2662"/>
    </row>
    <row r="2663" spans="16:16">
      <c r="P2663"/>
    </row>
    <row r="2664" spans="16:16">
      <c r="P2664"/>
    </row>
    <row r="2665" spans="16:16">
      <c r="P2665"/>
    </row>
    <row r="2666" spans="16:16">
      <c r="P2666"/>
    </row>
    <row r="2667" spans="16:16">
      <c r="P2667"/>
    </row>
    <row r="2668" spans="16:16">
      <c r="P2668"/>
    </row>
    <row r="2669" spans="16:16">
      <c r="P2669"/>
    </row>
    <row r="2670" spans="16:16">
      <c r="P2670"/>
    </row>
    <row r="2671" spans="16:16">
      <c r="P2671"/>
    </row>
    <row r="2672" spans="16:16">
      <c r="P2672"/>
    </row>
    <row r="2673" spans="16:16">
      <c r="P2673"/>
    </row>
    <row r="2674" spans="16:16">
      <c r="P2674"/>
    </row>
    <row r="2675" spans="16:16">
      <c r="P2675"/>
    </row>
    <row r="2676" spans="16:16">
      <c r="P2676"/>
    </row>
    <row r="2677" spans="16:16">
      <c r="P2677"/>
    </row>
    <row r="2678" spans="16:16">
      <c r="P2678"/>
    </row>
    <row r="2679" spans="16:16">
      <c r="P2679"/>
    </row>
    <row r="2680" spans="16:16">
      <c r="P2680"/>
    </row>
    <row r="2681" spans="16:16">
      <c r="P2681"/>
    </row>
    <row r="2682" spans="16:16">
      <c r="P2682"/>
    </row>
    <row r="2683" spans="16:16">
      <c r="P2683"/>
    </row>
    <row r="2684" spans="16:16">
      <c r="P2684"/>
    </row>
    <row r="2685" spans="16:16">
      <c r="P2685"/>
    </row>
    <row r="2686" spans="16:16">
      <c r="P2686"/>
    </row>
    <row r="2687" spans="16:16">
      <c r="P2687"/>
    </row>
    <row r="2688" spans="16:16">
      <c r="P2688"/>
    </row>
    <row r="2689" spans="16:16">
      <c r="P2689"/>
    </row>
    <row r="2690" spans="16:16">
      <c r="P2690"/>
    </row>
    <row r="2691" spans="16:16">
      <c r="P2691"/>
    </row>
    <row r="2692" spans="16:16">
      <c r="P2692"/>
    </row>
    <row r="2693" spans="16:16">
      <c r="P2693"/>
    </row>
    <row r="2694" spans="16:16">
      <c r="P2694"/>
    </row>
    <row r="2695" spans="16:16">
      <c r="P2695"/>
    </row>
    <row r="2696" spans="16:16">
      <c r="P2696"/>
    </row>
    <row r="2697" spans="16:16">
      <c r="P2697"/>
    </row>
    <row r="2698" spans="16:16">
      <c r="P2698"/>
    </row>
    <row r="2699" spans="16:16">
      <c r="P2699"/>
    </row>
    <row r="2700" spans="16:16">
      <c r="P2700"/>
    </row>
    <row r="2701" spans="16:16">
      <c r="P2701"/>
    </row>
    <row r="2702" spans="16:16">
      <c r="P2702"/>
    </row>
    <row r="2703" spans="16:16">
      <c r="P2703"/>
    </row>
    <row r="2704" spans="16:16">
      <c r="P2704"/>
    </row>
    <row r="2705" spans="16:16">
      <c r="P2705"/>
    </row>
    <row r="2706" spans="16:16">
      <c r="P2706"/>
    </row>
    <row r="2707" spans="16:16">
      <c r="P2707"/>
    </row>
    <row r="2708" spans="16:16">
      <c r="P2708"/>
    </row>
    <row r="2709" spans="16:16">
      <c r="P2709"/>
    </row>
    <row r="2710" spans="16:16">
      <c r="P2710"/>
    </row>
    <row r="2711" spans="16:16">
      <c r="P2711"/>
    </row>
    <row r="2712" spans="16:16">
      <c r="P2712"/>
    </row>
    <row r="2713" spans="16:16">
      <c r="P2713"/>
    </row>
    <row r="2714" spans="16:16">
      <c r="P2714"/>
    </row>
    <row r="2715" spans="16:16">
      <c r="P2715"/>
    </row>
    <row r="2716" spans="16:16">
      <c r="P2716"/>
    </row>
    <row r="2717" spans="16:16">
      <c r="P2717"/>
    </row>
    <row r="2718" spans="16:16">
      <c r="P2718"/>
    </row>
    <row r="2719" spans="16:16">
      <c r="P2719"/>
    </row>
    <row r="2720" spans="16:16">
      <c r="P2720"/>
    </row>
    <row r="2721" spans="16:16">
      <c r="P2721"/>
    </row>
    <row r="2722" spans="16:16">
      <c r="P2722"/>
    </row>
    <row r="2723" spans="16:16">
      <c r="P2723"/>
    </row>
    <row r="2724" spans="16:16">
      <c r="P2724"/>
    </row>
    <row r="2725" spans="16:16">
      <c r="P2725"/>
    </row>
    <row r="2726" spans="16:16">
      <c r="P2726"/>
    </row>
    <row r="2727" spans="16:16">
      <c r="P2727"/>
    </row>
    <row r="2728" spans="16:16">
      <c r="P2728"/>
    </row>
    <row r="2729" spans="16:16">
      <c r="P2729"/>
    </row>
    <row r="2730" spans="16:16">
      <c r="P2730"/>
    </row>
    <row r="2731" spans="16:16">
      <c r="P2731"/>
    </row>
    <row r="2732" spans="16:16">
      <c r="P2732"/>
    </row>
    <row r="2733" spans="16:16">
      <c r="P2733"/>
    </row>
    <row r="2734" spans="16:16">
      <c r="P2734"/>
    </row>
    <row r="2735" spans="16:16">
      <c r="P2735"/>
    </row>
    <row r="2736" spans="16:16">
      <c r="P2736"/>
    </row>
    <row r="2737" spans="16:16">
      <c r="P2737"/>
    </row>
    <row r="2738" spans="16:16">
      <c r="P2738"/>
    </row>
    <row r="2739" spans="16:16">
      <c r="P2739"/>
    </row>
    <row r="2740" spans="16:16">
      <c r="P2740"/>
    </row>
    <row r="2741" spans="16:16">
      <c r="P2741"/>
    </row>
    <row r="2742" spans="16:16">
      <c r="P2742"/>
    </row>
    <row r="2743" spans="16:16">
      <c r="P2743"/>
    </row>
    <row r="2744" spans="16:16">
      <c r="P2744"/>
    </row>
    <row r="2745" spans="16:16">
      <c r="P2745"/>
    </row>
    <row r="2746" spans="16:16">
      <c r="P2746"/>
    </row>
    <row r="2747" spans="16:16">
      <c r="P2747"/>
    </row>
    <row r="2748" spans="16:16">
      <c r="P2748"/>
    </row>
    <row r="2749" spans="16:16">
      <c r="P2749"/>
    </row>
    <row r="2750" spans="16:16">
      <c r="P2750"/>
    </row>
    <row r="2751" spans="16:16">
      <c r="P2751"/>
    </row>
    <row r="2752" spans="16:16">
      <c r="P2752"/>
    </row>
    <row r="2753" spans="16:16">
      <c r="P2753"/>
    </row>
    <row r="2754" spans="16:16">
      <c r="P2754"/>
    </row>
    <row r="2755" spans="16:16">
      <c r="P2755"/>
    </row>
    <row r="2756" spans="16:16">
      <c r="P2756"/>
    </row>
    <row r="2757" spans="16:16">
      <c r="P2757"/>
    </row>
    <row r="2758" spans="16:16">
      <c r="P2758"/>
    </row>
    <row r="2759" spans="16:16">
      <c r="P2759"/>
    </row>
    <row r="2760" spans="16:16">
      <c r="P2760"/>
    </row>
    <row r="2761" spans="16:16">
      <c r="P2761"/>
    </row>
    <row r="2762" spans="16:16">
      <c r="P2762"/>
    </row>
    <row r="2763" spans="16:16">
      <c r="P2763"/>
    </row>
    <row r="2764" spans="16:16">
      <c r="P2764"/>
    </row>
    <row r="2765" spans="16:16">
      <c r="P2765"/>
    </row>
    <row r="2766" spans="16:16">
      <c r="P2766"/>
    </row>
    <row r="2767" spans="16:16">
      <c r="P2767"/>
    </row>
    <row r="2768" spans="16:16">
      <c r="P2768"/>
    </row>
    <row r="2769" spans="16:16">
      <c r="P2769"/>
    </row>
    <row r="2770" spans="16:16">
      <c r="P2770"/>
    </row>
    <row r="2771" spans="16:16">
      <c r="P2771"/>
    </row>
    <row r="2772" spans="16:16">
      <c r="P2772"/>
    </row>
    <row r="2773" spans="16:16">
      <c r="P2773"/>
    </row>
    <row r="2774" spans="16:16">
      <c r="P2774"/>
    </row>
    <row r="2775" spans="16:16">
      <c r="P2775"/>
    </row>
    <row r="2776" spans="16:16">
      <c r="P2776"/>
    </row>
    <row r="2777" spans="16:16">
      <c r="P2777"/>
    </row>
    <row r="2778" spans="16:16">
      <c r="P2778"/>
    </row>
    <row r="2779" spans="16:16">
      <c r="P2779"/>
    </row>
    <row r="2780" spans="16:16">
      <c r="P2780"/>
    </row>
    <row r="2781" spans="16:16">
      <c r="P2781"/>
    </row>
    <row r="2782" spans="16:16">
      <c r="P2782"/>
    </row>
    <row r="2783" spans="16:16">
      <c r="P2783"/>
    </row>
    <row r="2784" spans="16:16">
      <c r="P2784"/>
    </row>
    <row r="2785" spans="16:16">
      <c r="P2785"/>
    </row>
    <row r="2786" spans="16:16">
      <c r="P2786"/>
    </row>
    <row r="2787" spans="16:16">
      <c r="P2787"/>
    </row>
    <row r="2788" spans="16:16">
      <c r="P2788"/>
    </row>
    <row r="2789" spans="16:16">
      <c r="P2789"/>
    </row>
    <row r="2790" spans="16:16">
      <c r="P2790"/>
    </row>
    <row r="2791" spans="16:16">
      <c r="P2791"/>
    </row>
    <row r="2792" spans="16:16">
      <c r="P2792"/>
    </row>
    <row r="2793" spans="16:16">
      <c r="P2793"/>
    </row>
    <row r="2794" spans="16:16">
      <c r="P2794"/>
    </row>
    <row r="2795" spans="16:16">
      <c r="P2795"/>
    </row>
    <row r="2796" spans="16:16">
      <c r="P2796"/>
    </row>
    <row r="2797" spans="16:16">
      <c r="P2797"/>
    </row>
    <row r="2798" spans="16:16">
      <c r="P2798"/>
    </row>
    <row r="2799" spans="16:16">
      <c r="P2799"/>
    </row>
    <row r="2800" spans="16:16">
      <c r="P2800"/>
    </row>
    <row r="2801" spans="16:16">
      <c r="P2801"/>
    </row>
    <row r="2802" spans="16:16">
      <c r="P2802"/>
    </row>
    <row r="2803" spans="16:16">
      <c r="P2803"/>
    </row>
    <row r="2804" spans="16:16">
      <c r="P2804"/>
    </row>
    <row r="2805" spans="16:16">
      <c r="P2805"/>
    </row>
    <row r="2806" spans="16:16">
      <c r="P2806"/>
    </row>
    <row r="2807" spans="16:16">
      <c r="P2807"/>
    </row>
    <row r="2808" spans="16:16">
      <c r="P2808"/>
    </row>
    <row r="2809" spans="16:16">
      <c r="P2809"/>
    </row>
    <row r="2810" spans="16:16">
      <c r="P2810"/>
    </row>
    <row r="2811" spans="16:16">
      <c r="P2811"/>
    </row>
    <row r="2812" spans="16:16">
      <c r="P2812"/>
    </row>
    <row r="2813" spans="16:16">
      <c r="P2813"/>
    </row>
    <row r="2814" spans="16:16">
      <c r="P2814"/>
    </row>
    <row r="2815" spans="16:16">
      <c r="P2815"/>
    </row>
    <row r="2816" spans="16:16">
      <c r="P2816"/>
    </row>
    <row r="2817" spans="16:16">
      <c r="P2817"/>
    </row>
    <row r="2818" spans="16:16">
      <c r="P2818"/>
    </row>
    <row r="2819" spans="16:16">
      <c r="P2819"/>
    </row>
    <row r="2820" spans="16:16">
      <c r="P2820"/>
    </row>
    <row r="2821" spans="16:16">
      <c r="P2821"/>
    </row>
    <row r="2822" spans="16:16">
      <c r="P2822"/>
    </row>
    <row r="2823" spans="16:16">
      <c r="P2823"/>
    </row>
    <row r="2824" spans="16:16">
      <c r="P2824"/>
    </row>
    <row r="2825" spans="16:16">
      <c r="P2825"/>
    </row>
    <row r="2826" spans="16:16">
      <c r="P2826"/>
    </row>
    <row r="2827" spans="16:16">
      <c r="P2827"/>
    </row>
    <row r="2828" spans="16:16">
      <c r="P2828"/>
    </row>
    <row r="2829" spans="16:16">
      <c r="P2829"/>
    </row>
    <row r="2830" spans="16:16">
      <c r="P2830"/>
    </row>
    <row r="2831" spans="16:16">
      <c r="P2831"/>
    </row>
    <row r="2832" spans="16:16">
      <c r="P2832"/>
    </row>
    <row r="2833" spans="16:16">
      <c r="P2833"/>
    </row>
    <row r="2834" spans="16:16">
      <c r="P2834"/>
    </row>
    <row r="2835" spans="16:16">
      <c r="P2835"/>
    </row>
    <row r="2836" spans="16:16">
      <c r="P2836"/>
    </row>
    <row r="2837" spans="16:16">
      <c r="P2837"/>
    </row>
    <row r="2838" spans="16:16">
      <c r="P2838"/>
    </row>
    <row r="2839" spans="16:16">
      <c r="P2839"/>
    </row>
    <row r="2840" spans="16:16">
      <c r="P2840"/>
    </row>
    <row r="2841" spans="16:16">
      <c r="P2841"/>
    </row>
    <row r="2842" spans="16:16">
      <c r="P2842"/>
    </row>
    <row r="2843" spans="16:16">
      <c r="P2843"/>
    </row>
    <row r="2844" spans="16:16">
      <c r="P2844"/>
    </row>
    <row r="2845" spans="16:16">
      <c r="P2845"/>
    </row>
    <row r="2846" spans="16:16">
      <c r="P2846"/>
    </row>
    <row r="2847" spans="16:16">
      <c r="P2847"/>
    </row>
    <row r="2848" spans="16:16">
      <c r="P2848"/>
    </row>
    <row r="2849" spans="16:16">
      <c r="P2849"/>
    </row>
    <row r="2850" spans="16:16">
      <c r="P2850"/>
    </row>
    <row r="2851" spans="16:16">
      <c r="P2851"/>
    </row>
    <row r="2852" spans="16:16">
      <c r="P2852"/>
    </row>
    <row r="2853" spans="16:16">
      <c r="P2853"/>
    </row>
    <row r="2854" spans="16:16">
      <c r="P2854"/>
    </row>
    <row r="2855" spans="16:16">
      <c r="P2855"/>
    </row>
    <row r="2856" spans="16:16">
      <c r="P2856"/>
    </row>
    <row r="2857" spans="16:16">
      <c r="P2857"/>
    </row>
    <row r="2858" spans="16:16">
      <c r="P2858"/>
    </row>
    <row r="2859" spans="16:16">
      <c r="P2859"/>
    </row>
    <row r="2860" spans="16:16">
      <c r="P2860"/>
    </row>
    <row r="2861" spans="16:16">
      <c r="P2861"/>
    </row>
    <row r="2862" spans="16:16">
      <c r="P2862"/>
    </row>
    <row r="2863" spans="16:16">
      <c r="P2863"/>
    </row>
    <row r="2864" spans="16:16">
      <c r="P2864"/>
    </row>
    <row r="2865" spans="16:16">
      <c r="P2865"/>
    </row>
    <row r="2866" spans="16:16">
      <c r="P2866"/>
    </row>
    <row r="2867" spans="16:16">
      <c r="P2867"/>
    </row>
    <row r="2868" spans="16:16">
      <c r="P2868"/>
    </row>
    <row r="2869" spans="16:16">
      <c r="P2869"/>
    </row>
    <row r="2870" spans="16:16">
      <c r="P2870"/>
    </row>
    <row r="2871" spans="16:16">
      <c r="P2871"/>
    </row>
    <row r="2872" spans="16:16">
      <c r="P2872"/>
    </row>
    <row r="2873" spans="16:16">
      <c r="P2873"/>
    </row>
    <row r="2874" spans="16:16">
      <c r="P2874"/>
    </row>
    <row r="2875" spans="16:16">
      <c r="P2875"/>
    </row>
    <row r="2876" spans="16:16">
      <c r="P2876"/>
    </row>
    <row r="2877" spans="16:16">
      <c r="P2877"/>
    </row>
    <row r="2878" spans="16:16">
      <c r="P2878"/>
    </row>
    <row r="2879" spans="16:16">
      <c r="P2879"/>
    </row>
    <row r="2880" spans="16:16">
      <c r="P2880"/>
    </row>
    <row r="2881" spans="16:16">
      <c r="P2881"/>
    </row>
    <row r="2882" spans="16:16">
      <c r="P2882"/>
    </row>
    <row r="2883" spans="16:16">
      <c r="P2883"/>
    </row>
    <row r="2884" spans="16:16">
      <c r="P2884"/>
    </row>
    <row r="2885" spans="16:16">
      <c r="P2885"/>
    </row>
    <row r="2886" spans="16:16">
      <c r="P2886"/>
    </row>
    <row r="2887" spans="16:16">
      <c r="P2887"/>
    </row>
    <row r="2888" spans="16:16">
      <c r="P2888"/>
    </row>
    <row r="2889" spans="16:16">
      <c r="P2889"/>
    </row>
    <row r="2890" spans="16:16">
      <c r="P2890"/>
    </row>
    <row r="2891" spans="16:16">
      <c r="P2891"/>
    </row>
    <row r="2892" spans="16:16">
      <c r="P2892"/>
    </row>
    <row r="2893" spans="16:16">
      <c r="P2893"/>
    </row>
    <row r="2894" spans="16:16">
      <c r="P2894"/>
    </row>
    <row r="2895" spans="16:16">
      <c r="P2895"/>
    </row>
    <row r="2896" spans="16:16">
      <c r="P2896"/>
    </row>
    <row r="2897" spans="16:16">
      <c r="P2897"/>
    </row>
    <row r="2898" spans="16:16">
      <c r="P2898"/>
    </row>
    <row r="2899" spans="16:16">
      <c r="P2899"/>
    </row>
    <row r="2900" spans="16:16">
      <c r="P2900"/>
    </row>
    <row r="2901" spans="16:16">
      <c r="P2901"/>
    </row>
    <row r="2902" spans="16:16">
      <c r="P2902"/>
    </row>
    <row r="2903" spans="16:16">
      <c r="P2903"/>
    </row>
    <row r="2904" spans="16:16">
      <c r="P2904"/>
    </row>
    <row r="2905" spans="16:16">
      <c r="P2905"/>
    </row>
    <row r="2906" spans="16:16">
      <c r="P2906"/>
    </row>
    <row r="2907" spans="16:16">
      <c r="P2907"/>
    </row>
    <row r="2908" spans="16:16">
      <c r="P2908"/>
    </row>
    <row r="2909" spans="16:16">
      <c r="P2909"/>
    </row>
    <row r="2910" spans="16:16">
      <c r="P2910"/>
    </row>
    <row r="2911" spans="16:16">
      <c r="P2911"/>
    </row>
    <row r="2912" spans="16:16">
      <c r="P2912"/>
    </row>
    <row r="2913" spans="16:16">
      <c r="P2913"/>
    </row>
    <row r="2914" spans="16:16">
      <c r="P2914"/>
    </row>
    <row r="2915" spans="16:16">
      <c r="P2915"/>
    </row>
    <row r="2916" spans="16:16">
      <c r="P2916"/>
    </row>
    <row r="2917" spans="16:16">
      <c r="P2917"/>
    </row>
    <row r="2918" spans="16:16">
      <c r="P2918"/>
    </row>
    <row r="2919" spans="16:16">
      <c r="P2919"/>
    </row>
    <row r="2920" spans="16:16">
      <c r="P2920"/>
    </row>
    <row r="2921" spans="16:16">
      <c r="P2921"/>
    </row>
    <row r="2922" spans="16:16">
      <c r="P2922"/>
    </row>
    <row r="2923" spans="16:16">
      <c r="P2923"/>
    </row>
    <row r="2924" spans="16:16">
      <c r="P2924"/>
    </row>
    <row r="2925" spans="16:16">
      <c r="P2925"/>
    </row>
    <row r="2926" spans="16:16">
      <c r="P2926"/>
    </row>
    <row r="2927" spans="16:16">
      <c r="P2927"/>
    </row>
    <row r="2928" spans="16:16">
      <c r="P2928"/>
    </row>
    <row r="2929" spans="16:16">
      <c r="P2929"/>
    </row>
    <row r="2930" spans="16:16">
      <c r="P2930"/>
    </row>
    <row r="2931" spans="16:16">
      <c r="P2931"/>
    </row>
    <row r="2932" spans="16:16">
      <c r="P2932"/>
    </row>
    <row r="2933" spans="16:16">
      <c r="P2933"/>
    </row>
    <row r="2934" spans="16:16">
      <c r="P2934"/>
    </row>
    <row r="2935" spans="16:16">
      <c r="P2935"/>
    </row>
    <row r="2936" spans="16:16">
      <c r="P2936"/>
    </row>
    <row r="2937" spans="16:16">
      <c r="P2937"/>
    </row>
    <row r="2938" spans="16:16">
      <c r="P2938"/>
    </row>
    <row r="2939" spans="16:16">
      <c r="P2939"/>
    </row>
    <row r="2940" spans="16:16">
      <c r="P2940"/>
    </row>
    <row r="2941" spans="16:16">
      <c r="P2941"/>
    </row>
    <row r="2942" spans="16:16">
      <c r="P2942"/>
    </row>
    <row r="2943" spans="16:16">
      <c r="P2943"/>
    </row>
    <row r="2944" spans="16:16">
      <c r="P2944"/>
    </row>
    <row r="2945" spans="16:16">
      <c r="P2945"/>
    </row>
    <row r="2946" spans="16:16">
      <c r="P2946"/>
    </row>
    <row r="2947" spans="16:16">
      <c r="P2947"/>
    </row>
    <row r="2948" spans="16:16">
      <c r="P2948"/>
    </row>
    <row r="2949" spans="16:16">
      <c r="P2949"/>
    </row>
    <row r="2950" spans="16:16">
      <c r="P2950"/>
    </row>
    <row r="2951" spans="16:16">
      <c r="P2951"/>
    </row>
    <row r="2952" spans="16:16">
      <c r="P2952"/>
    </row>
    <row r="2953" spans="16:16">
      <c r="P2953"/>
    </row>
    <row r="2954" spans="16:16">
      <c r="P2954"/>
    </row>
    <row r="2955" spans="16:16">
      <c r="P2955"/>
    </row>
    <row r="2956" spans="16:16">
      <c r="P2956"/>
    </row>
    <row r="2957" spans="16:16">
      <c r="P2957"/>
    </row>
    <row r="2958" spans="16:16">
      <c r="P2958"/>
    </row>
    <row r="2959" spans="16:16">
      <c r="P2959"/>
    </row>
    <row r="2960" spans="16:16">
      <c r="P2960"/>
    </row>
    <row r="2961" spans="16:16">
      <c r="P2961"/>
    </row>
    <row r="2962" spans="16:16">
      <c r="P2962"/>
    </row>
    <row r="2963" spans="16:16">
      <c r="P2963"/>
    </row>
    <row r="2964" spans="16:16">
      <c r="P2964"/>
    </row>
    <row r="2965" spans="16:16">
      <c r="P2965"/>
    </row>
    <row r="2966" spans="16:16">
      <c r="P2966"/>
    </row>
    <row r="2967" spans="16:16">
      <c r="P2967"/>
    </row>
    <row r="2968" spans="16:16">
      <c r="P2968"/>
    </row>
    <row r="2969" spans="16:16">
      <c r="P2969"/>
    </row>
    <row r="2970" spans="16:16">
      <c r="P2970"/>
    </row>
    <row r="2971" spans="16:16">
      <c r="P2971"/>
    </row>
    <row r="2972" spans="16:16">
      <c r="P2972"/>
    </row>
    <row r="2973" spans="16:16">
      <c r="P2973"/>
    </row>
    <row r="2974" spans="16:16">
      <c r="P2974"/>
    </row>
    <row r="2975" spans="16:16">
      <c r="P2975"/>
    </row>
    <row r="2976" spans="16:16">
      <c r="P2976"/>
    </row>
    <row r="2977" spans="16:16">
      <c r="P2977"/>
    </row>
    <row r="2978" spans="16:16">
      <c r="P2978"/>
    </row>
    <row r="2979" spans="16:16">
      <c r="P2979"/>
    </row>
    <row r="2980" spans="16:16">
      <c r="P2980"/>
    </row>
    <row r="2981" spans="16:16">
      <c r="P2981"/>
    </row>
    <row r="2982" spans="16:16">
      <c r="P2982"/>
    </row>
    <row r="2983" spans="16:16">
      <c r="P2983"/>
    </row>
    <row r="2984" spans="16:16">
      <c r="P2984"/>
    </row>
    <row r="2985" spans="16:16">
      <c r="P2985"/>
    </row>
    <row r="2986" spans="16:16">
      <c r="P2986"/>
    </row>
    <row r="2987" spans="16:16">
      <c r="P2987"/>
    </row>
    <row r="2988" spans="16:16">
      <c r="P2988"/>
    </row>
    <row r="2989" spans="16:16">
      <c r="P2989"/>
    </row>
    <row r="2990" spans="16:16">
      <c r="P2990"/>
    </row>
    <row r="2991" spans="16:16">
      <c r="P2991"/>
    </row>
    <row r="2992" spans="16:16">
      <c r="P2992"/>
    </row>
    <row r="2993" spans="16:16">
      <c r="P2993"/>
    </row>
    <row r="2994" spans="16:16">
      <c r="P2994"/>
    </row>
    <row r="2995" spans="16:16">
      <c r="P2995"/>
    </row>
    <row r="2996" spans="16:16">
      <c r="P2996"/>
    </row>
    <row r="2997" spans="16:16">
      <c r="P2997"/>
    </row>
    <row r="2998" spans="16:16">
      <c r="P2998"/>
    </row>
    <row r="2999" spans="16:16">
      <c r="P2999"/>
    </row>
    <row r="3000" spans="16:16">
      <c r="P3000"/>
    </row>
    <row r="3001" spans="16:16">
      <c r="P3001"/>
    </row>
    <row r="3002" spans="16:16">
      <c r="P3002"/>
    </row>
    <row r="3003" spans="16:16">
      <c r="P3003"/>
    </row>
    <row r="3004" spans="16:16">
      <c r="P3004"/>
    </row>
    <row r="3005" spans="16:16">
      <c r="P3005"/>
    </row>
    <row r="3006" spans="16:16">
      <c r="P3006"/>
    </row>
    <row r="3007" spans="16:16">
      <c r="P3007"/>
    </row>
    <row r="3008" spans="16:16">
      <c r="P3008"/>
    </row>
    <row r="3009" spans="16:16">
      <c r="P3009"/>
    </row>
    <row r="3010" spans="16:16">
      <c r="P3010"/>
    </row>
    <row r="3011" spans="16:16">
      <c r="P3011"/>
    </row>
    <row r="3012" spans="16:16">
      <c r="P3012"/>
    </row>
    <row r="3013" spans="16:16">
      <c r="P3013"/>
    </row>
    <row r="3014" spans="16:16">
      <c r="P3014"/>
    </row>
    <row r="3015" spans="16:16">
      <c r="P3015"/>
    </row>
    <row r="3016" spans="16:16">
      <c r="P3016"/>
    </row>
    <row r="3017" spans="16:16">
      <c r="P3017"/>
    </row>
    <row r="3018" spans="16:16">
      <c r="P3018"/>
    </row>
    <row r="3019" spans="16:16">
      <c r="P3019"/>
    </row>
    <row r="3020" spans="16:16">
      <c r="P3020"/>
    </row>
    <row r="3021" spans="16:16">
      <c r="P3021"/>
    </row>
    <row r="3022" spans="16:16">
      <c r="P3022"/>
    </row>
    <row r="3023" spans="16:16">
      <c r="P3023"/>
    </row>
    <row r="3024" spans="16:16">
      <c r="P3024"/>
    </row>
    <row r="3025" spans="16:16">
      <c r="P3025"/>
    </row>
    <row r="3026" spans="16:16">
      <c r="P3026"/>
    </row>
    <row r="3027" spans="16:16">
      <c r="P3027"/>
    </row>
    <row r="3028" spans="16:16">
      <c r="P3028"/>
    </row>
    <row r="3029" spans="16:16">
      <c r="P3029"/>
    </row>
    <row r="3030" spans="16:16">
      <c r="P3030"/>
    </row>
    <row r="3031" spans="16:16">
      <c r="P3031"/>
    </row>
    <row r="3032" spans="16:16">
      <c r="P3032"/>
    </row>
    <row r="3033" spans="16:16">
      <c r="P3033"/>
    </row>
    <row r="3034" spans="16:16">
      <c r="P3034"/>
    </row>
    <row r="3035" spans="16:16">
      <c r="P3035"/>
    </row>
    <row r="3036" spans="16:16">
      <c r="P3036"/>
    </row>
    <row r="3037" spans="16:16">
      <c r="P3037"/>
    </row>
    <row r="3038" spans="16:16">
      <c r="P3038"/>
    </row>
    <row r="3039" spans="16:16">
      <c r="P3039"/>
    </row>
    <row r="3040" spans="16:16">
      <c r="P3040"/>
    </row>
    <row r="3041" spans="16:16">
      <c r="P3041"/>
    </row>
    <row r="3042" spans="16:16">
      <c r="P3042"/>
    </row>
    <row r="3043" spans="16:16">
      <c r="P3043"/>
    </row>
    <row r="3044" spans="16:16">
      <c r="P3044"/>
    </row>
    <row r="3045" spans="16:16">
      <c r="P3045"/>
    </row>
    <row r="3046" spans="16:16">
      <c r="P3046"/>
    </row>
    <row r="3047" spans="16:16">
      <c r="P3047"/>
    </row>
    <row r="3048" spans="16:16">
      <c r="P3048"/>
    </row>
    <row r="3049" spans="16:16">
      <c r="P3049"/>
    </row>
    <row r="3050" spans="16:16">
      <c r="P3050"/>
    </row>
    <row r="3051" spans="16:16">
      <c r="P3051"/>
    </row>
    <row r="3052" spans="16:16">
      <c r="P3052"/>
    </row>
    <row r="3053" spans="16:16">
      <c r="P3053"/>
    </row>
    <row r="3054" spans="16:16">
      <c r="P3054"/>
    </row>
    <row r="3055" spans="16:16">
      <c r="P3055"/>
    </row>
    <row r="3056" spans="16:16">
      <c r="P3056"/>
    </row>
    <row r="3057" spans="16:16">
      <c r="P3057"/>
    </row>
    <row r="3058" spans="16:16">
      <c r="P3058"/>
    </row>
    <row r="3059" spans="16:16">
      <c r="P3059"/>
    </row>
    <row r="3060" spans="16:16">
      <c r="P3060"/>
    </row>
    <row r="3061" spans="16:16">
      <c r="P3061"/>
    </row>
    <row r="3062" spans="16:16">
      <c r="P3062"/>
    </row>
    <row r="3063" spans="16:16">
      <c r="P3063"/>
    </row>
    <row r="3064" spans="16:16">
      <c r="P3064"/>
    </row>
    <row r="3065" spans="16:16">
      <c r="P3065"/>
    </row>
    <row r="3066" spans="16:16">
      <c r="P3066"/>
    </row>
    <row r="3067" spans="16:16">
      <c r="P3067"/>
    </row>
    <row r="3068" spans="16:16">
      <c r="P3068"/>
    </row>
    <row r="3069" spans="16:16">
      <c r="P3069"/>
    </row>
    <row r="3070" spans="16:16">
      <c r="P3070"/>
    </row>
    <row r="3071" spans="16:16">
      <c r="P3071"/>
    </row>
    <row r="3072" spans="16:16">
      <c r="P3072"/>
    </row>
    <row r="3073" spans="16:16">
      <c r="P3073"/>
    </row>
    <row r="3074" spans="16:16">
      <c r="P3074"/>
    </row>
    <row r="3075" spans="16:16">
      <c r="P3075"/>
    </row>
    <row r="3076" spans="16:16">
      <c r="P3076"/>
    </row>
    <row r="3077" spans="16:16">
      <c r="P3077"/>
    </row>
    <row r="3078" spans="16:16">
      <c r="P3078"/>
    </row>
    <row r="3079" spans="16:16">
      <c r="P3079"/>
    </row>
    <row r="3080" spans="16:16">
      <c r="P3080"/>
    </row>
    <row r="3081" spans="16:16">
      <c r="P3081"/>
    </row>
    <row r="3082" spans="16:16">
      <c r="P3082"/>
    </row>
    <row r="3083" spans="16:16">
      <c r="P3083"/>
    </row>
    <row r="3084" spans="16:16">
      <c r="P3084"/>
    </row>
    <row r="3085" spans="16:16">
      <c r="P3085"/>
    </row>
    <row r="3086" spans="16:16">
      <c r="P3086"/>
    </row>
    <row r="3087" spans="16:16">
      <c r="P3087"/>
    </row>
    <row r="3088" spans="16:16">
      <c r="P3088"/>
    </row>
    <row r="3089" spans="16:16">
      <c r="P3089"/>
    </row>
    <row r="3090" spans="16:16">
      <c r="P3090"/>
    </row>
    <row r="3091" spans="16:16">
      <c r="P3091"/>
    </row>
    <row r="3092" spans="16:16">
      <c r="P3092"/>
    </row>
    <row r="3093" spans="16:16">
      <c r="P3093"/>
    </row>
    <row r="3094" spans="16:16">
      <c r="P3094"/>
    </row>
    <row r="3095" spans="16:16">
      <c r="P3095"/>
    </row>
    <row r="3096" spans="16:16">
      <c r="P3096"/>
    </row>
    <row r="3097" spans="16:16">
      <c r="P3097"/>
    </row>
    <row r="3098" spans="16:16">
      <c r="P3098"/>
    </row>
    <row r="3099" spans="16:16">
      <c r="P3099"/>
    </row>
    <row r="3100" spans="16:16">
      <c r="P3100"/>
    </row>
    <row r="3101" spans="16:16">
      <c r="P3101"/>
    </row>
    <row r="3102" spans="16:16">
      <c r="P3102"/>
    </row>
    <row r="3103" spans="16:16">
      <c r="P3103"/>
    </row>
    <row r="3104" spans="16:16">
      <c r="P3104"/>
    </row>
    <row r="3105" spans="16:16">
      <c r="P3105"/>
    </row>
    <row r="3106" spans="16:16">
      <c r="P3106"/>
    </row>
    <row r="3107" spans="16:16">
      <c r="P3107"/>
    </row>
    <row r="3108" spans="16:16">
      <c r="P3108"/>
    </row>
    <row r="3109" spans="16:16">
      <c r="P3109"/>
    </row>
    <row r="3110" spans="16:16">
      <c r="P3110"/>
    </row>
    <row r="3111" spans="16:16">
      <c r="P3111"/>
    </row>
    <row r="3112" spans="16:16">
      <c r="P3112"/>
    </row>
    <row r="3113" spans="16:16">
      <c r="P3113"/>
    </row>
    <row r="3114" spans="16:16">
      <c r="P3114"/>
    </row>
    <row r="3115" spans="16:16">
      <c r="P3115"/>
    </row>
    <row r="3116" spans="16:16">
      <c r="P3116"/>
    </row>
    <row r="3117" spans="16:16">
      <c r="P3117"/>
    </row>
    <row r="3118" spans="16:16">
      <c r="P3118"/>
    </row>
    <row r="3119" spans="16:16">
      <c r="P3119"/>
    </row>
    <row r="3120" spans="16:16">
      <c r="P3120"/>
    </row>
    <row r="3121" spans="16:16">
      <c r="P3121"/>
    </row>
    <row r="3122" spans="16:16">
      <c r="P3122"/>
    </row>
    <row r="3123" spans="16:16">
      <c r="P3123"/>
    </row>
    <row r="3124" spans="16:16">
      <c r="P3124"/>
    </row>
    <row r="3125" spans="16:16">
      <c r="P3125"/>
    </row>
    <row r="3126" spans="16:16">
      <c r="P3126"/>
    </row>
    <row r="3127" spans="16:16">
      <c r="P3127"/>
    </row>
    <row r="3128" spans="16:16">
      <c r="P3128"/>
    </row>
    <row r="3129" spans="16:16">
      <c r="P3129"/>
    </row>
    <row r="3130" spans="16:16">
      <c r="P3130"/>
    </row>
    <row r="3131" spans="16:16">
      <c r="P3131"/>
    </row>
    <row r="3132" spans="16:16">
      <c r="P3132"/>
    </row>
    <row r="3133" spans="16:16">
      <c r="P3133"/>
    </row>
    <row r="3134" spans="16:16">
      <c r="P3134"/>
    </row>
    <row r="3135" spans="16:16">
      <c r="P3135"/>
    </row>
    <row r="3136" spans="16:16">
      <c r="P3136"/>
    </row>
    <row r="3137" spans="16:16">
      <c r="P3137"/>
    </row>
    <row r="3138" spans="16:16">
      <c r="P3138"/>
    </row>
    <row r="3139" spans="16:16">
      <c r="P3139"/>
    </row>
    <row r="3140" spans="16:16">
      <c r="P3140"/>
    </row>
    <row r="3141" spans="16:16">
      <c r="P3141"/>
    </row>
    <row r="3142" spans="16:16">
      <c r="P3142"/>
    </row>
    <row r="3143" spans="16:16">
      <c r="P3143"/>
    </row>
    <row r="3144" spans="16:16">
      <c r="P3144"/>
    </row>
    <row r="3145" spans="16:16">
      <c r="P3145"/>
    </row>
    <row r="3146" spans="16:16">
      <c r="P3146"/>
    </row>
    <row r="3147" spans="16:16">
      <c r="P3147"/>
    </row>
    <row r="3148" spans="16:16">
      <c r="P3148"/>
    </row>
    <row r="3149" spans="16:16">
      <c r="P3149"/>
    </row>
    <row r="3150" spans="16:16">
      <c r="P3150"/>
    </row>
    <row r="3151" spans="16:16">
      <c r="P3151"/>
    </row>
    <row r="3152" spans="16:16">
      <c r="P3152"/>
    </row>
    <row r="3153" spans="16:16">
      <c r="P3153"/>
    </row>
    <row r="3154" spans="16:16">
      <c r="P3154"/>
    </row>
    <row r="3155" spans="16:16">
      <c r="P3155"/>
    </row>
    <row r="3156" spans="16:16">
      <c r="P3156"/>
    </row>
    <row r="3157" spans="16:16">
      <c r="P3157"/>
    </row>
    <row r="3158" spans="16:16">
      <c r="P3158"/>
    </row>
    <row r="3159" spans="16:16">
      <c r="P3159"/>
    </row>
    <row r="3160" spans="16:16">
      <c r="P3160"/>
    </row>
    <row r="3161" spans="16:16">
      <c r="P3161"/>
    </row>
    <row r="3162" spans="16:16">
      <c r="P3162"/>
    </row>
    <row r="3163" spans="16:16">
      <c r="P3163"/>
    </row>
    <row r="3164" spans="16:16">
      <c r="P3164"/>
    </row>
    <row r="3165" spans="16:16">
      <c r="P3165"/>
    </row>
    <row r="3166" spans="16:16">
      <c r="P3166"/>
    </row>
    <row r="3167" spans="16:16">
      <c r="P3167"/>
    </row>
    <row r="3168" spans="16:16">
      <c r="P3168"/>
    </row>
    <row r="3169" spans="16:16">
      <c r="P3169"/>
    </row>
    <row r="3170" spans="16:16">
      <c r="P3170"/>
    </row>
    <row r="3171" spans="16:16">
      <c r="P3171"/>
    </row>
    <row r="3172" spans="16:16">
      <c r="P3172"/>
    </row>
    <row r="3173" spans="16:16">
      <c r="P3173"/>
    </row>
    <row r="3174" spans="16:16">
      <c r="P3174"/>
    </row>
    <row r="3175" spans="16:16">
      <c r="P3175"/>
    </row>
    <row r="3176" spans="16:16">
      <c r="P3176"/>
    </row>
    <row r="3177" spans="16:16">
      <c r="P3177"/>
    </row>
    <row r="3178" spans="16:16">
      <c r="P3178"/>
    </row>
    <row r="3179" spans="16:16">
      <c r="P3179"/>
    </row>
    <row r="3180" spans="16:16">
      <c r="P3180"/>
    </row>
    <row r="3181" spans="16:16">
      <c r="P3181"/>
    </row>
    <row r="3182" spans="16:16">
      <c r="P3182"/>
    </row>
    <row r="3183" spans="16:16">
      <c r="P3183"/>
    </row>
    <row r="3184" spans="16:16">
      <c r="P3184"/>
    </row>
    <row r="3185" spans="16:16">
      <c r="P3185"/>
    </row>
    <row r="3186" spans="16:16">
      <c r="P3186"/>
    </row>
    <row r="3187" spans="16:16">
      <c r="P3187"/>
    </row>
    <row r="3188" spans="16:16">
      <c r="P3188"/>
    </row>
    <row r="3189" spans="16:16">
      <c r="P3189"/>
    </row>
    <row r="3190" spans="16:16">
      <c r="P3190"/>
    </row>
    <row r="3191" spans="16:16">
      <c r="P3191"/>
    </row>
    <row r="3192" spans="16:16">
      <c r="P3192"/>
    </row>
    <row r="3193" spans="16:16">
      <c r="P3193"/>
    </row>
    <row r="3194" spans="16:16">
      <c r="P3194"/>
    </row>
    <row r="3195" spans="16:16">
      <c r="P3195"/>
    </row>
    <row r="3196" spans="16:16">
      <c r="P3196"/>
    </row>
    <row r="3197" spans="16:16">
      <c r="P3197"/>
    </row>
    <row r="3198" spans="16:16">
      <c r="P3198"/>
    </row>
    <row r="3199" spans="16:16">
      <c r="P3199"/>
    </row>
    <row r="3200" spans="16:16">
      <c r="P3200"/>
    </row>
    <row r="3201" spans="16:16">
      <c r="P3201"/>
    </row>
    <row r="3202" spans="16:16">
      <c r="P3202"/>
    </row>
    <row r="3203" spans="16:16">
      <c r="P3203"/>
    </row>
    <row r="3204" spans="16:16">
      <c r="P3204"/>
    </row>
    <row r="3205" spans="16:16">
      <c r="P3205"/>
    </row>
    <row r="3206" spans="16:16">
      <c r="P3206"/>
    </row>
    <row r="3207" spans="16:16">
      <c r="P3207"/>
    </row>
    <row r="3208" spans="16:16">
      <c r="P3208"/>
    </row>
    <row r="3209" spans="16:16">
      <c r="P3209"/>
    </row>
    <row r="3210" spans="16:16">
      <c r="P3210"/>
    </row>
    <row r="3211" spans="16:16">
      <c r="P3211"/>
    </row>
    <row r="3212" spans="16:16">
      <c r="P3212"/>
    </row>
    <row r="3213" spans="16:16">
      <c r="P3213"/>
    </row>
    <row r="3214" spans="16:16">
      <c r="P3214"/>
    </row>
    <row r="3215" spans="16:16">
      <c r="P3215"/>
    </row>
    <row r="3216" spans="16:16">
      <c r="P3216"/>
    </row>
    <row r="3217" spans="16:16">
      <c r="P3217"/>
    </row>
    <row r="3218" spans="16:16">
      <c r="P3218"/>
    </row>
    <row r="3219" spans="16:16">
      <c r="P3219"/>
    </row>
    <row r="3220" spans="16:16">
      <c r="P3220"/>
    </row>
    <row r="3221" spans="16:16">
      <c r="P3221"/>
    </row>
    <row r="3222" spans="16:16">
      <c r="P3222"/>
    </row>
    <row r="3223" spans="16:16">
      <c r="P3223"/>
    </row>
    <row r="3224" spans="16:16">
      <c r="P3224"/>
    </row>
    <row r="3225" spans="16:16">
      <c r="P3225"/>
    </row>
    <row r="3226" spans="16:16">
      <c r="P3226"/>
    </row>
    <row r="3227" spans="16:16">
      <c r="P3227"/>
    </row>
    <row r="3228" spans="16:16">
      <c r="P3228"/>
    </row>
    <row r="3229" spans="16:16">
      <c r="P3229"/>
    </row>
    <row r="3230" spans="16:16">
      <c r="P3230"/>
    </row>
    <row r="3231" spans="16:16">
      <c r="P3231"/>
    </row>
    <row r="3232" spans="16:16">
      <c r="P3232"/>
    </row>
    <row r="3233" spans="16:16">
      <c r="P3233"/>
    </row>
    <row r="3234" spans="16:16">
      <c r="P3234"/>
    </row>
    <row r="3235" spans="16:16">
      <c r="P3235"/>
    </row>
    <row r="3236" spans="16:16">
      <c r="P3236"/>
    </row>
    <row r="3237" spans="16:16">
      <c r="P3237"/>
    </row>
    <row r="3238" spans="16:16">
      <c r="P3238"/>
    </row>
    <row r="3239" spans="16:16">
      <c r="P3239"/>
    </row>
    <row r="3240" spans="16:16">
      <c r="P3240"/>
    </row>
    <row r="3241" spans="16:16">
      <c r="P3241"/>
    </row>
    <row r="3242" spans="16:16">
      <c r="P3242"/>
    </row>
    <row r="3243" spans="16:16">
      <c r="P3243"/>
    </row>
    <row r="3244" spans="16:16">
      <c r="P3244"/>
    </row>
    <row r="3245" spans="16:16">
      <c r="P3245"/>
    </row>
    <row r="3246" spans="16:16">
      <c r="P3246"/>
    </row>
    <row r="3247" spans="16:16">
      <c r="P3247"/>
    </row>
    <row r="3248" spans="16:16">
      <c r="P3248"/>
    </row>
    <row r="3249" spans="16:16">
      <c r="P3249"/>
    </row>
    <row r="3250" spans="16:16">
      <c r="P3250"/>
    </row>
    <row r="3251" spans="16:16">
      <c r="P3251"/>
    </row>
    <row r="3252" spans="16:16">
      <c r="P3252"/>
    </row>
    <row r="3253" spans="16:16">
      <c r="P3253"/>
    </row>
    <row r="3254" spans="16:16">
      <c r="P3254"/>
    </row>
    <row r="3255" spans="16:16">
      <c r="P3255"/>
    </row>
    <row r="3256" spans="16:16">
      <c r="P3256"/>
    </row>
    <row r="3257" spans="16:16">
      <c r="P3257"/>
    </row>
    <row r="3258" spans="16:16">
      <c r="P3258"/>
    </row>
    <row r="3259" spans="16:16">
      <c r="P3259"/>
    </row>
    <row r="3260" spans="16:16">
      <c r="P3260"/>
    </row>
    <row r="3261" spans="16:16">
      <c r="P3261"/>
    </row>
    <row r="3262" spans="16:16">
      <c r="P3262"/>
    </row>
    <row r="3263" spans="16:16">
      <c r="P3263"/>
    </row>
    <row r="3264" spans="16:16">
      <c r="P3264"/>
    </row>
    <row r="3265" spans="16:16">
      <c r="P3265"/>
    </row>
    <row r="3266" spans="16:16">
      <c r="P3266"/>
    </row>
    <row r="3267" spans="16:16">
      <c r="P3267"/>
    </row>
    <row r="3268" spans="16:16">
      <c r="P3268"/>
    </row>
    <row r="3269" spans="16:16">
      <c r="P3269"/>
    </row>
    <row r="3270" spans="16:16">
      <c r="P3270"/>
    </row>
    <row r="3271" spans="16:16">
      <c r="P3271"/>
    </row>
    <row r="3272" spans="16:16">
      <c r="P3272"/>
    </row>
    <row r="3273" spans="16:16">
      <c r="P3273"/>
    </row>
    <row r="3274" spans="16:16">
      <c r="P3274"/>
    </row>
    <row r="3275" spans="16:16">
      <c r="P3275"/>
    </row>
    <row r="3276" spans="16:16">
      <c r="P3276"/>
    </row>
    <row r="3277" spans="16:16">
      <c r="P3277"/>
    </row>
    <row r="3278" spans="16:16">
      <c r="P3278"/>
    </row>
    <row r="3279" spans="16:16">
      <c r="P3279"/>
    </row>
    <row r="3280" spans="16:16">
      <c r="P3280"/>
    </row>
    <row r="3281" spans="16:16">
      <c r="P3281"/>
    </row>
    <row r="3282" spans="16:16">
      <c r="P3282"/>
    </row>
    <row r="3283" spans="16:16">
      <c r="P3283"/>
    </row>
    <row r="3284" spans="16:16">
      <c r="P3284"/>
    </row>
    <row r="3285" spans="16:16">
      <c r="P3285"/>
    </row>
    <row r="3286" spans="16:16">
      <c r="P3286"/>
    </row>
    <row r="3287" spans="16:16">
      <c r="P3287"/>
    </row>
    <row r="3288" spans="16:16">
      <c r="P3288"/>
    </row>
    <row r="3289" spans="16:16">
      <c r="P3289"/>
    </row>
    <row r="3290" spans="16:16">
      <c r="P3290"/>
    </row>
    <row r="3291" spans="16:16">
      <c r="P3291"/>
    </row>
    <row r="3292" spans="16:16">
      <c r="P3292"/>
    </row>
    <row r="3293" spans="16:16">
      <c r="P3293"/>
    </row>
    <row r="3294" spans="16:16">
      <c r="P3294"/>
    </row>
    <row r="3295" spans="16:16">
      <c r="P3295"/>
    </row>
    <row r="3296" spans="16:16">
      <c r="P3296"/>
    </row>
    <row r="3297" spans="16:16">
      <c r="P3297"/>
    </row>
    <row r="3298" spans="16:16">
      <c r="P3298"/>
    </row>
    <row r="3299" spans="16:16">
      <c r="P3299"/>
    </row>
    <row r="3300" spans="16:16">
      <c r="P3300"/>
    </row>
    <row r="3301" spans="16:16">
      <c r="P3301"/>
    </row>
    <row r="3302" spans="16:16">
      <c r="P3302"/>
    </row>
    <row r="3303" spans="16:16">
      <c r="P3303"/>
    </row>
    <row r="3304" spans="16:16">
      <c r="P3304"/>
    </row>
    <row r="3305" spans="16:16">
      <c r="P3305"/>
    </row>
    <row r="3306" spans="16:16">
      <c r="P3306"/>
    </row>
    <row r="3307" spans="16:16">
      <c r="P3307"/>
    </row>
    <row r="3308" spans="16:16">
      <c r="P3308"/>
    </row>
    <row r="3309" spans="16:16">
      <c r="P3309"/>
    </row>
    <row r="3310" spans="16:16">
      <c r="P3310"/>
    </row>
    <row r="3311" spans="16:16">
      <c r="P3311"/>
    </row>
    <row r="3312" spans="16:16">
      <c r="P3312"/>
    </row>
    <row r="3313" spans="16:16">
      <c r="P3313"/>
    </row>
    <row r="3314" spans="16:16">
      <c r="P3314"/>
    </row>
    <row r="3315" spans="16:16">
      <c r="P3315"/>
    </row>
    <row r="3316" spans="16:16">
      <c r="P3316"/>
    </row>
    <row r="3317" spans="16:16">
      <c r="P3317"/>
    </row>
    <row r="3318" spans="16:16">
      <c r="P3318"/>
    </row>
    <row r="3319" spans="16:16">
      <c r="P3319"/>
    </row>
    <row r="3320" spans="16:16">
      <c r="P3320"/>
    </row>
    <row r="3321" spans="16:16">
      <c r="P3321"/>
    </row>
    <row r="3322" spans="16:16">
      <c r="P3322"/>
    </row>
    <row r="3323" spans="16:16">
      <c r="P3323"/>
    </row>
    <row r="3324" spans="16:16">
      <c r="P3324"/>
    </row>
    <row r="3325" spans="16:16">
      <c r="P3325"/>
    </row>
    <row r="3326" spans="16:16">
      <c r="P3326"/>
    </row>
    <row r="3327" spans="16:16">
      <c r="P3327"/>
    </row>
    <row r="3328" spans="16:16">
      <c r="P3328"/>
    </row>
    <row r="3329" spans="16:16">
      <c r="P3329"/>
    </row>
    <row r="3330" spans="16:16">
      <c r="P3330"/>
    </row>
    <row r="3331" spans="16:16">
      <c r="P3331"/>
    </row>
    <row r="3332" spans="16:16">
      <c r="P3332"/>
    </row>
    <row r="3333" spans="16:16">
      <c r="P3333"/>
    </row>
    <row r="3334" spans="16:16">
      <c r="P3334"/>
    </row>
    <row r="3335" spans="16:16">
      <c r="P3335"/>
    </row>
    <row r="3336" spans="16:16">
      <c r="P3336"/>
    </row>
    <row r="3337" spans="16:16">
      <c r="P3337"/>
    </row>
    <row r="3338" spans="16:16">
      <c r="P3338"/>
    </row>
    <row r="3339" spans="16:16">
      <c r="P3339"/>
    </row>
    <row r="3340" spans="16:16">
      <c r="P3340"/>
    </row>
    <row r="3341" spans="16:16">
      <c r="P3341"/>
    </row>
    <row r="3342" spans="16:16">
      <c r="P3342"/>
    </row>
    <row r="3343" spans="16:16">
      <c r="P3343"/>
    </row>
    <row r="3344" spans="16:16">
      <c r="P3344"/>
    </row>
    <row r="3345" spans="16:16">
      <c r="P3345"/>
    </row>
    <row r="3346" spans="16:16">
      <c r="P3346"/>
    </row>
    <row r="3347" spans="16:16">
      <c r="P3347"/>
    </row>
    <row r="3348" spans="16:16">
      <c r="P3348"/>
    </row>
    <row r="3349" spans="16:16">
      <c r="P3349"/>
    </row>
    <row r="3350" spans="16:16">
      <c r="P3350"/>
    </row>
    <row r="3351" spans="16:16">
      <c r="P3351"/>
    </row>
    <row r="3352" spans="16:16">
      <c r="P3352"/>
    </row>
    <row r="3353" spans="16:16">
      <c r="P3353"/>
    </row>
    <row r="3354" spans="16:16">
      <c r="P3354"/>
    </row>
    <row r="3355" spans="16:16">
      <c r="P3355"/>
    </row>
    <row r="3356" spans="16:16">
      <c r="P3356"/>
    </row>
    <row r="3357" spans="16:16">
      <c r="P3357"/>
    </row>
    <row r="3358" spans="16:16">
      <c r="P3358"/>
    </row>
    <row r="3359" spans="16:16">
      <c r="P3359"/>
    </row>
    <row r="3360" spans="16:16">
      <c r="P3360"/>
    </row>
    <row r="3361" spans="16:16">
      <c r="P3361"/>
    </row>
    <row r="3362" spans="16:16">
      <c r="P3362"/>
    </row>
    <row r="3363" spans="16:16">
      <c r="P3363"/>
    </row>
    <row r="3364" spans="16:16">
      <c r="P3364"/>
    </row>
    <row r="3365" spans="16:16">
      <c r="P3365"/>
    </row>
    <row r="3366" spans="16:16">
      <c r="P3366"/>
    </row>
    <row r="3367" spans="16:16">
      <c r="P3367"/>
    </row>
    <row r="3368" spans="16:16">
      <c r="P3368"/>
    </row>
    <row r="3369" spans="16:16">
      <c r="P3369"/>
    </row>
    <row r="3370" spans="16:16">
      <c r="P3370"/>
    </row>
    <row r="3371" spans="16:16">
      <c r="P3371"/>
    </row>
    <row r="3372" spans="16:16">
      <c r="P3372"/>
    </row>
    <row r="3373" spans="16:16">
      <c r="P3373"/>
    </row>
    <row r="3374" spans="16:16">
      <c r="P3374"/>
    </row>
    <row r="3375" spans="16:16">
      <c r="P3375"/>
    </row>
    <row r="3376" spans="16:16">
      <c r="P3376"/>
    </row>
    <row r="3377" spans="16:16">
      <c r="P3377"/>
    </row>
    <row r="3378" spans="16:16">
      <c r="P3378"/>
    </row>
    <row r="3379" spans="16:16">
      <c r="P3379"/>
    </row>
    <row r="3380" spans="16:16">
      <c r="P3380"/>
    </row>
    <row r="3381" spans="16:16">
      <c r="P3381"/>
    </row>
    <row r="3382" spans="16:16">
      <c r="P3382"/>
    </row>
    <row r="3383" spans="16:16">
      <c r="P3383"/>
    </row>
    <row r="3384" spans="16:16">
      <c r="P3384"/>
    </row>
    <row r="3385" spans="16:16">
      <c r="P3385"/>
    </row>
    <row r="3386" spans="16:16">
      <c r="P3386"/>
    </row>
    <row r="3387" spans="16:16">
      <c r="P3387"/>
    </row>
    <row r="3388" spans="16:16">
      <c r="P3388"/>
    </row>
    <row r="3389" spans="16:16">
      <c r="P3389"/>
    </row>
    <row r="3390" spans="16:16">
      <c r="P3390"/>
    </row>
    <row r="3391" spans="16:16">
      <c r="P3391"/>
    </row>
    <row r="3392" spans="16:16">
      <c r="P3392"/>
    </row>
    <row r="3393" spans="16:16">
      <c r="P3393"/>
    </row>
    <row r="3394" spans="16:16">
      <c r="P3394"/>
    </row>
    <row r="3395" spans="16:16">
      <c r="P3395"/>
    </row>
    <row r="3396" spans="16:16">
      <c r="P3396"/>
    </row>
    <row r="3397" spans="16:16">
      <c r="P3397"/>
    </row>
    <row r="3398" spans="16:16">
      <c r="P3398"/>
    </row>
    <row r="3399" spans="16:16">
      <c r="P3399"/>
    </row>
    <row r="3400" spans="16:16">
      <c r="P3400"/>
    </row>
    <row r="3401" spans="16:16">
      <c r="P3401"/>
    </row>
    <row r="3402" spans="16:16">
      <c r="P3402"/>
    </row>
    <row r="3403" spans="16:16">
      <c r="P3403"/>
    </row>
    <row r="3404" spans="16:16">
      <c r="P3404"/>
    </row>
    <row r="3405" spans="16:16">
      <c r="P3405"/>
    </row>
    <row r="3406" spans="16:16">
      <c r="P3406"/>
    </row>
    <row r="3407" spans="16:16">
      <c r="P3407"/>
    </row>
    <row r="3408" spans="16:16">
      <c r="P3408"/>
    </row>
    <row r="3409" spans="16:16">
      <c r="P3409"/>
    </row>
    <row r="3410" spans="16:16">
      <c r="P3410"/>
    </row>
    <row r="3411" spans="16:16">
      <c r="P3411"/>
    </row>
    <row r="3412" spans="16:16">
      <c r="P3412"/>
    </row>
    <row r="3413" spans="16:16">
      <c r="P3413"/>
    </row>
    <row r="3414" spans="16:16">
      <c r="P3414"/>
    </row>
    <row r="3415" spans="16:16">
      <c r="P3415"/>
    </row>
    <row r="3416" spans="16:16">
      <c r="P3416"/>
    </row>
    <row r="3417" spans="16:16">
      <c r="P3417"/>
    </row>
    <row r="3418" spans="16:16">
      <c r="P3418"/>
    </row>
    <row r="3419" spans="16:16">
      <c r="P3419"/>
    </row>
    <row r="3420" spans="16:16">
      <c r="P3420"/>
    </row>
    <row r="3421" spans="16:16">
      <c r="P3421"/>
    </row>
    <row r="3422" spans="16:16">
      <c r="P3422"/>
    </row>
    <row r="3423" spans="16:16">
      <c r="P3423"/>
    </row>
    <row r="3424" spans="16:16">
      <c r="P3424"/>
    </row>
    <row r="3425" spans="16:16">
      <c r="P3425"/>
    </row>
    <row r="3426" spans="16:16">
      <c r="P3426"/>
    </row>
    <row r="3427" spans="16:16">
      <c r="P3427"/>
    </row>
    <row r="3428" spans="16:16">
      <c r="P3428"/>
    </row>
    <row r="3429" spans="16:16">
      <c r="P3429"/>
    </row>
    <row r="3430" spans="16:16">
      <c r="P3430"/>
    </row>
    <row r="3431" spans="16:16">
      <c r="P3431"/>
    </row>
    <row r="3432" spans="16:16">
      <c r="P3432"/>
    </row>
    <row r="3433" spans="16:16">
      <c r="P3433"/>
    </row>
    <row r="3434" spans="16:16">
      <c r="P3434"/>
    </row>
    <row r="3435" spans="16:16">
      <c r="P3435"/>
    </row>
    <row r="3436" spans="16:16">
      <c r="P3436"/>
    </row>
    <row r="3437" spans="16:16">
      <c r="P3437"/>
    </row>
    <row r="3438" spans="16:16">
      <c r="P3438"/>
    </row>
    <row r="3439" spans="16:16">
      <c r="P3439"/>
    </row>
    <row r="3440" spans="16:16">
      <c r="P3440"/>
    </row>
    <row r="3441" spans="16:16">
      <c r="P3441"/>
    </row>
    <row r="3442" spans="16:16">
      <c r="P3442"/>
    </row>
    <row r="3443" spans="16:16">
      <c r="P3443"/>
    </row>
    <row r="3444" spans="16:16">
      <c r="P3444"/>
    </row>
    <row r="3445" spans="16:16">
      <c r="P3445"/>
    </row>
    <row r="3446" spans="16:16">
      <c r="P3446"/>
    </row>
    <row r="3447" spans="16:16">
      <c r="P3447"/>
    </row>
    <row r="3448" spans="16:16">
      <c r="P3448"/>
    </row>
    <row r="3449" spans="16:16">
      <c r="P3449"/>
    </row>
    <row r="3450" spans="16:16">
      <c r="P3450"/>
    </row>
    <row r="3451" spans="16:16">
      <c r="P3451"/>
    </row>
    <row r="3452" spans="16:16">
      <c r="P3452"/>
    </row>
    <row r="3453" spans="16:16">
      <c r="P3453"/>
    </row>
    <row r="3454" spans="16:16">
      <c r="P3454"/>
    </row>
    <row r="3455" spans="16:16">
      <c r="P3455"/>
    </row>
    <row r="3456" spans="16:16">
      <c r="P3456"/>
    </row>
    <row r="3457" spans="16:16">
      <c r="P3457"/>
    </row>
    <row r="3458" spans="16:16">
      <c r="P3458"/>
    </row>
    <row r="3459" spans="16:16">
      <c r="P3459"/>
    </row>
    <row r="3460" spans="16:16">
      <c r="P3460"/>
    </row>
    <row r="3461" spans="16:16">
      <c r="P3461"/>
    </row>
    <row r="3462" spans="16:16">
      <c r="P3462"/>
    </row>
    <row r="3463" spans="16:16">
      <c r="P3463"/>
    </row>
    <row r="3464" spans="16:16">
      <c r="P3464"/>
    </row>
    <row r="3465" spans="16:16">
      <c r="P3465"/>
    </row>
    <row r="3466" spans="16:16">
      <c r="P3466"/>
    </row>
    <row r="3467" spans="16:16">
      <c r="P3467"/>
    </row>
    <row r="3468" spans="16:16">
      <c r="P3468"/>
    </row>
    <row r="3469" spans="16:16">
      <c r="P3469"/>
    </row>
    <row r="3470" spans="16:16">
      <c r="P3470"/>
    </row>
    <row r="3471" spans="16:16">
      <c r="P3471"/>
    </row>
    <row r="3472" spans="16:16">
      <c r="P3472"/>
    </row>
    <row r="3473" spans="16:16">
      <c r="P3473"/>
    </row>
    <row r="3474" spans="16:16">
      <c r="P3474"/>
    </row>
    <row r="3475" spans="16:16">
      <c r="P3475"/>
    </row>
    <row r="3476" spans="16:16">
      <c r="P3476"/>
    </row>
    <row r="3477" spans="16:16">
      <c r="P3477"/>
    </row>
    <row r="3478" spans="16:16">
      <c r="P3478"/>
    </row>
    <row r="3479" spans="16:16">
      <c r="P3479"/>
    </row>
    <row r="3480" spans="16:16">
      <c r="P3480"/>
    </row>
    <row r="3481" spans="16:16">
      <c r="P3481"/>
    </row>
    <row r="3482" spans="16:16">
      <c r="P3482"/>
    </row>
    <row r="3483" spans="16:16">
      <c r="P3483"/>
    </row>
    <row r="3484" spans="16:16">
      <c r="P3484"/>
    </row>
    <row r="3485" spans="16:16">
      <c r="P3485"/>
    </row>
    <row r="3486" spans="16:16">
      <c r="P3486"/>
    </row>
    <row r="3487" spans="16:16">
      <c r="P3487"/>
    </row>
    <row r="3488" spans="16:16">
      <c r="P3488"/>
    </row>
    <row r="3489" spans="16:16">
      <c r="P3489"/>
    </row>
    <row r="3490" spans="16:16">
      <c r="P3490"/>
    </row>
    <row r="3491" spans="16:16">
      <c r="P3491"/>
    </row>
    <row r="3492" spans="16:16">
      <c r="P3492"/>
    </row>
    <row r="3493" spans="16:16">
      <c r="P3493"/>
    </row>
    <row r="3494" spans="16:16">
      <c r="P3494"/>
    </row>
    <row r="3495" spans="16:16">
      <c r="P3495"/>
    </row>
    <row r="3496" spans="16:16">
      <c r="P3496"/>
    </row>
    <row r="3497" spans="16:16">
      <c r="P3497"/>
    </row>
    <row r="3498" spans="16:16">
      <c r="P3498"/>
    </row>
    <row r="3499" spans="16:16">
      <c r="P3499"/>
    </row>
    <row r="3500" spans="16:16">
      <c r="P3500"/>
    </row>
    <row r="3501" spans="16:16">
      <c r="P3501"/>
    </row>
    <row r="3502" spans="16:16">
      <c r="P3502"/>
    </row>
    <row r="3503" spans="16:16">
      <c r="P3503"/>
    </row>
    <row r="3504" spans="16:16">
      <c r="P3504"/>
    </row>
    <row r="3505" spans="16:16">
      <c r="P3505"/>
    </row>
    <row r="3506" spans="16:16">
      <c r="P3506"/>
    </row>
    <row r="3507" spans="16:16">
      <c r="P3507"/>
    </row>
    <row r="3508" spans="16:16">
      <c r="P3508"/>
    </row>
    <row r="3509" spans="16:16">
      <c r="P3509"/>
    </row>
    <row r="3510" spans="16:16">
      <c r="P3510"/>
    </row>
    <row r="3511" spans="16:16">
      <c r="P3511"/>
    </row>
    <row r="3512" spans="16:16">
      <c r="P3512"/>
    </row>
    <row r="3513" spans="16:16">
      <c r="P3513"/>
    </row>
    <row r="3514" spans="16:16">
      <c r="P3514"/>
    </row>
    <row r="3515" spans="16:16">
      <c r="P3515"/>
    </row>
    <row r="3516" spans="16:16">
      <c r="P3516"/>
    </row>
    <row r="3517" spans="16:16">
      <c r="P3517"/>
    </row>
    <row r="3518" spans="16:16">
      <c r="P3518"/>
    </row>
    <row r="3519" spans="16:16">
      <c r="P3519"/>
    </row>
    <row r="3520" spans="16:16">
      <c r="P3520"/>
    </row>
    <row r="3521" spans="16:16">
      <c r="P3521"/>
    </row>
    <row r="3522" spans="16:16">
      <c r="P3522"/>
    </row>
    <row r="3523" spans="16:16">
      <c r="P3523"/>
    </row>
    <row r="3524" spans="16:16">
      <c r="P3524"/>
    </row>
    <row r="3525" spans="16:16">
      <c r="P3525"/>
    </row>
    <row r="3526" spans="16:16">
      <c r="P3526"/>
    </row>
    <row r="3527" spans="16:16">
      <c r="P3527"/>
    </row>
    <row r="3528" spans="16:16">
      <c r="P3528"/>
    </row>
    <row r="3529" spans="16:16">
      <c r="P3529"/>
    </row>
    <row r="3530" spans="16:16">
      <c r="P3530"/>
    </row>
    <row r="3531" spans="16:16">
      <c r="P3531"/>
    </row>
    <row r="3532" spans="16:16">
      <c r="P3532"/>
    </row>
    <row r="3533" spans="16:16">
      <c r="P3533"/>
    </row>
    <row r="3534" spans="16:16">
      <c r="P3534"/>
    </row>
    <row r="3535" spans="16:16">
      <c r="P3535"/>
    </row>
    <row r="3536" spans="16:16">
      <c r="P3536"/>
    </row>
    <row r="3537" spans="16:16">
      <c r="P3537"/>
    </row>
    <row r="3538" spans="16:16">
      <c r="P3538"/>
    </row>
    <row r="3539" spans="16:16">
      <c r="P3539"/>
    </row>
    <row r="3540" spans="16:16">
      <c r="P3540"/>
    </row>
    <row r="3541" spans="16:16">
      <c r="P3541"/>
    </row>
    <row r="3542" spans="16:16">
      <c r="P3542"/>
    </row>
    <row r="3543" spans="16:16">
      <c r="P3543"/>
    </row>
    <row r="3544" spans="16:16">
      <c r="P3544"/>
    </row>
    <row r="3545" spans="16:16">
      <c r="P3545"/>
    </row>
    <row r="3546" spans="16:16">
      <c r="P3546"/>
    </row>
    <row r="3547" spans="16:16">
      <c r="P3547"/>
    </row>
    <row r="3548" spans="16:16">
      <c r="P3548"/>
    </row>
    <row r="3549" spans="16:16">
      <c r="P3549"/>
    </row>
    <row r="3550" spans="16:16">
      <c r="P3550"/>
    </row>
    <row r="3551" spans="16:16">
      <c r="P3551"/>
    </row>
    <row r="3552" spans="16:16">
      <c r="P3552"/>
    </row>
    <row r="3553" spans="16:16">
      <c r="P3553"/>
    </row>
    <row r="3554" spans="16:16">
      <c r="P3554"/>
    </row>
    <row r="3555" spans="16:16">
      <c r="P3555"/>
    </row>
    <row r="3556" spans="16:16">
      <c r="P3556"/>
    </row>
    <row r="3557" spans="16:16">
      <c r="P3557"/>
    </row>
    <row r="3558" spans="16:16">
      <c r="P3558"/>
    </row>
    <row r="3559" spans="16:16">
      <c r="P3559"/>
    </row>
    <row r="3560" spans="16:16">
      <c r="P3560"/>
    </row>
    <row r="3561" spans="16:16">
      <c r="P3561"/>
    </row>
    <row r="3562" spans="16:16">
      <c r="P3562"/>
    </row>
    <row r="3563" spans="16:16">
      <c r="P3563"/>
    </row>
    <row r="3564" spans="16:16">
      <c r="P3564"/>
    </row>
    <row r="3565" spans="16:16">
      <c r="P3565"/>
    </row>
    <row r="3566" spans="16:16">
      <c r="P3566"/>
    </row>
    <row r="3567" spans="16:16">
      <c r="P3567"/>
    </row>
    <row r="3568" spans="16:16">
      <c r="P3568"/>
    </row>
    <row r="3569" spans="16:16">
      <c r="P3569"/>
    </row>
    <row r="3570" spans="16:16">
      <c r="P3570"/>
    </row>
    <row r="3571" spans="16:16">
      <c r="P3571"/>
    </row>
    <row r="3572" spans="16:16">
      <c r="P3572"/>
    </row>
    <row r="3573" spans="16:16">
      <c r="P3573"/>
    </row>
    <row r="3574" spans="16:16">
      <c r="P3574"/>
    </row>
    <row r="3575" spans="16:16">
      <c r="P3575"/>
    </row>
    <row r="3576" spans="16:16">
      <c r="P3576"/>
    </row>
    <row r="3577" spans="16:16">
      <c r="P3577"/>
    </row>
    <row r="3578" spans="16:16">
      <c r="P3578"/>
    </row>
    <row r="3579" spans="16:16">
      <c r="P3579"/>
    </row>
    <row r="3580" spans="16:16">
      <c r="P3580"/>
    </row>
    <row r="3581" spans="16:16">
      <c r="P3581"/>
    </row>
    <row r="3582" spans="16:16">
      <c r="P3582"/>
    </row>
    <row r="3583" spans="16:16">
      <c r="P3583"/>
    </row>
    <row r="3584" spans="16:16">
      <c r="P3584"/>
    </row>
    <row r="3585" spans="16:16">
      <c r="P3585"/>
    </row>
    <row r="3586" spans="16:16">
      <c r="P3586"/>
    </row>
    <row r="3587" spans="16:16">
      <c r="P3587"/>
    </row>
    <row r="3588" spans="16:16">
      <c r="P3588"/>
    </row>
    <row r="3589" spans="16:16">
      <c r="P3589"/>
    </row>
    <row r="3590" spans="16:16">
      <c r="P3590"/>
    </row>
    <row r="3591" spans="16:16">
      <c r="P3591"/>
    </row>
    <row r="3592" spans="16:16">
      <c r="P3592"/>
    </row>
    <row r="3593" spans="16:16">
      <c r="P3593"/>
    </row>
    <row r="3594" spans="16:16">
      <c r="P3594"/>
    </row>
  </sheetData>
  <sortState xmlns:xlrd2="http://schemas.microsoft.com/office/spreadsheetml/2017/richdata2" ref="P2:P3594">
    <sortCondition ref="P2:P3594"/>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B37F8-5688-4F0B-813B-97F799ABD511}">
  <sheetPr codeName="Sheet7">
    <tabColor rgb="FFFFFF00"/>
    <pageSetUpPr fitToPage="1"/>
  </sheetPr>
  <dimension ref="A1:AF215"/>
  <sheetViews>
    <sheetView workbookViewId="0"/>
  </sheetViews>
  <sheetFormatPr defaultColWidth="9.140625" defaultRowHeight="12.75" zeroHeight="1"/>
  <cols>
    <col min="1" max="1" width="1.140625" customWidth="1"/>
    <col min="2" max="3" width="2" customWidth="1"/>
    <col min="4" max="4" width="32.140625" customWidth="1"/>
    <col min="5" max="5" width="13" customWidth="1"/>
    <col min="6" max="6" width="12.85546875" customWidth="1"/>
    <col min="7" max="7" width="12.7109375" customWidth="1"/>
    <col min="8" max="8" width="13.42578125" customWidth="1"/>
    <col min="9" max="9" width="13.7109375" customWidth="1"/>
    <col min="10" max="10" width="15.5703125" customWidth="1"/>
    <col min="11" max="11" width="5.28515625" customWidth="1"/>
    <col min="12" max="12" width="15.42578125" customWidth="1"/>
    <col min="13" max="13" width="7.7109375" customWidth="1"/>
    <col min="14" max="14" width="7.28515625" customWidth="1"/>
    <col min="15" max="15" width="25.7109375" customWidth="1"/>
    <col min="16" max="16" width="12.140625" customWidth="1"/>
    <col min="17" max="17" width="23.5703125" customWidth="1"/>
    <col min="19" max="19" width="17.28515625" customWidth="1"/>
    <col min="20" max="20" width="13.42578125" customWidth="1"/>
    <col min="21" max="21" width="13.28515625" customWidth="1"/>
    <col min="22" max="22" width="14.85546875" customWidth="1"/>
    <col min="23" max="23" width="9.85546875" customWidth="1"/>
    <col min="24" max="24" width="9" customWidth="1"/>
    <col min="25" max="25" width="10.42578125" customWidth="1"/>
    <col min="29" max="29" width="14.85546875" customWidth="1"/>
    <col min="30" max="30" width="15.28515625" customWidth="1"/>
    <col min="31" max="32" width="14.5703125" customWidth="1"/>
  </cols>
  <sheetData>
    <row r="1" spans="1:31" ht="25.5" customHeight="1" thickBot="1">
      <c r="A1" s="1028" t="s">
        <v>7573</v>
      </c>
      <c r="B1" s="27"/>
      <c r="C1" s="27"/>
      <c r="D1" s="27"/>
      <c r="E1" s="148"/>
      <c r="F1" s="149"/>
      <c r="G1" s="549"/>
      <c r="H1" s="549"/>
      <c r="J1" s="1027" t="str">
        <f>'TAB 1 Proj. ID &amp; Prim Narrative'!M1</f>
        <v>USG CAPITAL PLAN -  FY 27-30 PROJECT TEMPLATE</v>
      </c>
      <c r="K1" s="7"/>
      <c r="L1" s="7"/>
      <c r="M1" s="164"/>
      <c r="N1" s="164"/>
      <c r="O1" s="164"/>
      <c r="P1" s="164"/>
      <c r="Q1" s="164"/>
      <c r="R1" s="164"/>
      <c r="S1" s="164"/>
      <c r="T1" s="168"/>
      <c r="U1" s="168"/>
      <c r="V1" s="168"/>
      <c r="W1" s="168"/>
      <c r="X1" s="168"/>
      <c r="Y1" s="168"/>
      <c r="Z1" s="168"/>
      <c r="AA1" s="168"/>
      <c r="AB1" s="168"/>
      <c r="AC1" s="168"/>
      <c r="AD1" s="168"/>
      <c r="AE1" s="168"/>
    </row>
    <row r="2" spans="1:31" ht="18" customHeight="1" thickBot="1">
      <c r="A2" s="31"/>
      <c r="B2" s="7"/>
      <c r="C2" s="7"/>
      <c r="D2" s="320" t="str">
        <f>IF('TAB 1 Proj. ID &amp; Prim Narrative'!$B$7="","",'TAB 1 Proj. ID &amp; Prim Narrative'!$B$7)</f>
        <v/>
      </c>
      <c r="E2" s="75" t="str">
        <f>IF('TAB 1 Proj. ID &amp; Prim Narrative'!U13="","",'TAB 1 Proj. ID &amp; Prim Narrative'!U13)</f>
        <v/>
      </c>
      <c r="F2" s="320" t="str">
        <f>IF('TAB 1 Proj. ID &amp; Prim Narrative'!$AB$97="","",'TAB 1 Proj. ID &amp; Prim Narrative'!$AC$95)</f>
        <v/>
      </c>
      <c r="G2" s="1578" t="str">
        <f>IF('TAB 1 Proj. ID &amp; Prim Narrative'!$D$10="","",'TAB 1 Proj. ID &amp; Prim Narrative'!$D$10)</f>
        <v/>
      </c>
      <c r="H2" s="1439"/>
      <c r="I2" s="1439"/>
      <c r="J2" s="1440"/>
      <c r="K2" s="7"/>
      <c r="L2" s="7"/>
      <c r="M2" s="169"/>
      <c r="N2" s="169"/>
      <c r="O2" s="169"/>
      <c r="P2" s="169"/>
      <c r="Q2" s="169"/>
      <c r="R2" s="169"/>
      <c r="S2" s="169"/>
      <c r="T2" s="169"/>
      <c r="U2" s="169"/>
      <c r="V2" s="169"/>
      <c r="W2" s="169"/>
      <c r="X2" s="169"/>
    </row>
    <row r="3" spans="1:31" ht="6.75" customHeight="1" thickBot="1">
      <c r="A3" s="20"/>
      <c r="B3" s="7"/>
      <c r="C3" s="7"/>
      <c r="D3" s="7"/>
      <c r="E3" s="7"/>
      <c r="G3" s="7"/>
      <c r="H3" s="7"/>
      <c r="I3" s="7"/>
      <c r="J3" s="7"/>
      <c r="K3" s="7"/>
      <c r="L3" s="7"/>
      <c r="M3" s="170"/>
      <c r="N3" s="169"/>
      <c r="O3" s="171"/>
      <c r="P3" s="172"/>
      <c r="Q3" s="169"/>
      <c r="R3" s="169"/>
      <c r="S3" s="169"/>
      <c r="T3" s="169"/>
      <c r="U3" s="169"/>
      <c r="V3" s="169"/>
      <c r="W3" s="169"/>
      <c r="X3" s="169"/>
    </row>
    <row r="4" spans="1:31" ht="23.25" customHeight="1" thickBot="1">
      <c r="A4" s="20"/>
      <c r="B4" s="7"/>
      <c r="C4" s="7"/>
      <c r="D4" s="675" t="s">
        <v>190</v>
      </c>
      <c r="E4" s="675" t="s">
        <v>7004</v>
      </c>
      <c r="F4" s="675" t="s">
        <v>197</v>
      </c>
      <c r="G4" s="1632" t="s">
        <v>7005</v>
      </c>
      <c r="H4" s="1633"/>
      <c r="I4" s="675" t="s">
        <v>408</v>
      </c>
      <c r="J4" s="7"/>
      <c r="K4" s="7"/>
      <c r="L4" s="7"/>
      <c r="M4" s="170"/>
      <c r="N4" s="169"/>
      <c r="O4" s="69">
        <f>'TAB 1 Proj. ID &amp; Prim Narrative'!L17</f>
        <v>0</v>
      </c>
      <c r="P4" s="172"/>
      <c r="Q4" s="169"/>
      <c r="R4" s="169"/>
      <c r="S4" s="169"/>
      <c r="T4" s="169"/>
      <c r="U4" s="169"/>
      <c r="V4" s="169"/>
      <c r="W4" s="169"/>
      <c r="X4" s="169"/>
    </row>
    <row r="5" spans="1:31" ht="16.5" customHeight="1" thickBot="1">
      <c r="A5" s="147"/>
      <c r="B5" s="128"/>
      <c r="C5" s="128"/>
      <c r="D5" s="525">
        <f>G59</f>
        <v>0</v>
      </c>
      <c r="E5" s="525">
        <f>IFERROR(F5-D5,"")</f>
        <v>0</v>
      </c>
      <c r="F5" s="540">
        <f>IFERROR(ROUNDUP(D5,-5),"")</f>
        <v>0</v>
      </c>
      <c r="G5" s="1631">
        <f>G35</f>
        <v>0</v>
      </c>
      <c r="H5" s="1447"/>
      <c r="I5" s="525" t="str">
        <f>IF(O4=0,"",O4)</f>
        <v/>
      </c>
      <c r="J5" s="7"/>
      <c r="K5" s="7"/>
      <c r="L5" s="7"/>
      <c r="M5" s="170"/>
      <c r="N5" s="169"/>
      <c r="O5" s="169" t="s">
        <v>391</v>
      </c>
      <c r="P5" s="181"/>
      <c r="Q5" s="182"/>
      <c r="S5" s="169"/>
      <c r="T5" s="169"/>
      <c r="U5" s="169"/>
      <c r="V5" s="169"/>
      <c r="W5" s="169"/>
      <c r="X5" s="169"/>
    </row>
    <row r="6" spans="1:31" ht="7.5" customHeight="1">
      <c r="A6" s="147"/>
      <c r="B6" s="7"/>
      <c r="C6" s="7"/>
      <c r="D6" s="7"/>
      <c r="E6" s="7"/>
      <c r="F6" s="7"/>
      <c r="G6" s="637"/>
      <c r="H6" s="7"/>
      <c r="I6" s="7"/>
      <c r="J6" s="706"/>
      <c r="K6" s="7"/>
      <c r="L6" s="7"/>
      <c r="M6" s="170"/>
      <c r="N6" s="169"/>
      <c r="P6" s="181"/>
      <c r="R6" s="7"/>
      <c r="S6" s="169"/>
      <c r="T6" s="169"/>
      <c r="U6" s="169"/>
      <c r="V6" s="169"/>
      <c r="W6" s="169"/>
      <c r="X6" s="169"/>
    </row>
    <row r="7" spans="1:31" ht="3.75" customHeight="1">
      <c r="A7" s="147"/>
      <c r="B7" s="7"/>
      <c r="C7" s="128"/>
      <c r="D7" s="7"/>
      <c r="E7" s="7"/>
      <c r="F7" s="7"/>
      <c r="G7" s="7"/>
      <c r="H7" s="7"/>
      <c r="I7" s="7"/>
      <c r="J7" s="7"/>
      <c r="K7" s="7"/>
      <c r="L7" s="7"/>
      <c r="M7" s="170"/>
      <c r="N7" s="169"/>
      <c r="P7" s="172"/>
      <c r="Q7" s="169"/>
      <c r="R7" s="169"/>
      <c r="S7" s="169"/>
      <c r="T7" s="169"/>
      <c r="U7" s="169"/>
      <c r="V7" s="169"/>
      <c r="W7" s="169"/>
      <c r="X7" s="169"/>
    </row>
    <row r="8" spans="1:31" ht="18" customHeight="1">
      <c r="A8" s="31" t="s">
        <v>7574</v>
      </c>
      <c r="B8" s="7"/>
      <c r="C8" s="7"/>
      <c r="D8" s="7"/>
      <c r="E8" s="7"/>
      <c r="F8" s="7"/>
      <c r="G8" s="7"/>
      <c r="H8" s="7"/>
      <c r="I8" s="7"/>
      <c r="J8" s="7"/>
      <c r="K8" s="7"/>
      <c r="L8" s="7"/>
      <c r="M8" s="170"/>
      <c r="N8" s="169"/>
      <c r="O8" s="169"/>
      <c r="P8" s="172"/>
      <c r="Q8" s="169"/>
      <c r="R8" s="169"/>
      <c r="S8" s="169"/>
      <c r="T8" s="169"/>
      <c r="U8" s="169"/>
      <c r="V8" s="169"/>
      <c r="W8" s="169"/>
      <c r="X8" s="169"/>
    </row>
    <row r="9" spans="1:31" ht="7.5" customHeight="1" thickBot="1">
      <c r="A9" s="7"/>
      <c r="B9" s="7"/>
      <c r="C9" s="7"/>
      <c r="D9" s="7"/>
      <c r="E9" s="7"/>
      <c r="F9" s="7"/>
      <c r="G9" s="7"/>
      <c r="H9" s="7"/>
      <c r="I9" s="7"/>
      <c r="J9" s="7"/>
      <c r="K9" s="7"/>
      <c r="L9" s="7"/>
      <c r="M9" s="169"/>
      <c r="N9" s="169"/>
      <c r="O9" s="169"/>
      <c r="P9" s="169"/>
      <c r="Q9" s="169"/>
      <c r="R9" s="169"/>
      <c r="S9" s="169"/>
      <c r="T9" s="169"/>
      <c r="U9" s="169"/>
      <c r="V9" s="169"/>
      <c r="W9" s="169"/>
      <c r="X9" s="169"/>
    </row>
    <row r="10" spans="1:31" ht="21" customHeight="1" thickBot="1">
      <c r="A10" s="7"/>
      <c r="B10" s="644" t="s">
        <v>7575</v>
      </c>
      <c r="C10" s="1100"/>
      <c r="D10" s="1100"/>
      <c r="E10" s="344"/>
      <c r="F10" s="344"/>
      <c r="G10" s="344"/>
      <c r="H10" s="344"/>
      <c r="I10" s="344"/>
      <c r="J10" s="345"/>
      <c r="K10" s="7"/>
      <c r="L10" s="7"/>
      <c r="M10" s="169"/>
      <c r="N10" s="169"/>
      <c r="O10" s="169"/>
      <c r="P10" s="169"/>
      <c r="Q10" s="169"/>
      <c r="R10" s="169"/>
      <c r="S10" s="169"/>
      <c r="T10" s="169"/>
      <c r="U10" s="169"/>
      <c r="V10" s="169"/>
      <c r="W10" s="169"/>
      <c r="X10" s="169"/>
    </row>
    <row r="11" spans="1:31" ht="22.5" customHeight="1" thickBot="1">
      <c r="B11" s="1101" t="s">
        <v>0</v>
      </c>
      <c r="C11" s="1069"/>
      <c r="D11" s="1102"/>
      <c r="E11" s="188"/>
      <c r="F11" s="309" t="s">
        <v>118</v>
      </c>
      <c r="G11" s="76">
        <f>'TAB 2 Project Specs'!D8</f>
        <v>0</v>
      </c>
      <c r="H11" s="191" t="s">
        <v>192</v>
      </c>
      <c r="I11" s="1628" t="str">
        <f>IF('TAB 2 Project Specs'!J7="","",'TAB 2 Project Specs'!J7)</f>
        <v/>
      </c>
      <c r="J11" s="1629"/>
      <c r="K11" s="7"/>
      <c r="L11" s="7"/>
      <c r="M11" s="169"/>
      <c r="N11" s="169"/>
      <c r="O11" s="169"/>
      <c r="P11" s="169"/>
      <c r="Q11" s="169"/>
      <c r="R11" s="173"/>
      <c r="S11" s="169"/>
      <c r="T11" s="169"/>
      <c r="U11" s="169"/>
      <c r="V11" s="169"/>
      <c r="W11" s="169"/>
      <c r="X11" s="169"/>
    </row>
    <row r="12" spans="1:31" ht="16.5" customHeight="1" thickBot="1">
      <c r="B12" s="609"/>
      <c r="C12" s="193"/>
      <c r="D12" s="1080" t="s">
        <v>7576</v>
      </c>
      <c r="E12" s="194"/>
      <c r="F12" s="52"/>
      <c r="G12" s="78">
        <f>'TAB 3 Project Cost'!G12</f>
        <v>0</v>
      </c>
      <c r="H12" s="78">
        <f>'TAB 3 Project Cost'!H12</f>
        <v>0</v>
      </c>
      <c r="I12" s="1630"/>
      <c r="J12" s="1624"/>
      <c r="K12" s="7"/>
      <c r="L12" s="7"/>
      <c r="M12" s="169"/>
      <c r="N12" s="169"/>
      <c r="O12" s="169"/>
      <c r="P12" s="169"/>
      <c r="Q12" s="169"/>
      <c r="R12" s="173"/>
      <c r="S12" s="169"/>
      <c r="T12" s="169"/>
      <c r="U12" s="169"/>
      <c r="V12" s="169"/>
      <c r="W12" s="169"/>
      <c r="X12" s="169"/>
    </row>
    <row r="13" spans="1:31" ht="22.5" customHeight="1" thickBot="1">
      <c r="B13" s="1101" t="s">
        <v>1</v>
      </c>
      <c r="C13" s="1101"/>
      <c r="D13" s="1102"/>
      <c r="E13" s="60"/>
      <c r="F13" s="309" t="s">
        <v>407</v>
      </c>
      <c r="G13" s="76">
        <f>SUM('TAB 3 Project Cost'!F39:F41)</f>
        <v>0</v>
      </c>
      <c r="H13" s="633"/>
      <c r="I13" s="552"/>
      <c r="J13" s="287"/>
      <c r="K13" s="7"/>
      <c r="L13" s="7"/>
      <c r="M13" s="169"/>
      <c r="N13" s="169"/>
      <c r="O13" s="169"/>
      <c r="P13" s="169"/>
      <c r="Q13" s="169"/>
      <c r="R13" s="173"/>
      <c r="S13" s="169"/>
      <c r="T13" s="169"/>
      <c r="U13" s="169"/>
      <c r="V13" s="169"/>
      <c r="W13" s="169"/>
      <c r="X13" s="169"/>
    </row>
    <row r="14" spans="1:31" ht="19.5" customHeight="1" thickBot="1">
      <c r="B14" s="189"/>
      <c r="C14" s="188"/>
      <c r="D14" s="190"/>
      <c r="E14" s="1029" t="s">
        <v>7577</v>
      </c>
      <c r="F14" s="191" t="s">
        <v>278</v>
      </c>
      <c r="G14" s="559" t="s">
        <v>193</v>
      </c>
      <c r="H14" s="191" t="s">
        <v>192</v>
      </c>
      <c r="I14" s="560"/>
      <c r="J14" s="561"/>
      <c r="K14" s="7"/>
      <c r="L14" s="7"/>
      <c r="M14" s="169"/>
      <c r="N14" s="169"/>
      <c r="O14" s="169"/>
      <c r="P14" s="169"/>
      <c r="Q14" s="169"/>
      <c r="R14" s="173"/>
      <c r="S14" s="169"/>
      <c r="T14" s="169"/>
      <c r="U14" s="169"/>
      <c r="V14" s="169"/>
      <c r="W14" s="169"/>
      <c r="X14" s="169"/>
    </row>
    <row r="15" spans="1:31" ht="16.5" customHeight="1">
      <c r="B15" s="670" t="s">
        <v>6923</v>
      </c>
      <c r="C15" s="213"/>
      <c r="D15" s="634" t="str">
        <f>IF(D90="","",D90)</f>
        <v/>
      </c>
      <c r="E15" s="616"/>
      <c r="F15" s="312">
        <f>IF(F90="","",F90)</f>
        <v>0</v>
      </c>
      <c r="G15" s="570">
        <f>F15*H15</f>
        <v>0</v>
      </c>
      <c r="H15" s="570">
        <f>H90</f>
        <v>211</v>
      </c>
      <c r="I15" s="1748" t="str">
        <f>'TAB 3 Project Cost'!I39</f>
        <v/>
      </c>
      <c r="J15" s="1749"/>
      <c r="K15" s="7"/>
      <c r="L15" s="7"/>
      <c r="M15" s="613"/>
      <c r="N15" s="169"/>
      <c r="O15" s="169"/>
      <c r="P15" s="169"/>
      <c r="Q15" s="436"/>
      <c r="S15" s="436"/>
      <c r="T15" s="169"/>
      <c r="U15" s="169"/>
      <c r="X15" s="169"/>
      <c r="Y15" s="171"/>
    </row>
    <row r="16" spans="1:31" ht="16.5" customHeight="1">
      <c r="B16" s="670" t="s">
        <v>6924</v>
      </c>
      <c r="C16" s="213"/>
      <c r="D16" s="635" t="str">
        <f t="shared" ref="D16:D17" si="0">IF(D91="","",D91)</f>
        <v/>
      </c>
      <c r="E16" s="617"/>
      <c r="F16" s="314">
        <f t="shared" ref="F16:F17" si="1">IF(F91="","",F91)</f>
        <v>0</v>
      </c>
      <c r="G16" s="573">
        <f t="shared" ref="G16:G17" si="2">F16*H16</f>
        <v>0</v>
      </c>
      <c r="H16" s="573">
        <f t="shared" ref="H16:H17" si="3">H91</f>
        <v>0</v>
      </c>
      <c r="I16" s="1750" t="str">
        <f>'TAB 3 Project Cost'!I40</f>
        <v/>
      </c>
      <c r="J16" s="1751"/>
      <c r="K16" s="7"/>
      <c r="L16" s="7"/>
      <c r="M16" s="613"/>
      <c r="N16" s="169"/>
      <c r="O16" s="169" t="s">
        <v>6742</v>
      </c>
      <c r="P16" s="202" t="s">
        <v>7591</v>
      </c>
      <c r="Q16" s="169"/>
      <c r="R16" s="169"/>
      <c r="S16" s="169"/>
      <c r="T16" s="3"/>
      <c r="U16" s="311"/>
      <c r="V16" s="713"/>
      <c r="W16" s="311"/>
      <c r="Z16" s="3"/>
    </row>
    <row r="17" spans="2:31" ht="16.5" customHeight="1" thickBot="1">
      <c r="B17" s="671" t="s">
        <v>6922</v>
      </c>
      <c r="C17" s="196"/>
      <c r="D17" s="638" t="str">
        <f t="shared" si="0"/>
        <v/>
      </c>
      <c r="E17" s="639"/>
      <c r="F17" s="640">
        <f t="shared" si="1"/>
        <v>0</v>
      </c>
      <c r="G17" s="641">
        <f t="shared" si="2"/>
        <v>0</v>
      </c>
      <c r="H17" s="641">
        <f t="shared" si="3"/>
        <v>0</v>
      </c>
      <c r="I17" s="1754" t="str">
        <f>'TAB 3 Project Cost'!I41</f>
        <v/>
      </c>
      <c r="J17" s="1755"/>
      <c r="K17" s="7"/>
      <c r="L17" s="7"/>
      <c r="M17" s="613"/>
      <c r="N17" s="169"/>
      <c r="O17" s="169"/>
      <c r="P17" s="169"/>
      <c r="Q17" s="169"/>
      <c r="R17" s="169"/>
      <c r="S17" s="169"/>
      <c r="T17" s="169"/>
      <c r="U17" s="311"/>
      <c r="V17" s="714"/>
      <c r="W17" s="311"/>
      <c r="X17" s="169"/>
      <c r="Y17" s="171"/>
      <c r="Z17" s="3"/>
      <c r="AC17" s="311">
        <f>F15*H15</f>
        <v>0</v>
      </c>
      <c r="AD17" s="311">
        <f>F16*H16</f>
        <v>0</v>
      </c>
      <c r="AE17" s="311">
        <f>F17*H17</f>
        <v>0</v>
      </c>
    </row>
    <row r="18" spans="2:31" ht="16.5" customHeight="1" thickBot="1">
      <c r="B18" s="644"/>
      <c r="C18" s="1079" t="s">
        <v>7590</v>
      </c>
      <c r="D18" s="211"/>
      <c r="E18" s="200"/>
      <c r="F18" s="76">
        <f>SUM(F15:F17)</f>
        <v>0</v>
      </c>
      <c r="G18" s="78">
        <f>(F15*H15)+(F16*H16)+(F17*H17)</f>
        <v>0</v>
      </c>
      <c r="H18" s="78" t="e">
        <f>G18/F18</f>
        <v>#DIV/0!</v>
      </c>
      <c r="I18" s="557"/>
      <c r="J18" s="558"/>
      <c r="M18" s="613"/>
      <c r="N18" s="169"/>
      <c r="O18" s="169"/>
      <c r="P18" s="169"/>
      <c r="Q18" s="169"/>
      <c r="R18" s="169"/>
      <c r="S18" s="169"/>
      <c r="T18" s="169"/>
      <c r="U18" s="311"/>
      <c r="V18" s="714"/>
      <c r="W18" s="311"/>
      <c r="X18" s="169"/>
      <c r="Y18" s="171"/>
      <c r="Z18" s="3"/>
      <c r="AC18" s="311"/>
      <c r="AD18" s="311"/>
      <c r="AE18" s="311"/>
    </row>
    <row r="19" spans="2:31" ht="17.25" customHeight="1" thickBot="1">
      <c r="B19" s="1030"/>
      <c r="C19" s="1068" t="s">
        <v>7589</v>
      </c>
      <c r="D19" s="190"/>
      <c r="E19" s="430"/>
      <c r="F19" s="76">
        <f>G11+G13</f>
        <v>0</v>
      </c>
      <c r="G19" s="78">
        <f>G12+G93</f>
        <v>0</v>
      </c>
      <c r="H19" s="78" t="e">
        <f>G19/F19</f>
        <v>#DIV/0!</v>
      </c>
      <c r="I19" s="1625"/>
      <c r="J19" s="1626"/>
      <c r="K19" s="7"/>
      <c r="L19" s="7"/>
      <c r="M19" s="169"/>
      <c r="N19" s="169"/>
      <c r="O19" s="169"/>
      <c r="P19" s="169"/>
      <c r="Q19" s="169"/>
      <c r="R19" s="173"/>
      <c r="S19" s="169"/>
      <c r="T19" s="169"/>
      <c r="U19" s="169"/>
      <c r="V19" s="169"/>
      <c r="W19" s="169"/>
      <c r="X19" s="169"/>
    </row>
    <row r="20" spans="2:31" ht="18" customHeight="1" thickBot="1">
      <c r="B20" s="426"/>
      <c r="C20" s="197"/>
      <c r="D20" s="1016" t="s">
        <v>7588</v>
      </c>
      <c r="E20" s="427" t="s">
        <v>238</v>
      </c>
      <c r="F20" s="1085" t="e">
        <f>G20/G19</f>
        <v>#DIV/0!</v>
      </c>
      <c r="G20" s="81">
        <f>'TAB 3 Project Cost'!G13+'TAB 3 Project Cost'!G44</f>
        <v>0</v>
      </c>
      <c r="H20" s="81" t="e">
        <f>G20/F19</f>
        <v>#DIV/0!</v>
      </c>
      <c r="I20" s="1636"/>
      <c r="J20" s="1637"/>
      <c r="K20" s="7"/>
      <c r="L20" s="7"/>
      <c r="M20" s="169"/>
      <c r="N20" s="169"/>
      <c r="O20" s="169"/>
      <c r="P20" s="169"/>
      <c r="Q20" s="169"/>
      <c r="R20" s="173"/>
      <c r="S20" s="169"/>
      <c r="T20" s="169"/>
      <c r="U20" s="169"/>
      <c r="V20" s="169"/>
      <c r="W20" s="169"/>
      <c r="X20" s="169"/>
    </row>
    <row r="21" spans="2:31" ht="18" customHeight="1" thickBot="1">
      <c r="B21" s="1033"/>
      <c r="C21" s="136"/>
      <c r="D21" s="1081" t="str">
        <f>IF($I$5&lt;&gt;"CM at Risk","General Conditions New + Renov (DBB/DB)","")</f>
        <v>General Conditions New + Renov (DBB/DB)</v>
      </c>
      <c r="E21" s="136" t="str">
        <f>IF($I$5&lt;&gt;"CM at Risk",P16,"")</f>
        <v>6% - 8.8%</v>
      </c>
      <c r="F21" s="1103"/>
      <c r="G21" s="81">
        <f>IF(I5&lt;&gt;"CM at Risk",'TAB 3 Project Cost'!G14+'TAB 3 Project Cost'!G45,0)</f>
        <v>0</v>
      </c>
      <c r="H21" s="81"/>
      <c r="I21" s="1031"/>
      <c r="J21" s="1020"/>
      <c r="K21" s="7"/>
      <c r="L21" s="7"/>
      <c r="M21" s="169"/>
      <c r="N21" s="169"/>
      <c r="O21" s="169"/>
      <c r="P21" s="169"/>
      <c r="Q21" s="169"/>
      <c r="R21" s="173"/>
      <c r="S21" s="169"/>
      <c r="T21" s="169"/>
      <c r="U21" s="169"/>
      <c r="V21" s="169"/>
      <c r="W21" s="169"/>
      <c r="X21" s="169"/>
    </row>
    <row r="22" spans="2:31" ht="21.75" customHeight="1" thickBot="1">
      <c r="B22" s="644" t="s">
        <v>7526</v>
      </c>
      <c r="C22" s="190"/>
      <c r="D22" s="190"/>
      <c r="E22" s="430"/>
      <c r="F22" s="200"/>
      <c r="G22" s="389"/>
      <c r="H22" s="389"/>
      <c r="I22" s="1104"/>
      <c r="J22" s="1017"/>
      <c r="K22" s="7"/>
      <c r="L22" s="7"/>
      <c r="M22" s="169"/>
      <c r="N22" s="169"/>
      <c r="O22" s="169"/>
      <c r="P22" s="169"/>
      <c r="Q22" s="169"/>
      <c r="R22" s="169"/>
      <c r="S22" s="169"/>
      <c r="T22" s="169"/>
      <c r="U22" s="169"/>
      <c r="V22" s="169"/>
      <c r="W22" s="169"/>
      <c r="X22" s="169"/>
    </row>
    <row r="23" spans="2:31" ht="21.75" customHeight="1" thickBot="1">
      <c r="B23" s="1101" t="s">
        <v>1</v>
      </c>
      <c r="C23" s="190"/>
      <c r="D23" s="190"/>
      <c r="E23" s="430"/>
      <c r="F23" s="431"/>
      <c r="G23" s="78">
        <f>G19+G20+G21</f>
        <v>0</v>
      </c>
      <c r="H23" s="78">
        <f>IF(G23=0,0,G23/F19)</f>
        <v>0</v>
      </c>
      <c r="I23" s="1625"/>
      <c r="J23" s="1626"/>
      <c r="K23" s="7"/>
      <c r="L23" s="7"/>
      <c r="M23" s="169"/>
      <c r="N23" s="169"/>
      <c r="O23" s="169"/>
      <c r="P23" s="169"/>
      <c r="Q23" s="169"/>
      <c r="R23" s="169"/>
      <c r="S23" s="169"/>
      <c r="T23" s="169"/>
      <c r="U23" s="169"/>
      <c r="V23" s="169"/>
      <c r="W23" s="169" t="s">
        <v>7008</v>
      </c>
      <c r="X23" s="169"/>
    </row>
    <row r="24" spans="2:31" ht="19.5" customHeight="1">
      <c r="B24" s="217" t="s">
        <v>3</v>
      </c>
      <c r="C24" s="218"/>
      <c r="D24" s="1088"/>
      <c r="E24" s="220"/>
      <c r="F24" s="225"/>
      <c r="G24" s="220"/>
      <c r="H24" s="225"/>
      <c r="I24" s="1089"/>
      <c r="J24" s="1019"/>
      <c r="K24" s="7"/>
      <c r="L24" s="7"/>
      <c r="M24" s="169"/>
      <c r="N24" s="169"/>
      <c r="O24" s="169"/>
      <c r="P24" s="169"/>
      <c r="Q24" s="169"/>
      <c r="R24" s="169"/>
      <c r="S24" s="169"/>
      <c r="T24" s="169"/>
      <c r="U24" s="169"/>
      <c r="V24" s="169"/>
      <c r="W24" s="169"/>
      <c r="X24" s="169"/>
    </row>
    <row r="25" spans="2:31" ht="16.5" customHeight="1">
      <c r="B25" s="486"/>
      <c r="C25" s="213"/>
      <c r="D25" s="213"/>
      <c r="E25" s="1082"/>
      <c r="F25" s="1082"/>
      <c r="G25" s="1090" t="s">
        <v>7</v>
      </c>
      <c r="H25" s="1091" t="s">
        <v>140</v>
      </c>
      <c r="I25" s="1091" t="s">
        <v>136</v>
      </c>
      <c r="J25" s="1092" t="s">
        <v>4</v>
      </c>
      <c r="K25" s="7"/>
      <c r="L25" s="7"/>
      <c r="M25" s="169"/>
      <c r="N25" s="169"/>
      <c r="O25" s="169"/>
      <c r="P25" s="169"/>
      <c r="Q25" s="169"/>
      <c r="R25" s="169"/>
      <c r="S25" s="169"/>
      <c r="T25" s="169"/>
      <c r="U25" s="169"/>
      <c r="V25" s="169"/>
      <c r="W25" s="169"/>
      <c r="X25" s="169"/>
    </row>
    <row r="26" spans="2:31" ht="18.75" customHeight="1" thickBot="1">
      <c r="B26" s="1098" t="s">
        <v>7592</v>
      </c>
      <c r="C26" s="1099" t="s">
        <v>7593</v>
      </c>
      <c r="D26" s="1097"/>
      <c r="E26" s="1083"/>
      <c r="F26" s="1095"/>
      <c r="G26" s="1093">
        <f>'TAB 3 Project Cost'!G87</f>
        <v>0</v>
      </c>
      <c r="H26" s="1093">
        <f>'TAB 3 Project Cost'!G88</f>
        <v>0</v>
      </c>
      <c r="I26" s="1093">
        <f>'TAB 3 Project Cost'!G89</f>
        <v>0</v>
      </c>
      <c r="J26" s="1094">
        <f>'TAB 3 Project Cost'!G90</f>
        <v>0</v>
      </c>
      <c r="K26" s="7"/>
      <c r="L26" s="7"/>
      <c r="M26" s="169"/>
      <c r="N26" s="169"/>
      <c r="O26" s="169"/>
      <c r="P26" s="169"/>
      <c r="Q26" s="169"/>
      <c r="R26" s="169"/>
      <c r="S26" s="169"/>
      <c r="T26" s="169"/>
      <c r="U26" s="169"/>
      <c r="V26" s="169"/>
      <c r="W26" s="169"/>
      <c r="X26" s="169"/>
    </row>
    <row r="27" spans="2:31" ht="19.5" customHeight="1" thickBot="1">
      <c r="B27" s="429"/>
      <c r="C27" s="375"/>
      <c r="D27" s="200" t="str">
        <f>IF($I$5&lt;&gt;"CM at Risk","General Conditions Infrast. (DBB/DB)","")</f>
        <v>General Conditions Infrast. (DBB/DB)</v>
      </c>
      <c r="E27" s="721" t="str">
        <f>IF($I$5=$O$5,"",$P$91)</f>
        <v>6% - 8%</v>
      </c>
      <c r="F27" s="1084">
        <f>'TAB 3 Project Cost'!F91</f>
        <v>0.04</v>
      </c>
      <c r="G27" s="310">
        <f>IF(SUM(G26:G26)=0,0,IF($O$4=$O$5,0,F27*SUM(G26:G26)))</f>
        <v>0</v>
      </c>
      <c r="H27" s="8"/>
      <c r="I27" s="1107" t="str">
        <f>IF($G$28=0,"","Costs net of Infrastructure")</f>
        <v/>
      </c>
      <c r="J27" s="1108"/>
      <c r="K27" s="7"/>
      <c r="L27" s="7"/>
      <c r="M27" s="169"/>
      <c r="N27" s="169"/>
      <c r="O27" s="171">
        <f>SUM(G138:G141)</f>
        <v>0</v>
      </c>
      <c r="P27" s="169"/>
      <c r="Q27" s="169"/>
      <c r="R27" s="169"/>
      <c r="S27" s="169"/>
      <c r="T27" s="169"/>
      <c r="U27" s="169"/>
      <c r="V27" s="169"/>
      <c r="W27" s="169"/>
      <c r="X27" s="169"/>
    </row>
    <row r="28" spans="2:31" ht="19.5" customHeight="1" thickBot="1">
      <c r="B28" s="429"/>
      <c r="C28" s="1096" t="s">
        <v>7535</v>
      </c>
      <c r="D28" s="241"/>
      <c r="E28" s="158"/>
      <c r="F28" s="696"/>
      <c r="G28" s="720">
        <f>IF($O$27=0,0,IF($O$4=$O$5,SUM(G26:G26),(SUM(G26:G27))))</f>
        <v>0</v>
      </c>
      <c r="H28" s="8"/>
      <c r="I28" s="1109" t="str">
        <f>IF($G$28=0,"","Total Cost")</f>
        <v/>
      </c>
      <c r="J28" s="1110" t="str">
        <f>IF($G$28=0,"","Cost/GSF")</f>
        <v/>
      </c>
      <c r="K28" s="7"/>
      <c r="L28" s="7"/>
      <c r="M28" s="169"/>
      <c r="N28" s="169"/>
      <c r="O28" s="169"/>
      <c r="P28" s="169"/>
      <c r="Q28" s="169"/>
      <c r="R28" s="169"/>
      <c r="S28" s="169"/>
      <c r="T28" s="169"/>
      <c r="U28" s="169"/>
      <c r="V28" s="169"/>
      <c r="W28" s="169"/>
      <c r="X28" s="169"/>
    </row>
    <row r="29" spans="2:31" ht="19.5" customHeight="1" thickBot="1">
      <c r="B29" s="609"/>
      <c r="C29" s="193" t="s">
        <v>7578</v>
      </c>
      <c r="D29" s="193"/>
      <c r="E29" s="194"/>
      <c r="F29" s="52"/>
      <c r="G29" s="78">
        <f>G23+G28</f>
        <v>0</v>
      </c>
      <c r="H29" s="77" t="e">
        <f>G29/F19</f>
        <v>#DIV/0!</v>
      </c>
      <c r="I29" s="78" t="str">
        <f>IF($G$28&gt;0,G23,"")</f>
        <v/>
      </c>
      <c r="J29" s="77" t="str">
        <f>IF($G$28=0,"",G23/$F$19)</f>
        <v/>
      </c>
      <c r="K29" s="7"/>
      <c r="N29" s="169"/>
      <c r="O29" s="444">
        <f>IF($G$11=0,0,'TAB 3 Project Cost'!G17)</f>
        <v>0</v>
      </c>
      <c r="P29" s="169"/>
      <c r="S29" s="169" t="s">
        <v>7172</v>
      </c>
      <c r="T29" s="169"/>
      <c r="U29" s="169"/>
      <c r="V29" s="169"/>
      <c r="W29" s="690"/>
      <c r="X29" s="691"/>
      <c r="Y29" s="692"/>
      <c r="Z29" s="687"/>
      <c r="AC29" s="169" t="s">
        <v>170</v>
      </c>
      <c r="AD29" s="169">
        <v>275</v>
      </c>
    </row>
    <row r="30" spans="2:31" ht="19.5" customHeight="1" thickBot="1">
      <c r="B30" s="195"/>
      <c r="C30" s="196"/>
      <c r="D30" s="611" t="s">
        <v>7579</v>
      </c>
      <c r="E30" s="198"/>
      <c r="F30" s="64"/>
      <c r="G30" s="77">
        <f>'TAB 3 Project Cost'!G16</f>
        <v>0</v>
      </c>
      <c r="H30" s="77" t="e">
        <f>G30/G11</f>
        <v>#DIV/0!</v>
      </c>
      <c r="I30" s="1752"/>
      <c r="J30" s="1753"/>
      <c r="K30" s="7"/>
      <c r="N30" s="169"/>
      <c r="O30" s="1039">
        <f>IF($G$11=0,0,'TAB 3 Project Cost'!G19)</f>
        <v>0</v>
      </c>
      <c r="P30" s="169"/>
      <c r="S30" s="169"/>
      <c r="T30" s="169"/>
      <c r="U30" s="169"/>
      <c r="V30" s="169"/>
      <c r="W30" s="693"/>
      <c r="X30" s="422"/>
      <c r="Y30" s="3"/>
      <c r="Z30" s="688"/>
      <c r="AC30" s="169"/>
      <c r="AD30" s="169"/>
    </row>
    <row r="31" spans="2:31" ht="19.5" customHeight="1" thickBot="1">
      <c r="B31" s="362"/>
      <c r="C31" s="200"/>
      <c r="D31" s="1041" t="s">
        <v>7580</v>
      </c>
      <c r="E31" s="200"/>
      <c r="F31" s="316"/>
      <c r="G31" s="77">
        <f>'TAB 3 Project Cost'!G47</f>
        <v>0</v>
      </c>
      <c r="H31" s="77" t="e">
        <f>G31/F18</f>
        <v>#DIV/0!</v>
      </c>
      <c r="I31" s="1086"/>
      <c r="J31" s="1087"/>
      <c r="K31" s="7"/>
      <c r="N31" s="169"/>
      <c r="O31" s="1040">
        <f>IF($G$11=0,0,'TAB 3 Project Cost'!G18)</f>
        <v>0</v>
      </c>
      <c r="P31" s="169"/>
      <c r="S31" s="169"/>
      <c r="T31" s="169"/>
      <c r="U31" s="169"/>
      <c r="V31" s="169"/>
      <c r="W31" s="693"/>
      <c r="X31" s="422"/>
      <c r="Y31" s="3"/>
      <c r="Z31" s="688"/>
      <c r="AC31" s="169"/>
      <c r="AD31" s="169"/>
    </row>
    <row r="32" spans="2:31" ht="19.5" customHeight="1" thickBot="1">
      <c r="B32" s="1597" t="s">
        <v>6778</v>
      </c>
      <c r="C32" s="1598"/>
      <c r="D32" s="590" t="str">
        <f>IF(I$5=$O$5,$S$68,"")</f>
        <v/>
      </c>
      <c r="E32" s="433" t="str">
        <f>IF(I$5="CM at Risk",$T$68,"")</f>
        <v/>
      </c>
      <c r="F32" s="701" t="str">
        <f>IF($O$4&lt;&gt;$O$5,"",IFERROR(G32/$G$35,"0.00%"))</f>
        <v/>
      </c>
      <c r="G32" s="81">
        <f>IF($O$4&lt;&gt;$O$5,0,O29+O32+O35)</f>
        <v>0</v>
      </c>
      <c r="H32" s="81" t="e">
        <f>G32/$F$19</f>
        <v>#DIV/0!</v>
      </c>
      <c r="I32" s="78" t="str">
        <f>IF($G$28&gt;0,O29+O32,"")</f>
        <v/>
      </c>
      <c r="J32" s="77" t="str">
        <f>IF($G$28=0,"",I32/$F$19)</f>
        <v/>
      </c>
      <c r="K32" s="7"/>
      <c r="N32" s="169"/>
      <c r="O32" s="444">
        <f>IF($F$18=0,0,'TAB 3 Project Cost'!G48)</f>
        <v>0</v>
      </c>
      <c r="P32" s="169"/>
      <c r="S32" s="169"/>
      <c r="T32" s="169"/>
      <c r="U32" s="169"/>
      <c r="V32" s="169"/>
      <c r="W32" s="693"/>
      <c r="X32" s="422"/>
      <c r="Y32" s="3"/>
      <c r="Z32" s="688"/>
      <c r="AC32" s="169"/>
      <c r="AD32" s="169"/>
    </row>
    <row r="33" spans="2:30" ht="19.5" customHeight="1" thickBot="1">
      <c r="B33" s="1599"/>
      <c r="C33" s="1600"/>
      <c r="D33" s="488" t="str">
        <f>IF(I$5=$O$5,$S$69,"")</f>
        <v/>
      </c>
      <c r="E33" s="593" t="str">
        <f>IF(I$5="CM at Risk",$T$69,"")</f>
        <v/>
      </c>
      <c r="F33" s="701" t="str">
        <f>IF($O$4&lt;&gt;$O$5,"",IFERROR(G33/$G$35,"0.00%"))</f>
        <v/>
      </c>
      <c r="G33" s="81">
        <f>IF($O$4&lt;&gt;$O$5,0,'TAB 3 Project Cost'!G19+'TAB 3 Project Cost'!G50+'TAB 3 Project Cost'!G95)</f>
        <v>0</v>
      </c>
      <c r="H33" s="81" t="e">
        <f t="shared" ref="H33" si="4">G33/$F$19</f>
        <v>#DIV/0!</v>
      </c>
      <c r="I33" s="78" t="str">
        <f>IF($G$28&gt;0,O30+O33,"")</f>
        <v/>
      </c>
      <c r="J33" s="77" t="str">
        <f>IF($G$28=0,"",I33/$F$19)</f>
        <v/>
      </c>
      <c r="K33" s="7"/>
      <c r="N33" s="169"/>
      <c r="O33" s="1039">
        <v>24500</v>
      </c>
      <c r="P33" s="169"/>
      <c r="S33" s="169"/>
      <c r="T33" s="169"/>
      <c r="U33" s="169"/>
      <c r="V33" s="169"/>
      <c r="W33" s="693"/>
      <c r="X33" s="422"/>
      <c r="Y33" s="3"/>
      <c r="Z33" s="688"/>
      <c r="AC33" s="169"/>
      <c r="AD33" s="169"/>
    </row>
    <row r="34" spans="2:30" ht="19.5" customHeight="1" thickBot="1">
      <c r="B34" s="1601"/>
      <c r="C34" s="1602"/>
      <c r="D34" s="591" t="str">
        <f>IF(I$5=$O$5,$S$70,"")</f>
        <v/>
      </c>
      <c r="E34" s="434" t="str">
        <f>IF(I$5="CM at Risk",$T$70,"")</f>
        <v/>
      </c>
      <c r="F34" s="701" t="str">
        <f>IF($O$4&lt;&gt;$O$5,"",IFERROR(G34/$G$35,"0.00%"))</f>
        <v/>
      </c>
      <c r="G34" s="81">
        <f>IF($O$4&lt;&gt;$O$5,0,'TAB 3 Project Cost'!G18+'TAB 3 Project Cost'!G49+'TAB 3 Project Cost'!G94)</f>
        <v>0</v>
      </c>
      <c r="H34" s="81" t="e">
        <f>G34/$F$19</f>
        <v>#DIV/0!</v>
      </c>
      <c r="I34" s="78" t="str">
        <f>IF($G$28&gt;0,O31+O34,"")</f>
        <v/>
      </c>
      <c r="J34" s="77" t="str">
        <f>IF($G$28=0,"",I34/$F$19)</f>
        <v/>
      </c>
      <c r="K34" s="7"/>
      <c r="N34" s="169"/>
      <c r="O34" s="1040">
        <v>24500</v>
      </c>
      <c r="P34" s="169"/>
      <c r="S34" s="169"/>
      <c r="T34" s="169"/>
      <c r="U34" s="169"/>
      <c r="V34" s="169"/>
      <c r="W34" s="693"/>
      <c r="X34" s="422"/>
      <c r="Y34" s="3"/>
      <c r="Z34" s="688"/>
      <c r="AC34" s="169"/>
      <c r="AD34" s="169"/>
    </row>
    <row r="35" spans="2:30" ht="16.5" customHeight="1" thickBot="1">
      <c r="B35" s="132"/>
      <c r="C35" s="1069" t="s">
        <v>6740</v>
      </c>
      <c r="D35" s="200"/>
      <c r="E35" s="201"/>
      <c r="F35" s="431"/>
      <c r="G35" s="78">
        <f>IF($O$4&lt;&gt;$O$5,SUM(G29:G31),SUM(G29:G34))</f>
        <v>0</v>
      </c>
      <c r="H35" s="78" t="e">
        <f>G35/F19</f>
        <v>#DIV/0!</v>
      </c>
      <c r="I35" s="78" t="str">
        <f>IF($G$28&gt;0,'TAB 3 Project Cost'!G20+'TAB 3 Project Cost'!G51,"")</f>
        <v/>
      </c>
      <c r="J35" s="77" t="str">
        <f>IF($G$28=0,"",I35/$F$19)</f>
        <v/>
      </c>
      <c r="K35" s="7"/>
      <c r="N35" s="169"/>
      <c r="O35" s="444">
        <f>'TAB 3 Project Cost'!G93</f>
        <v>0</v>
      </c>
      <c r="P35" s="169"/>
      <c r="S35" s="169"/>
      <c r="T35" s="169"/>
      <c r="U35" s="169"/>
      <c r="V35" s="169"/>
      <c r="W35" s="693"/>
      <c r="X35" s="422"/>
      <c r="Y35" s="3"/>
      <c r="Z35" s="688"/>
      <c r="AC35" s="169"/>
      <c r="AD35" s="169"/>
    </row>
    <row r="36" spans="2:30" ht="19.5" customHeight="1" thickBot="1">
      <c r="B36" s="1018"/>
      <c r="C36" s="1045"/>
      <c r="D36" s="1046" t="s">
        <v>7585</v>
      </c>
      <c r="E36" s="1049"/>
      <c r="F36" s="1015"/>
      <c r="G36" s="81">
        <f>'TAB 3 Project Cost'!G20</f>
        <v>0</v>
      </c>
      <c r="H36" s="81">
        <f>'TAB 3 Project Cost'!H20</f>
        <v>0</v>
      </c>
      <c r="I36" s="78"/>
      <c r="J36" s="77"/>
      <c r="K36" s="7"/>
      <c r="N36" s="169"/>
      <c r="O36" s="1039">
        <f>'TAB 3 Project Cost'!G95</f>
        <v>0</v>
      </c>
      <c r="P36" s="169"/>
      <c r="S36" s="169"/>
      <c r="T36" s="169"/>
      <c r="U36" s="169"/>
      <c r="V36" s="169"/>
      <c r="W36" s="693"/>
      <c r="X36" s="422"/>
      <c r="Y36" s="3"/>
      <c r="Z36" s="688"/>
      <c r="AC36" s="169"/>
      <c r="AD36" s="169"/>
    </row>
    <row r="37" spans="2:30" ht="19.5" customHeight="1" thickBot="1">
      <c r="B37" s="1018"/>
      <c r="C37" s="1045"/>
      <c r="D37" s="1046" t="s">
        <v>7587</v>
      </c>
      <c r="E37" s="1049"/>
      <c r="F37" s="1015"/>
      <c r="G37" s="81">
        <f>'TAB 3 Project Cost'!G51</f>
        <v>0</v>
      </c>
      <c r="H37" s="81">
        <f>'TAB 3 Project Cost'!H51</f>
        <v>0</v>
      </c>
      <c r="I37" s="78"/>
      <c r="J37" s="77"/>
      <c r="K37" s="7"/>
      <c r="N37" s="169"/>
      <c r="O37" s="1040">
        <f>'TAB 3 Project Cost'!G94</f>
        <v>0</v>
      </c>
      <c r="P37" s="169"/>
      <c r="S37" s="169"/>
      <c r="T37" s="169"/>
      <c r="U37" s="169"/>
      <c r="V37" s="169"/>
      <c r="W37" s="693"/>
      <c r="X37" s="422"/>
      <c r="Y37" s="3"/>
      <c r="Z37" s="688"/>
      <c r="AC37" s="169"/>
      <c r="AD37" s="169"/>
    </row>
    <row r="38" spans="2:30" ht="15.75" customHeight="1">
      <c r="B38" s="1050"/>
      <c r="C38" s="1051"/>
      <c r="D38" s="1076" t="str">
        <f>_xlfn.CONCAT("SCL Renovation 1 - ",'TAB 3 Project Cost'!D39)</f>
        <v xml:space="preserve">SCL Renovation 1 - </v>
      </c>
      <c r="E38" s="1052"/>
      <c r="F38" s="1053"/>
      <c r="G38" s="1054" t="e">
        <f>(G15/G18)*$G$37</f>
        <v>#DIV/0!</v>
      </c>
      <c r="H38" s="1054">
        <f>IFERROR(G38/F15,0)</f>
        <v>0</v>
      </c>
      <c r="I38" s="1055"/>
      <c r="J38" s="1054"/>
      <c r="K38" s="7"/>
      <c r="N38" s="169"/>
      <c r="O38" s="169"/>
      <c r="P38" s="169"/>
      <c r="S38" s="169"/>
      <c r="T38" s="169"/>
      <c r="U38" s="169"/>
      <c r="V38" s="169"/>
      <c r="W38" s="693"/>
      <c r="X38" s="422"/>
      <c r="Y38" s="3"/>
      <c r="Z38" s="688"/>
      <c r="AC38" s="169"/>
      <c r="AD38" s="169"/>
    </row>
    <row r="39" spans="2:30" ht="15.75" customHeight="1">
      <c r="B39" s="1056"/>
      <c r="C39" s="1057"/>
      <c r="D39" s="1077" t="str">
        <f>_xlfn.CONCAT("SCL Renovation 2 - ",'TAB 3 Project Cost'!D40)</f>
        <v xml:space="preserve">SCL Renovation 2 - </v>
      </c>
      <c r="E39" s="1058"/>
      <c r="F39" s="1059"/>
      <c r="G39" s="1060" t="e">
        <f>(G16/G19)*$G$37</f>
        <v>#DIV/0!</v>
      </c>
      <c r="H39" s="1060">
        <f>IFERROR(G39/F16,0)</f>
        <v>0</v>
      </c>
      <c r="I39" s="1061"/>
      <c r="J39" s="1060"/>
      <c r="K39" s="7"/>
      <c r="N39" s="169"/>
      <c r="O39" s="169"/>
      <c r="P39" s="169"/>
      <c r="S39" s="169"/>
      <c r="T39" s="169"/>
      <c r="U39" s="169"/>
      <c r="V39" s="169"/>
      <c r="W39" s="693"/>
      <c r="X39" s="422"/>
      <c r="Y39" s="3"/>
      <c r="Z39" s="688"/>
      <c r="AC39" s="169"/>
      <c r="AD39" s="169"/>
    </row>
    <row r="40" spans="2:30" ht="15.75" customHeight="1" thickBot="1">
      <c r="B40" s="1062"/>
      <c r="C40" s="1063"/>
      <c r="D40" s="1078" t="str">
        <f>_xlfn.CONCAT("SCL Renovation 3'- ",'TAB 3 Project Cost'!D41)</f>
        <v xml:space="preserve">SCL Renovation 3'- </v>
      </c>
      <c r="E40" s="1064"/>
      <c r="F40" s="1065"/>
      <c r="G40" s="1066" t="e">
        <f>(G17/G20)*$G$37</f>
        <v>#DIV/0!</v>
      </c>
      <c r="H40" s="1066">
        <f>IFERROR(G40/F17,0)</f>
        <v>0</v>
      </c>
      <c r="I40" s="1067"/>
      <c r="J40" s="1066"/>
      <c r="K40" s="7"/>
      <c r="N40" s="169"/>
      <c r="O40" s="169"/>
      <c r="P40" s="169"/>
      <c r="S40" s="169"/>
      <c r="T40" s="169"/>
      <c r="U40" s="169"/>
      <c r="V40" s="169"/>
      <c r="W40" s="693"/>
      <c r="X40" s="422"/>
      <c r="Y40" s="3"/>
      <c r="Z40" s="688"/>
      <c r="AC40" s="169"/>
      <c r="AD40" s="169"/>
    </row>
    <row r="41" spans="2:30" ht="19.5" customHeight="1" thickBot="1">
      <c r="B41" s="1018"/>
      <c r="C41" s="1045"/>
      <c r="D41" s="1046" t="s">
        <v>7586</v>
      </c>
      <c r="E41" s="1049"/>
      <c r="F41" s="1015"/>
      <c r="G41" s="81">
        <f>'TAB 3 Project Cost'!G96</f>
        <v>0</v>
      </c>
      <c r="H41" s="81"/>
      <c r="I41" s="78"/>
      <c r="J41" s="77"/>
      <c r="K41" s="7"/>
      <c r="N41" s="169"/>
      <c r="O41" s="169"/>
      <c r="P41" s="169"/>
      <c r="S41" s="169"/>
      <c r="T41" s="169"/>
      <c r="U41" s="169"/>
      <c r="V41" s="169"/>
      <c r="W41" s="693"/>
      <c r="X41" s="422"/>
      <c r="Y41" s="3"/>
      <c r="Z41" s="688"/>
      <c r="AC41" s="169"/>
      <c r="AD41" s="169"/>
    </row>
    <row r="42" spans="2:30" ht="19.5" customHeight="1" thickBot="1">
      <c r="B42" s="132"/>
      <c r="C42" s="190" t="s">
        <v>141</v>
      </c>
      <c r="D42" s="200"/>
      <c r="E42" s="602" t="s">
        <v>6762</v>
      </c>
      <c r="F42" s="83">
        <f>IF(G42=0,0,G42/G35)</f>
        <v>0</v>
      </c>
      <c r="G42" s="78">
        <f>SUM(G43:G51)+G54+G55</f>
        <v>0</v>
      </c>
      <c r="H42" s="78" t="str">
        <f>IF(F19=0,"",$G$42/$F$19)</f>
        <v/>
      </c>
      <c r="I42" s="78" t="str">
        <f>IF($G$28&gt;0,'TAB 3 Project Cost'!G21+'TAB 3 Project Cost'!G52,"")</f>
        <v/>
      </c>
      <c r="J42" s="78" t="str">
        <f>IF($G$28=0,"",('TAB 3 Project Cost'!G21+'TAB 3 Project Cost'!G52)/$F$19)</f>
        <v/>
      </c>
      <c r="K42" s="7"/>
      <c r="N42" s="169"/>
      <c r="O42" s="169"/>
      <c r="P42" s="169"/>
      <c r="S42" s="169"/>
      <c r="T42" s="169"/>
      <c r="U42" s="169"/>
      <c r="V42" s="169"/>
      <c r="W42" s="693"/>
      <c r="X42" s="422"/>
      <c r="Y42" s="3"/>
      <c r="Z42" s="688"/>
      <c r="AC42" s="169"/>
      <c r="AD42" s="169"/>
    </row>
    <row r="43" spans="2:30" ht="19.5" customHeight="1" thickBot="1">
      <c r="B43" s="132"/>
      <c r="C43" s="200"/>
      <c r="D43" s="200" t="s">
        <v>379</v>
      </c>
      <c r="E43" s="602" t="s">
        <v>6758</v>
      </c>
      <c r="F43" s="701" t="e">
        <f t="shared" ref="F43:F51" si="5">G43/$G$35</f>
        <v>#DIV/0!</v>
      </c>
      <c r="G43" s="77">
        <f>'TAB 3 Project Cost'!G22+'TAB 3 Project Cost'!G53</f>
        <v>0</v>
      </c>
      <c r="H43" s="709"/>
      <c r="K43" s="7"/>
      <c r="N43" s="169"/>
      <c r="O43" s="169"/>
      <c r="P43" s="169"/>
      <c r="S43" s="169"/>
      <c r="T43" s="169"/>
      <c r="U43" s="169"/>
      <c r="V43" s="169"/>
      <c r="W43" s="693"/>
      <c r="X43" s="422"/>
      <c r="Y43" s="3"/>
      <c r="Z43" s="688"/>
      <c r="AC43" s="169"/>
      <c r="AD43" s="169"/>
    </row>
    <row r="44" spans="2:30" ht="19.5" customHeight="1">
      <c r="B44" s="1650" t="s">
        <v>7581</v>
      </c>
      <c r="C44" s="1651"/>
      <c r="D44" s="610" t="s">
        <v>6936</v>
      </c>
      <c r="E44" s="599" t="s">
        <v>6934</v>
      </c>
      <c r="F44" s="1072" t="e">
        <f t="shared" si="5"/>
        <v>#DIV/0!</v>
      </c>
      <c r="G44" s="570">
        <f>'TAB 3 Project Cost'!G23+'TAB 3 Project Cost'!G54</f>
        <v>0</v>
      </c>
      <c r="H44" s="1043"/>
      <c r="K44" s="7"/>
      <c r="N44" s="169"/>
      <c r="O44" s="169"/>
      <c r="P44" s="169"/>
      <c r="S44" s="169"/>
      <c r="T44" s="169"/>
      <c r="U44" s="169"/>
      <c r="V44" s="169"/>
      <c r="W44" s="693"/>
      <c r="X44" s="422"/>
      <c r="Y44" s="3"/>
      <c r="Z44" s="688"/>
      <c r="AC44" s="169"/>
      <c r="AD44" s="169"/>
    </row>
    <row r="45" spans="2:30" ht="19.5" customHeight="1">
      <c r="B45" s="1652"/>
      <c r="C45" s="1653"/>
      <c r="D45" s="488" t="s">
        <v>6994</v>
      </c>
      <c r="E45" s="204" t="s">
        <v>7002</v>
      </c>
      <c r="F45" s="1073" t="e">
        <f t="shared" si="5"/>
        <v>#DIV/0!</v>
      </c>
      <c r="G45" s="1074">
        <f>'TAB 3 Project Cost'!G24+'TAB 3 Project Cost'!G55</f>
        <v>0</v>
      </c>
      <c r="H45" s="1043"/>
      <c r="K45" s="7"/>
      <c r="N45" s="169"/>
      <c r="O45" s="169"/>
      <c r="P45" s="169"/>
      <c r="S45" s="169"/>
      <c r="T45" s="169"/>
      <c r="U45" s="169"/>
      <c r="V45" s="169"/>
      <c r="W45" s="693"/>
      <c r="X45" s="422"/>
      <c r="Y45" s="3"/>
      <c r="Z45" s="688"/>
      <c r="AC45" s="169"/>
      <c r="AD45" s="169"/>
    </row>
    <row r="46" spans="2:30" ht="19.5" customHeight="1">
      <c r="B46" s="1652"/>
      <c r="C46" s="1653"/>
      <c r="D46" s="611" t="s">
        <v>6995</v>
      </c>
      <c r="E46" s="603" t="s">
        <v>6997</v>
      </c>
      <c r="F46" s="1073" t="e">
        <f t="shared" si="5"/>
        <v>#DIV/0!</v>
      </c>
      <c r="G46" s="1074">
        <f>'TAB 3 Project Cost'!G25+'TAB 3 Project Cost'!G56</f>
        <v>0</v>
      </c>
      <c r="H46" s="1043"/>
      <c r="K46" s="7"/>
      <c r="N46" s="169"/>
      <c r="O46" s="169"/>
      <c r="P46" s="169"/>
      <c r="S46" s="169"/>
      <c r="T46" s="169"/>
      <c r="U46" s="169"/>
      <c r="V46" s="169"/>
      <c r="W46" s="693"/>
      <c r="X46" s="422"/>
      <c r="Y46" s="3"/>
      <c r="Z46" s="688"/>
      <c r="AC46" s="169"/>
      <c r="AD46" s="169"/>
    </row>
    <row r="47" spans="2:30" ht="19.5" customHeight="1" thickBot="1">
      <c r="B47" s="1734"/>
      <c r="C47" s="1653"/>
      <c r="D47" s="1036" t="s">
        <v>417</v>
      </c>
      <c r="E47" s="1070" t="s">
        <v>6749</v>
      </c>
      <c r="F47" s="1075" t="e">
        <f t="shared" si="5"/>
        <v>#DIV/0!</v>
      </c>
      <c r="G47" s="575">
        <f>'TAB 3 Project Cost'!G26+'TAB 3 Project Cost'!G57</f>
        <v>0</v>
      </c>
      <c r="H47" s="1043"/>
      <c r="K47" s="7"/>
      <c r="N47" s="169"/>
      <c r="O47" s="169"/>
      <c r="P47" s="169"/>
      <c r="S47" s="169"/>
      <c r="T47" s="169"/>
      <c r="U47" s="169"/>
      <c r="V47" s="169"/>
      <c r="W47" s="693"/>
      <c r="X47" s="422"/>
      <c r="Y47" s="3"/>
      <c r="Z47" s="688"/>
      <c r="AC47" s="169"/>
      <c r="AD47" s="169"/>
    </row>
    <row r="48" spans="2:30" ht="19.5" customHeight="1" thickBot="1">
      <c r="B48" s="1047"/>
      <c r="C48" s="1048"/>
      <c r="D48" s="1041" t="s">
        <v>7582</v>
      </c>
      <c r="E48" s="1071" t="s">
        <v>6945</v>
      </c>
      <c r="F48" s="701" t="e">
        <f t="shared" si="5"/>
        <v>#DIV/0!</v>
      </c>
      <c r="G48" s="77">
        <f>'TAB 3 Project Cost'!G97</f>
        <v>0</v>
      </c>
      <c r="H48" s="1043"/>
      <c r="K48" s="7"/>
      <c r="N48" s="169"/>
      <c r="O48" s="169"/>
      <c r="P48" s="169"/>
      <c r="S48" s="169"/>
      <c r="T48" s="169"/>
      <c r="U48" s="169"/>
      <c r="V48" s="169"/>
      <c r="W48" s="693"/>
      <c r="X48" s="422"/>
      <c r="Y48" s="3"/>
      <c r="Z48" s="688"/>
      <c r="AC48" s="169"/>
      <c r="AD48" s="169"/>
    </row>
    <row r="49" spans="2:30" ht="19.5" customHeight="1" thickBot="1">
      <c r="B49" s="1597" t="s">
        <v>6938</v>
      </c>
      <c r="C49" s="1656"/>
      <c r="D49" s="590" t="s">
        <v>377</v>
      </c>
      <c r="E49" s="606" t="s">
        <v>6751</v>
      </c>
      <c r="F49" s="701" t="e">
        <f t="shared" si="5"/>
        <v>#DIV/0!</v>
      </c>
      <c r="G49" s="77">
        <f>'TAB 3 Project Cost'!G27+'TAB 3 Project Cost'!G58</f>
        <v>0</v>
      </c>
      <c r="H49" s="1043"/>
      <c r="K49" s="7"/>
      <c r="N49" s="169"/>
      <c r="O49" s="169"/>
      <c r="P49" s="169"/>
      <c r="S49" s="169"/>
      <c r="T49" s="169"/>
      <c r="U49" s="169"/>
      <c r="V49" s="169"/>
      <c r="W49" s="693"/>
      <c r="X49" s="422"/>
      <c r="Y49" s="3"/>
      <c r="Z49" s="688"/>
      <c r="AC49" s="169"/>
      <c r="AD49" s="169"/>
    </row>
    <row r="50" spans="2:30" ht="19.5" customHeight="1" thickBot="1">
      <c r="B50" s="1657"/>
      <c r="C50" s="1658"/>
      <c r="D50" s="591" t="s">
        <v>378</v>
      </c>
      <c r="E50" s="282" t="s">
        <v>340</v>
      </c>
      <c r="F50" s="701" t="e">
        <f t="shared" si="5"/>
        <v>#DIV/0!</v>
      </c>
      <c r="G50" s="77">
        <f>'TAB 3 Project Cost'!G28+'TAB 3 Project Cost'!G59</f>
        <v>0</v>
      </c>
      <c r="H50" s="1043"/>
      <c r="K50" s="7"/>
      <c r="N50" s="169"/>
      <c r="O50" s="169"/>
      <c r="P50" s="169"/>
      <c r="S50" s="169"/>
      <c r="T50" s="169"/>
      <c r="U50" s="169"/>
      <c r="V50" s="169"/>
      <c r="W50" s="693"/>
      <c r="X50" s="422"/>
      <c r="Y50" s="3"/>
      <c r="Z50" s="688"/>
      <c r="AC50" s="169"/>
      <c r="AD50" s="169"/>
    </row>
    <row r="51" spans="2:30" ht="19.5" customHeight="1" thickBot="1">
      <c r="B51" s="605"/>
      <c r="C51" s="598"/>
      <c r="D51" s="598" t="s">
        <v>14</v>
      </c>
      <c r="E51" s="604" t="s">
        <v>6761</v>
      </c>
      <c r="F51" s="701" t="e">
        <f t="shared" si="5"/>
        <v>#DIV/0!</v>
      </c>
      <c r="G51" s="77">
        <f>'TAB 3 Project Cost'!G29+'TAB 3 Project Cost'!G60+'TAB 3 Project Cost'!G100</f>
        <v>0</v>
      </c>
      <c r="H51" s="1044"/>
      <c r="I51" s="1042" t="str">
        <f>IF($G$28=0,"","Costs net of Infrastructure")</f>
        <v/>
      </c>
      <c r="K51" s="7"/>
      <c r="N51" s="169"/>
      <c r="O51" s="169"/>
      <c r="P51" s="169"/>
      <c r="S51" s="169"/>
      <c r="T51" s="169"/>
      <c r="U51" s="169"/>
      <c r="V51" s="169"/>
      <c r="W51" s="693"/>
      <c r="X51" s="422"/>
      <c r="Y51" s="3"/>
      <c r="Z51" s="688"/>
      <c r="AC51" s="169"/>
      <c r="AD51" s="169"/>
    </row>
    <row r="52" spans="2:30" ht="19.5" customHeight="1" thickBot="1">
      <c r="B52" s="159"/>
      <c r="C52" s="206" t="s">
        <v>5</v>
      </c>
      <c r="D52" s="207"/>
      <c r="E52" s="208"/>
      <c r="F52" s="361"/>
      <c r="G52" s="80">
        <f>G35+SUM(G43:G51)</f>
        <v>0</v>
      </c>
      <c r="H52" s="81" t="e">
        <f>G52/F19</f>
        <v>#DIV/0!</v>
      </c>
      <c r="I52" s="78" t="str">
        <f>IF($G$28&gt;0,'TAB 3 Project Cost'!G30+'TAB 3 Project Cost'!G61,"")</f>
        <v/>
      </c>
      <c r="J52" s="81" t="str">
        <f>IF($G$28=0,"",G52/F19)</f>
        <v/>
      </c>
      <c r="K52" s="7"/>
      <c r="N52" s="169"/>
      <c r="O52" s="169"/>
      <c r="P52" s="169"/>
      <c r="S52" s="169"/>
      <c r="T52" s="169"/>
      <c r="U52" s="169"/>
      <c r="V52" s="169"/>
      <c r="W52" s="693"/>
      <c r="X52" s="422"/>
      <c r="Y52" s="3"/>
      <c r="Z52" s="688"/>
      <c r="AC52" s="169"/>
      <c r="AD52" s="169"/>
    </row>
    <row r="53" spans="2:30" ht="19.5" customHeight="1" thickBot="1">
      <c r="B53" s="132"/>
      <c r="C53" s="190" t="s">
        <v>6942</v>
      </c>
      <c r="D53" s="200"/>
      <c r="E53" s="209">
        <v>0.05</v>
      </c>
      <c r="F53" s="701" t="e">
        <f>G53/G52</f>
        <v>#DIV/0!</v>
      </c>
      <c r="G53" s="77">
        <f>'TAB 3 Project Cost'!G31+'TAB 3 Project Cost'!G62+'TAB 3 Project Cost'!G102</f>
        <v>0</v>
      </c>
      <c r="H53" s="77" t="e">
        <f>G53/F19</f>
        <v>#DIV/0!</v>
      </c>
      <c r="I53" s="78" t="str">
        <f>IF($G$28&gt;0,'TAB 3 Project Cost'!G31+'TAB 3 Project Cost'!G62,"")</f>
        <v/>
      </c>
      <c r="J53" s="77" t="str">
        <f>IF($G$28=0,"",G53/F19)</f>
        <v/>
      </c>
      <c r="K53" s="7"/>
      <c r="N53" s="169"/>
      <c r="O53" s="169"/>
      <c r="P53" s="169"/>
      <c r="S53" s="169"/>
      <c r="T53" s="169"/>
      <c r="U53" s="169"/>
      <c r="V53" s="169"/>
      <c r="W53" s="693"/>
      <c r="X53" s="422"/>
      <c r="Y53" s="3"/>
      <c r="Z53" s="688"/>
      <c r="AC53" s="169"/>
      <c r="AD53" s="169"/>
    </row>
    <row r="54" spans="2:30" ht="19.5" customHeight="1" thickBot="1">
      <c r="B54" s="1606" t="s">
        <v>6939</v>
      </c>
      <c r="C54" s="1607"/>
      <c r="D54" s="199" t="s">
        <v>13</v>
      </c>
      <c r="E54" s="204" t="s">
        <v>145</v>
      </c>
      <c r="F54" s="701">
        <v>1.2500000000000001E-2</v>
      </c>
      <c r="G54" s="77">
        <f>'TAB 3 Project Cost'!G32+'TAB 3 Project Cost'!G63+'TAB 3 Project Cost'!G103</f>
        <v>0</v>
      </c>
      <c r="H54" s="56"/>
      <c r="K54" s="7"/>
      <c r="N54" s="169"/>
      <c r="O54" s="169"/>
      <c r="P54" s="169"/>
      <c r="S54" s="169"/>
      <c r="T54" s="169"/>
      <c r="U54" s="169"/>
      <c r="V54" s="169"/>
      <c r="W54" s="693"/>
      <c r="X54" s="422"/>
      <c r="Y54" s="3"/>
      <c r="Z54" s="688"/>
      <c r="AC54" s="169"/>
      <c r="AD54" s="169"/>
    </row>
    <row r="55" spans="2:30" ht="19.5" customHeight="1" thickBot="1">
      <c r="B55" s="1608"/>
      <c r="C55" s="1609"/>
      <c r="D55" s="205" t="s">
        <v>376</v>
      </c>
      <c r="E55" s="282" t="s">
        <v>6757</v>
      </c>
      <c r="F55" s="701">
        <v>7.4999999999999997E-3</v>
      </c>
      <c r="G55" s="77">
        <f>'TAB 3 Project Cost'!G33+'TAB 3 Project Cost'!G64</f>
        <v>0</v>
      </c>
      <c r="H55" s="166"/>
      <c r="K55" s="7"/>
      <c r="N55" s="169"/>
      <c r="O55" s="169"/>
      <c r="P55" s="169"/>
      <c r="S55" s="169"/>
      <c r="T55" s="169"/>
      <c r="U55" s="169"/>
      <c r="V55" s="169"/>
      <c r="W55" s="693"/>
      <c r="X55" s="422"/>
      <c r="Y55" s="3"/>
      <c r="Z55" s="688"/>
      <c r="AC55" s="169"/>
      <c r="AD55" s="169"/>
    </row>
    <row r="56" spans="2:30" ht="23.25" customHeight="1" thickBot="1">
      <c r="B56" s="45"/>
      <c r="C56" s="187"/>
      <c r="D56" s="188"/>
      <c r="F56" s="576" t="s">
        <v>278</v>
      </c>
      <c r="G56" s="577" t="s">
        <v>6</v>
      </c>
      <c r="H56" s="564" t="s">
        <v>6918</v>
      </c>
      <c r="K56" s="7"/>
      <c r="N56" s="169"/>
      <c r="O56" s="169"/>
      <c r="P56" s="169"/>
      <c r="S56" s="169"/>
      <c r="T56" s="169"/>
      <c r="U56" s="169"/>
      <c r="V56" s="169"/>
      <c r="W56" s="693"/>
      <c r="X56" s="422"/>
      <c r="Y56" s="3"/>
      <c r="Z56" s="688"/>
      <c r="AC56" s="169"/>
      <c r="AD56" s="169"/>
    </row>
    <row r="57" spans="2:30" ht="19.5" customHeight="1" thickBot="1">
      <c r="B57" s="28"/>
      <c r="C57" s="51" t="s">
        <v>383</v>
      </c>
      <c r="D57" s="29"/>
      <c r="E57" s="188"/>
      <c r="F57" s="76">
        <f>'TAB 3 Project Cost'!F80</f>
        <v>0</v>
      </c>
      <c r="G57" s="84">
        <f>'TAB 3 Project Cost'!G80</f>
        <v>0</v>
      </c>
      <c r="H57" s="78">
        <f>'TAB 3 Project Cost'!H80</f>
        <v>0</v>
      </c>
      <c r="K57" s="7"/>
      <c r="N57" s="169"/>
      <c r="O57" s="169"/>
      <c r="P57" s="169"/>
      <c r="S57" s="169"/>
      <c r="T57" s="169"/>
      <c r="U57" s="169"/>
      <c r="V57" s="169"/>
      <c r="W57" s="693"/>
      <c r="X57" s="422"/>
      <c r="Y57" s="3"/>
      <c r="Z57" s="688"/>
      <c r="AC57" s="169"/>
      <c r="AD57" s="169"/>
    </row>
    <row r="58" spans="2:30" ht="19.5" customHeight="1" thickBot="1">
      <c r="B58" s="28"/>
      <c r="C58" s="51" t="s">
        <v>7584</v>
      </c>
      <c r="D58" s="29"/>
      <c r="E58" s="188"/>
      <c r="F58" s="1105"/>
      <c r="G58" s="84">
        <f>'TAB 3 Project Cost'!G112</f>
        <v>0</v>
      </c>
      <c r="H58" s="1106"/>
      <c r="K58" s="7"/>
      <c r="N58" s="169"/>
      <c r="O58" s="169"/>
      <c r="P58" s="169"/>
      <c r="S58" s="169"/>
      <c r="T58" s="169"/>
      <c r="U58" s="169"/>
      <c r="V58" s="169"/>
      <c r="W58" s="693"/>
      <c r="X58" s="422"/>
      <c r="Y58" s="3"/>
      <c r="Z58" s="688"/>
      <c r="AC58" s="169"/>
      <c r="AD58" s="169"/>
    </row>
    <row r="59" spans="2:30" ht="19.5" customHeight="1" thickBot="1">
      <c r="B59" s="132"/>
      <c r="C59" s="190" t="s">
        <v>7583</v>
      </c>
      <c r="D59" s="210"/>
      <c r="E59" s="211"/>
      <c r="F59" s="167"/>
      <c r="G59" s="78">
        <f>G52+G53+G54+G55+G57+G58</f>
        <v>0</v>
      </c>
      <c r="H59" s="78" t="e">
        <f>G59/F19</f>
        <v>#DIV/0!</v>
      </c>
      <c r="K59" s="7"/>
      <c r="N59" s="169"/>
      <c r="O59" s="169"/>
      <c r="P59" s="169"/>
      <c r="S59" s="169"/>
      <c r="T59" s="169"/>
      <c r="U59" s="169"/>
      <c r="V59" s="169"/>
      <c r="W59" s="693"/>
      <c r="X59" s="422"/>
      <c r="Y59" s="3"/>
      <c r="Z59" s="688"/>
      <c r="AC59" s="169"/>
      <c r="AD59" s="169"/>
    </row>
    <row r="60" spans="2:30" ht="19.5" customHeight="1">
      <c r="O60" s="169"/>
      <c r="P60" s="169"/>
      <c r="S60" s="169"/>
      <c r="T60" s="169"/>
      <c r="U60" s="169"/>
      <c r="V60" s="169"/>
      <c r="W60" s="693"/>
      <c r="X60" s="422"/>
      <c r="Y60" s="3"/>
      <c r="Z60" s="688"/>
      <c r="AC60" s="169"/>
      <c r="AD60" s="169"/>
    </row>
    <row r="61" spans="2:30" ht="19.5" customHeight="1">
      <c r="P61" s="169"/>
      <c r="S61" s="169"/>
      <c r="T61" s="169"/>
      <c r="U61" s="169"/>
      <c r="V61" s="169"/>
      <c r="W61" s="693"/>
      <c r="X61" s="422"/>
      <c r="Y61" s="3"/>
      <c r="Z61" s="688"/>
      <c r="AC61" s="169"/>
      <c r="AD61" s="169"/>
    </row>
    <row r="62" spans="2:30" ht="19.5" customHeight="1" thickBot="1">
      <c r="P62" s="169"/>
      <c r="S62" s="169"/>
      <c r="T62" s="169"/>
      <c r="U62" s="169"/>
      <c r="V62" s="169"/>
      <c r="W62" s="693"/>
      <c r="X62" s="422"/>
      <c r="Y62" s="3"/>
      <c r="Z62" s="688"/>
      <c r="AC62" s="169"/>
      <c r="AD62" s="169"/>
    </row>
    <row r="63" spans="2:30" ht="19.5" customHeight="1" thickBot="1">
      <c r="B63" s="1034"/>
      <c r="C63" s="1035"/>
      <c r="D63" s="1036"/>
      <c r="E63" s="1037"/>
      <c r="F63" s="1038"/>
      <c r="G63" s="1032"/>
      <c r="H63" s="490"/>
      <c r="I63" s="1031"/>
      <c r="J63" s="1020"/>
      <c r="K63" s="7"/>
      <c r="N63" s="169"/>
      <c r="O63" s="169"/>
      <c r="P63" s="169"/>
      <c r="S63" s="169"/>
      <c r="T63" s="169"/>
      <c r="U63" s="169"/>
      <c r="V63" s="169"/>
      <c r="W63" s="693"/>
      <c r="X63" s="422"/>
      <c r="Y63" s="3"/>
      <c r="Z63" s="688"/>
      <c r="AC63" s="169"/>
      <c r="AD63" s="169"/>
    </row>
    <row r="64" spans="2:30" ht="18" customHeight="1" thickBot="1">
      <c r="B64" s="426"/>
      <c r="C64" s="197"/>
      <c r="D64" s="197" t="s">
        <v>336</v>
      </c>
      <c r="E64" s="427" t="s">
        <v>238</v>
      </c>
      <c r="F64" s="428">
        <v>0.02</v>
      </c>
      <c r="G64" s="81">
        <f>F64*G$29</f>
        <v>0</v>
      </c>
      <c r="H64" s="81">
        <f>IF(G11=0,0,G64/G11)</f>
        <v>0</v>
      </c>
      <c r="I64" s="1636"/>
      <c r="J64" s="1637"/>
      <c r="K64" s="161"/>
      <c r="L64" s="161"/>
      <c r="M64" s="169"/>
      <c r="N64" s="169"/>
      <c r="O64" s="169"/>
      <c r="P64" s="169"/>
      <c r="R64" s="823" t="str">
        <f>IF($G$11&gt;0,F64,"")</f>
        <v/>
      </c>
      <c r="S64" s="169"/>
      <c r="T64" s="169"/>
      <c r="U64" s="169"/>
      <c r="V64" s="169"/>
      <c r="W64" s="693"/>
      <c r="X64" s="422"/>
      <c r="Y64" s="3"/>
      <c r="Z64" s="688"/>
      <c r="AC64" s="169" t="s">
        <v>9</v>
      </c>
      <c r="AD64" s="169">
        <v>235</v>
      </c>
    </row>
    <row r="65" spans="2:30" ht="18" customHeight="1" thickBot="1">
      <c r="B65" s="132"/>
      <c r="C65" s="200"/>
      <c r="D65" s="200" t="str">
        <f>IF($I$5=$O$5,"",$S$65)</f>
        <v>General Conditions (DBB/DB)</v>
      </c>
      <c r="E65" s="724" t="str">
        <f>IF(I5=O5,"",T65)</f>
        <v>6% - 8%</v>
      </c>
      <c r="F65" s="722">
        <v>7.0000000000000007E-2</v>
      </c>
      <c r="G65" s="310">
        <f>IF(G11=0,0,IF($O$4=$O$5,0,F65*(G29+G67+G64)))</f>
        <v>0</v>
      </c>
      <c r="H65" s="310" t="str">
        <f>IF(G65=0,"",G65/G11)</f>
        <v/>
      </c>
      <c r="I65" s="1625"/>
      <c r="J65" s="1626"/>
      <c r="K65" s="161"/>
      <c r="L65" s="161"/>
      <c r="M65" s="169"/>
      <c r="N65" s="169"/>
      <c r="O65" s="169"/>
      <c r="P65" s="169"/>
      <c r="R65" s="823" t="str">
        <f>IF(AND($G$11&gt;0,I5&lt;&gt;O5),F65,"")</f>
        <v/>
      </c>
      <c r="S65" s="169" t="s">
        <v>6742</v>
      </c>
      <c r="T65" s="202" t="s">
        <v>6741</v>
      </c>
      <c r="U65" s="169"/>
      <c r="V65" s="169"/>
      <c r="W65" s="693"/>
      <c r="X65" s="422"/>
      <c r="Y65" s="3"/>
      <c r="Z65" s="688"/>
      <c r="AC65" s="169" t="s">
        <v>175</v>
      </c>
      <c r="AD65" s="169">
        <v>325</v>
      </c>
    </row>
    <row r="66" spans="2:30" ht="19.5" customHeight="1" thickBot="1">
      <c r="B66" s="429"/>
      <c r="C66" s="190"/>
      <c r="D66" s="190" t="s">
        <v>7526</v>
      </c>
      <c r="E66" s="430"/>
      <c r="F66" s="431"/>
      <c r="G66" s="78">
        <f>IF(G11=0,0,SUM(G29:G65))</f>
        <v>0</v>
      </c>
      <c r="H66" s="78">
        <f>IF(G66=0,0,G66/G11)</f>
        <v>0</v>
      </c>
      <c r="I66" s="1625"/>
      <c r="J66" s="1626"/>
      <c r="K66" s="161"/>
      <c r="L66" s="161"/>
      <c r="M66" s="169"/>
      <c r="N66" s="169"/>
      <c r="O66" s="169"/>
      <c r="P66" s="169"/>
      <c r="S66" s="169"/>
      <c r="T66" s="169"/>
      <c r="U66" s="169"/>
      <c r="V66" s="169"/>
      <c r="W66" s="693"/>
      <c r="X66" s="422"/>
      <c r="Y66" s="3"/>
      <c r="Z66" s="688"/>
      <c r="AC66" s="169" t="s">
        <v>176</v>
      </c>
      <c r="AD66" s="169">
        <v>300</v>
      </c>
    </row>
    <row r="67" spans="2:30" ht="19.5" customHeight="1" thickBot="1">
      <c r="B67" s="195"/>
      <c r="C67" s="196"/>
      <c r="D67" s="197" t="s">
        <v>7523</v>
      </c>
      <c r="E67" s="198"/>
      <c r="F67" s="64"/>
      <c r="G67" s="91">
        <v>8078</v>
      </c>
      <c r="H67" s="77">
        <f>IF(G11=0,0,G67/G11)</f>
        <v>0</v>
      </c>
      <c r="I67" s="1745"/>
      <c r="J67" s="1613"/>
      <c r="K67" s="7"/>
      <c r="L67" s="7"/>
      <c r="M67" s="169"/>
      <c r="N67" s="169"/>
      <c r="O67" s="169"/>
      <c r="P67" s="169"/>
      <c r="S67" s="169"/>
      <c r="T67" s="169"/>
      <c r="U67" s="169"/>
      <c r="V67" s="169"/>
      <c r="W67" s="693"/>
      <c r="X67" s="422"/>
      <c r="Y67" s="3"/>
      <c r="Z67" s="688"/>
      <c r="AC67" s="169" t="s">
        <v>10</v>
      </c>
      <c r="AD67" s="169">
        <v>275</v>
      </c>
    </row>
    <row r="68" spans="2:30" ht="17.25" customHeight="1" thickBot="1">
      <c r="B68" s="1597" t="s">
        <v>6778</v>
      </c>
      <c r="C68" s="1598"/>
      <c r="D68" s="590" t="str">
        <f>IF(I$5=$O$5,$S$68,"")</f>
        <v/>
      </c>
      <c r="E68" s="433" t="str">
        <f>IF(I$5="CM at Risk",$T$68,"")</f>
        <v/>
      </c>
      <c r="F68" s="701" t="str">
        <f>IF($O$4&lt;&gt;$O$5,"",IF($G$11=0,"",IFERROR(G68/$G$71,"0.00%")))</f>
        <v/>
      </c>
      <c r="G68" s="437">
        <v>3500</v>
      </c>
      <c r="H68" s="310">
        <f>IF(G11=0,0,G68/$G$11)</f>
        <v>0</v>
      </c>
      <c r="I68" s="1736"/>
      <c r="J68" s="1746"/>
      <c r="K68" s="737"/>
      <c r="L68" s="737"/>
      <c r="M68" s="169"/>
      <c r="N68" s="169"/>
      <c r="O68" s="169"/>
      <c r="P68" s="171"/>
      <c r="S68" s="196" t="s">
        <v>6928</v>
      </c>
      <c r="T68" s="621" t="s">
        <v>6931</v>
      </c>
      <c r="U68" s="432">
        <f>G68</f>
        <v>3500</v>
      </c>
      <c r="V68" s="171">
        <f>G70</f>
        <v>32000</v>
      </c>
      <c r="W68" s="693"/>
      <c r="X68" s="422"/>
      <c r="Y68" s="3"/>
      <c r="Z68" s="688"/>
      <c r="AC68" s="169"/>
      <c r="AD68" s="169"/>
    </row>
    <row r="69" spans="2:30" ht="17.25" customHeight="1" thickBot="1">
      <c r="B69" s="1599"/>
      <c r="C69" s="1600"/>
      <c r="D69" s="488" t="str">
        <f>IF(I$5=$O$5,$S$69,"")</f>
        <v/>
      </c>
      <c r="E69" s="593" t="str">
        <f>IF(I$5="CM at Risk",$T$69,"")</f>
        <v/>
      </c>
      <c r="F69" s="701" t="str">
        <f>IF($O$4&lt;&gt;$O$5,"",IF($G$11=0,"",IFERROR(G69/$G$71,"0.00%")))</f>
        <v/>
      </c>
      <c r="G69" s="437">
        <v>15000</v>
      </c>
      <c r="H69" s="310">
        <f>IF(G11=0,0,G69/$G$11)</f>
        <v>0</v>
      </c>
      <c r="I69" s="1742"/>
      <c r="J69" s="1743"/>
      <c r="K69" s="738"/>
      <c r="L69" s="738"/>
      <c r="M69" s="169"/>
      <c r="N69" s="169"/>
      <c r="O69" s="169"/>
      <c r="P69" s="171"/>
      <c r="S69" s="154" t="s">
        <v>6929</v>
      </c>
      <c r="T69" s="621" t="s">
        <v>7176</v>
      </c>
      <c r="U69" s="432"/>
      <c r="V69" s="171"/>
      <c r="W69" s="693"/>
      <c r="X69" s="422"/>
      <c r="Y69" s="3"/>
      <c r="Z69" s="688"/>
      <c r="AC69" s="169" t="s">
        <v>185</v>
      </c>
      <c r="AD69" s="169">
        <v>600</v>
      </c>
    </row>
    <row r="70" spans="2:30" ht="17.25" customHeight="1" thickBot="1">
      <c r="B70" s="1601"/>
      <c r="C70" s="1602"/>
      <c r="D70" s="591" t="str">
        <f>IF($I$5=$O$5,$S$70,"")</f>
        <v/>
      </c>
      <c r="E70" s="434" t="str">
        <f>IF(I$5="CM at Risk",$T$70,"")</f>
        <v/>
      </c>
      <c r="F70" s="701" t="str">
        <f>IF($O$4&lt;&gt;$O$5,"",IF($G$11=0,"",IFERROR(G70/$G$71,"0.00%")))</f>
        <v/>
      </c>
      <c r="G70" s="437">
        <v>32000</v>
      </c>
      <c r="H70" s="310">
        <f>IF(G11=0,0,G70/G11)</f>
        <v>0</v>
      </c>
      <c r="I70" s="1740"/>
      <c r="J70" s="1747"/>
      <c r="K70" s="738"/>
      <c r="L70" s="738"/>
      <c r="M70" s="169"/>
      <c r="N70" s="169"/>
      <c r="O70" s="169"/>
      <c r="P70" s="171"/>
      <c r="S70" s="436" t="s">
        <v>6930</v>
      </c>
      <c r="T70" s="621" t="s">
        <v>6977</v>
      </c>
      <c r="U70" s="177" t="e">
        <f>F70*G66</f>
        <v>#VALUE!</v>
      </c>
      <c r="V70" s="169"/>
      <c r="W70" s="693"/>
      <c r="X70" s="422"/>
      <c r="Y70" s="3"/>
      <c r="Z70" s="688"/>
      <c r="AC70" s="169" t="s">
        <v>178</v>
      </c>
      <c r="AD70" s="169">
        <v>250</v>
      </c>
    </row>
    <row r="71" spans="2:30" ht="19.5" customHeight="1" thickBot="1">
      <c r="B71" s="132"/>
      <c r="C71" s="190" t="s">
        <v>6740</v>
      </c>
      <c r="D71" s="200"/>
      <c r="E71" s="201"/>
      <c r="F71" s="55"/>
      <c r="G71" s="78">
        <f>IF($O$4&lt;&gt;$O$5,G66,IF(G11=0,0,(SUM(G66:G70))))</f>
        <v>0</v>
      </c>
      <c r="H71" s="78">
        <f>IF(G11=0,0,G71/G11)</f>
        <v>0</v>
      </c>
      <c r="I71" s="1638"/>
      <c r="J71" s="1626"/>
      <c r="K71" s="7"/>
      <c r="L71" s="7"/>
      <c r="M71" s="169"/>
      <c r="N71" s="169"/>
      <c r="O71" s="169"/>
      <c r="P71" s="169"/>
      <c r="S71" s="169"/>
      <c r="T71" s="202" t="s">
        <v>6895</v>
      </c>
      <c r="U71" s="169"/>
      <c r="V71" s="169"/>
      <c r="W71" s="693"/>
      <c r="X71" s="422"/>
      <c r="Y71" s="3"/>
      <c r="Z71" s="688"/>
      <c r="AC71" s="169" t="s">
        <v>171</v>
      </c>
      <c r="AD71" s="169">
        <v>250</v>
      </c>
    </row>
    <row r="72" spans="2:30" ht="19.5" customHeight="1" thickBot="1">
      <c r="B72" s="132"/>
      <c r="C72" s="190" t="s">
        <v>141</v>
      </c>
      <c r="D72" s="200"/>
      <c r="E72" s="602" t="s">
        <v>6764</v>
      </c>
      <c r="F72" s="79">
        <f>IF(G72=0,0,G72/G71)</f>
        <v>0</v>
      </c>
      <c r="G72" s="78">
        <f>SUM(G73:G80)+G83+G84</f>
        <v>0</v>
      </c>
      <c r="H72" s="78">
        <f>IF(G11=0,0,G72/G11)</f>
        <v>0</v>
      </c>
      <c r="I72" s="1625"/>
      <c r="J72" s="1626"/>
      <c r="K72" s="161"/>
      <c r="L72" s="161"/>
      <c r="M72" s="169"/>
      <c r="N72" s="169"/>
      <c r="O72" s="169"/>
      <c r="P72" s="169"/>
      <c r="S72" s="169"/>
      <c r="T72" s="202" t="s">
        <v>6896</v>
      </c>
      <c r="U72" s="169"/>
      <c r="V72" s="169"/>
      <c r="W72" s="693"/>
      <c r="X72" s="422"/>
      <c r="Y72" s="3"/>
      <c r="Z72" s="688"/>
      <c r="AC72" s="169" t="s">
        <v>174</v>
      </c>
      <c r="AD72" s="169">
        <v>80</v>
      </c>
    </row>
    <row r="73" spans="2:30" ht="18" customHeight="1" thickBot="1">
      <c r="B73" s="132"/>
      <c r="C73" s="200"/>
      <c r="D73" s="200" t="s">
        <v>6935</v>
      </c>
      <c r="E73" s="602" t="s">
        <v>6758</v>
      </c>
      <c r="F73" s="92">
        <v>1.6E-2</v>
      </c>
      <c r="G73" s="77">
        <f>F73*(G71+G74+G75+G76+G77+G78+G79+G80+G83+G84)</f>
        <v>0</v>
      </c>
      <c r="H73" s="709"/>
      <c r="I73" s="1639"/>
      <c r="J73" s="1640"/>
      <c r="K73" s="161"/>
      <c r="L73" s="161"/>
      <c r="M73" s="169"/>
      <c r="N73" s="169"/>
      <c r="O73" s="169"/>
      <c r="P73" s="169"/>
      <c r="R73" s="823" t="str">
        <f t="shared" ref="R73:R80" si="6">IF($G$11&gt;0,F73,"")</f>
        <v/>
      </c>
      <c r="S73" s="169"/>
      <c r="T73" s="169"/>
      <c r="U73" s="169"/>
      <c r="V73" s="169"/>
      <c r="W73" s="693"/>
      <c r="X73" s="422"/>
      <c r="Y73" s="3"/>
      <c r="Z73" s="688"/>
      <c r="AC73" s="169" t="s">
        <v>173</v>
      </c>
      <c r="AD73" s="169">
        <v>150</v>
      </c>
    </row>
    <row r="74" spans="2:30" ht="17.25" customHeight="1" thickBot="1">
      <c r="B74" s="1597" t="s">
        <v>6937</v>
      </c>
      <c r="C74" s="1598"/>
      <c r="D74" s="610" t="s">
        <v>6936</v>
      </c>
      <c r="E74" s="599" t="s">
        <v>6934</v>
      </c>
      <c r="F74" s="600">
        <v>0.02</v>
      </c>
      <c r="G74" s="569">
        <f>F74*G$71</f>
        <v>0</v>
      </c>
      <c r="H74" s="707"/>
      <c r="I74" s="1623"/>
      <c r="J74" s="1624"/>
      <c r="K74" s="161"/>
      <c r="L74" s="161"/>
      <c r="M74" s="169"/>
      <c r="N74" s="169"/>
      <c r="O74" s="169"/>
      <c r="P74" s="169"/>
      <c r="R74" s="823" t="str">
        <f t="shared" si="6"/>
        <v/>
      </c>
      <c r="S74" s="169"/>
      <c r="T74" s="169"/>
      <c r="U74" s="169"/>
      <c r="V74" s="169"/>
      <c r="W74" s="693"/>
      <c r="X74" s="422"/>
      <c r="Y74" s="3"/>
      <c r="Z74" s="688"/>
      <c r="AC74" s="169" t="s">
        <v>172</v>
      </c>
      <c r="AD74" s="169">
        <v>250</v>
      </c>
    </row>
    <row r="75" spans="2:30" ht="17.25" customHeight="1" thickBot="1">
      <c r="B75" s="1599"/>
      <c r="C75" s="1600"/>
      <c r="D75" s="488" t="s">
        <v>6994</v>
      </c>
      <c r="E75" s="204" t="s">
        <v>6996</v>
      </c>
      <c r="F75" s="92">
        <v>8.2500000000000004E-2</v>
      </c>
      <c r="G75" s="77">
        <f>F75*G$71</f>
        <v>0</v>
      </c>
      <c r="H75" s="708"/>
      <c r="I75" s="672"/>
      <c r="J75" s="673"/>
      <c r="K75" s="161"/>
      <c r="L75" s="161"/>
      <c r="M75" s="169"/>
      <c r="N75" s="169"/>
      <c r="O75" s="169"/>
      <c r="P75" s="169"/>
      <c r="R75" s="823" t="str">
        <f t="shared" si="6"/>
        <v/>
      </c>
      <c r="S75" s="169"/>
      <c r="T75" s="169"/>
      <c r="U75" s="169"/>
      <c r="V75" s="169" t="s">
        <v>151</v>
      </c>
      <c r="W75" s="693"/>
      <c r="X75" s="422"/>
      <c r="Y75" s="3"/>
      <c r="Z75" s="688"/>
      <c r="AC75" s="169" t="s">
        <v>123</v>
      </c>
      <c r="AD75" s="169">
        <v>150</v>
      </c>
    </row>
    <row r="76" spans="2:30" ht="17.25" customHeight="1" thickBot="1">
      <c r="B76" s="1599"/>
      <c r="C76" s="1600"/>
      <c r="D76" s="611" t="s">
        <v>6995</v>
      </c>
      <c r="E76" s="603" t="s">
        <v>6997</v>
      </c>
      <c r="F76" s="428">
        <v>2.6499999999999999E-2</v>
      </c>
      <c r="G76" s="77">
        <f>F76*G$71</f>
        <v>0</v>
      </c>
      <c r="H76" s="708"/>
      <c r="I76" s="597"/>
      <c r="J76" s="684"/>
      <c r="K76" s="161"/>
      <c r="L76" s="161"/>
      <c r="M76" s="169"/>
      <c r="N76" s="169"/>
      <c r="O76" s="169"/>
      <c r="P76" s="169"/>
      <c r="Q76" s="169"/>
      <c r="R76" s="823" t="str">
        <f t="shared" si="6"/>
        <v/>
      </c>
      <c r="S76" s="169"/>
      <c r="T76" s="169"/>
      <c r="U76" s="169"/>
      <c r="V76" s="169"/>
      <c r="W76" s="693"/>
      <c r="X76" s="422"/>
      <c r="Y76" s="3"/>
      <c r="Z76" s="688"/>
      <c r="AC76" s="169" t="s">
        <v>124</v>
      </c>
      <c r="AD76" s="169">
        <v>1000</v>
      </c>
    </row>
    <row r="77" spans="2:30" ht="17.25" customHeight="1" thickBot="1">
      <c r="B77" s="1601"/>
      <c r="C77" s="1602"/>
      <c r="D77" s="611" t="s">
        <v>417</v>
      </c>
      <c r="E77" s="603" t="s">
        <v>6749</v>
      </c>
      <c r="F77" s="428">
        <v>1.7000000000000001E-2</v>
      </c>
      <c r="G77" s="81">
        <f>F77*G$71</f>
        <v>0</v>
      </c>
      <c r="H77" s="710"/>
      <c r="I77" s="1622"/>
      <c r="J77" s="1615"/>
      <c r="K77" s="161"/>
      <c r="L77" s="161"/>
      <c r="M77" s="169"/>
      <c r="N77" s="169"/>
      <c r="O77" s="169"/>
      <c r="P77" s="169"/>
      <c r="Q77" s="437">
        <f>$G$71*$M$68</f>
        <v>0</v>
      </c>
      <c r="R77" s="823" t="str">
        <f t="shared" si="6"/>
        <v/>
      </c>
      <c r="S77" s="169"/>
      <c r="T77" s="169"/>
      <c r="U77" s="169"/>
      <c r="V77" s="169"/>
      <c r="W77" s="694"/>
      <c r="X77" s="695"/>
      <c r="Y77" s="696"/>
      <c r="Z77" s="689"/>
    </row>
    <row r="78" spans="2:30" ht="17.25" customHeight="1" thickBot="1">
      <c r="B78" s="1597" t="s">
        <v>6938</v>
      </c>
      <c r="C78" s="1603"/>
      <c r="D78" s="590" t="s">
        <v>377</v>
      </c>
      <c r="E78" s="606" t="s">
        <v>6748</v>
      </c>
      <c r="F78" s="607">
        <v>0.19600000000000001</v>
      </c>
      <c r="G78" s="570">
        <f t="shared" ref="G78:G79" si="7">F78*G$71</f>
        <v>0</v>
      </c>
      <c r="H78" s="601"/>
      <c r="I78" s="1659"/>
      <c r="J78" s="1660"/>
      <c r="K78" s="161"/>
      <c r="L78" s="161"/>
      <c r="M78" s="169"/>
      <c r="N78" s="169"/>
      <c r="O78" s="169"/>
      <c r="P78" s="169">
        <v>0.08</v>
      </c>
      <c r="Q78" s="437">
        <f>$G$71*$M$69</f>
        <v>0</v>
      </c>
      <c r="R78" s="823" t="str">
        <f t="shared" si="6"/>
        <v/>
      </c>
      <c r="S78" s="169"/>
      <c r="T78" s="169"/>
      <c r="U78" s="169"/>
      <c r="V78" s="169"/>
      <c r="W78" s="169"/>
      <c r="X78" s="169"/>
    </row>
    <row r="79" spans="2:30" ht="17.25" customHeight="1" thickBot="1">
      <c r="B79" s="1604"/>
      <c r="C79" s="1605"/>
      <c r="D79" s="591" t="s">
        <v>378</v>
      </c>
      <c r="E79" s="282" t="s">
        <v>6752</v>
      </c>
      <c r="F79" s="608">
        <v>2.5000000000000001E-2</v>
      </c>
      <c r="G79" s="575">
        <f t="shared" si="7"/>
        <v>0</v>
      </c>
      <c r="H79" s="710"/>
      <c r="I79" s="1622"/>
      <c r="J79" s="1615"/>
      <c r="K79" s="161"/>
      <c r="L79" s="161"/>
      <c r="M79" s="169"/>
      <c r="N79" s="169"/>
      <c r="O79" s="169"/>
      <c r="P79" s="169"/>
      <c r="Q79" s="437">
        <f>$G$71*$M$70</f>
        <v>0</v>
      </c>
      <c r="R79" s="823" t="str">
        <f t="shared" si="6"/>
        <v/>
      </c>
      <c r="S79" s="169"/>
      <c r="T79" s="169"/>
      <c r="U79" s="169"/>
      <c r="V79" s="169"/>
      <c r="W79" s="169"/>
      <c r="X79" s="169"/>
    </row>
    <row r="80" spans="2:30" ht="18" customHeight="1" thickBot="1">
      <c r="B80" s="605"/>
      <c r="C80" s="598"/>
      <c r="D80" s="598" t="s">
        <v>14</v>
      </c>
      <c r="E80" s="604" t="s">
        <v>145</v>
      </c>
      <c r="F80" s="600">
        <v>1.55E-2</v>
      </c>
      <c r="G80" s="569">
        <f>F80*G$71</f>
        <v>0</v>
      </c>
      <c r="H80" s="601"/>
      <c r="I80" s="1659"/>
      <c r="J80" s="1660"/>
      <c r="K80" s="7"/>
      <c r="L80" s="7"/>
      <c r="M80" s="169"/>
      <c r="N80" s="169"/>
      <c r="O80" s="169"/>
      <c r="P80" s="169"/>
      <c r="R80" s="823" t="str">
        <f t="shared" si="6"/>
        <v/>
      </c>
      <c r="S80" s="169"/>
      <c r="T80" s="169"/>
      <c r="U80" s="169"/>
      <c r="V80" s="169"/>
      <c r="W80" s="169"/>
      <c r="X80" s="169"/>
    </row>
    <row r="81" spans="1:31" ht="19.5" customHeight="1" thickBot="1">
      <c r="B81" s="159"/>
      <c r="C81" s="206" t="s">
        <v>5</v>
      </c>
      <c r="D81" s="207"/>
      <c r="E81" s="208"/>
      <c r="F81" s="361"/>
      <c r="G81" s="80">
        <f>G71+SUM(G73:G80)</f>
        <v>0</v>
      </c>
      <c r="H81" s="81">
        <f>IF(G11=0,0,G81/G11)</f>
        <v>0</v>
      </c>
      <c r="I81" s="550"/>
      <c r="J81" s="551"/>
      <c r="K81" s="7"/>
      <c r="L81" s="7"/>
      <c r="M81" s="169"/>
      <c r="N81" s="169"/>
      <c r="O81" s="169"/>
      <c r="P81" s="169"/>
      <c r="S81" s="169"/>
      <c r="T81" s="169"/>
      <c r="U81" s="169"/>
      <c r="V81" s="169"/>
      <c r="W81" s="169"/>
      <c r="X81" s="169"/>
    </row>
    <row r="82" spans="1:31" ht="19.5" customHeight="1" thickBot="1">
      <c r="B82" s="132"/>
      <c r="C82" s="190" t="s">
        <v>6942</v>
      </c>
      <c r="D82" s="200"/>
      <c r="E82" s="209">
        <v>0.05</v>
      </c>
      <c r="F82" s="92">
        <v>0.1</v>
      </c>
      <c r="G82" s="77">
        <f>F82*G81</f>
        <v>0</v>
      </c>
      <c r="H82" s="77">
        <f>IF(G11=0,0,G82/G11)</f>
        <v>0</v>
      </c>
      <c r="I82" s="1625"/>
      <c r="J82" s="1626"/>
      <c r="K82" s="7"/>
      <c r="L82" s="7"/>
      <c r="M82" s="169"/>
      <c r="N82" s="169"/>
      <c r="O82" s="169"/>
      <c r="P82" s="169"/>
      <c r="R82" s="823" t="str">
        <f>IF($G$11&gt;0,F82,"")</f>
        <v/>
      </c>
    </row>
    <row r="83" spans="1:31" ht="18" customHeight="1" thickBot="1">
      <c r="B83" s="1606" t="s">
        <v>6939</v>
      </c>
      <c r="C83" s="1607"/>
      <c r="D83" s="199" t="s">
        <v>13</v>
      </c>
      <c r="E83" s="204" t="s">
        <v>145</v>
      </c>
      <c r="F83" s="92">
        <v>1.2500000000000001E-2</v>
      </c>
      <c r="G83" s="77">
        <f>F83*G$71</f>
        <v>0</v>
      </c>
      <c r="H83" s="56"/>
      <c r="I83" s="1612"/>
      <c r="J83" s="1613"/>
      <c r="K83" s="161"/>
      <c r="L83" s="161"/>
      <c r="M83" s="169"/>
      <c r="N83" s="169"/>
      <c r="O83" s="169"/>
      <c r="P83" s="169"/>
      <c r="Q83" s="169"/>
      <c r="R83" s="823" t="str">
        <f>IF($G$11&gt;0,F83,"")</f>
        <v/>
      </c>
    </row>
    <row r="84" spans="1:31" ht="18" customHeight="1" thickBot="1">
      <c r="B84" s="1608"/>
      <c r="C84" s="1609"/>
      <c r="D84" s="205" t="s">
        <v>376</v>
      </c>
      <c r="E84" s="282" t="s">
        <v>6757</v>
      </c>
      <c r="F84" s="92">
        <v>7.4999999999999997E-3</v>
      </c>
      <c r="G84" s="77">
        <f>F84*G$71</f>
        <v>0</v>
      </c>
      <c r="H84" s="166"/>
      <c r="I84" s="1622"/>
      <c r="J84" s="1615"/>
      <c r="K84" s="7"/>
      <c r="L84" s="7"/>
      <c r="M84" s="169"/>
      <c r="N84" s="169"/>
      <c r="O84" s="169"/>
      <c r="P84" s="169"/>
      <c r="Q84" s="436" t="s">
        <v>6767</v>
      </c>
      <c r="R84" s="823" t="str">
        <f>IF($G$11&gt;0,F84,"")</f>
        <v/>
      </c>
    </row>
    <row r="85" spans="1:31" ht="19.5" customHeight="1" thickBot="1">
      <c r="B85" s="132"/>
      <c r="C85" s="190" t="s">
        <v>381</v>
      </c>
      <c r="D85" s="210"/>
      <c r="E85" s="211"/>
      <c r="F85" s="167" t="str">
        <f>IF(G71=0,"",G85/G71-1)</f>
        <v/>
      </c>
      <c r="G85" s="78">
        <f>IF(G11=0,0,G81+G82+G83+G84)</f>
        <v>0</v>
      </c>
      <c r="H85" s="78">
        <f>IF(G11&gt;0,G85/G11,0)</f>
        <v>0</v>
      </c>
      <c r="I85" s="550"/>
      <c r="J85" s="551"/>
      <c r="K85" s="7"/>
      <c r="L85" s="7"/>
      <c r="M85" s="169"/>
      <c r="N85" s="169"/>
      <c r="O85" s="169"/>
      <c r="P85" s="169"/>
      <c r="Q85" s="169" t="s">
        <v>328</v>
      </c>
      <c r="R85" s="173">
        <f>F104+F108+F114+F115</f>
        <v>0.1237</v>
      </c>
    </row>
    <row r="86" spans="1:31" ht="12.75" customHeight="1">
      <c r="A86" s="7"/>
      <c r="B86" s="7"/>
      <c r="C86" s="7"/>
      <c r="D86" s="7"/>
      <c r="E86" s="129"/>
      <c r="F86" s="8"/>
      <c r="G86" s="8"/>
      <c r="H86" s="8"/>
      <c r="I86" s="7"/>
      <c r="J86" s="7"/>
      <c r="K86" s="7"/>
      <c r="L86" s="7"/>
      <c r="M86" s="169"/>
      <c r="N86" s="169"/>
      <c r="O86" s="169"/>
      <c r="P86" s="169"/>
      <c r="Q86" s="169"/>
      <c r="R86" s="173"/>
      <c r="AC86" s="3" t="s">
        <v>6948</v>
      </c>
    </row>
    <row r="87" spans="1:31" ht="22.5" customHeight="1" thickBot="1">
      <c r="K87" s="7"/>
      <c r="L87" s="7"/>
      <c r="M87" s="169"/>
      <c r="N87" s="169"/>
      <c r="O87" s="169"/>
      <c r="P87" s="169"/>
      <c r="Q87" s="169"/>
      <c r="R87" s="169"/>
    </row>
    <row r="88" spans="1:31" ht="15.75" customHeight="1" thickBot="1">
      <c r="B88" s="217"/>
      <c r="C88" s="674" t="s">
        <v>6747</v>
      </c>
      <c r="D88" s="219"/>
      <c r="E88" s="283"/>
      <c r="F88" s="284"/>
      <c r="G88" s="285"/>
      <c r="H88" s="286"/>
      <c r="I88" s="552"/>
      <c r="J88" s="287"/>
      <c r="K88" s="7"/>
      <c r="L88" s="7"/>
      <c r="M88" s="169"/>
      <c r="N88" s="169"/>
      <c r="O88" s="169"/>
      <c r="P88" s="169"/>
      <c r="Q88" s="169"/>
      <c r="R88" s="169"/>
      <c r="AC88" s="1" t="s">
        <v>6949</v>
      </c>
      <c r="AD88" s="3" t="s">
        <v>6950</v>
      </c>
      <c r="AE88" s="3" t="s">
        <v>6951</v>
      </c>
    </row>
    <row r="89" spans="1:31" ht="14.25" customHeight="1" thickBot="1">
      <c r="B89" s="615"/>
      <c r="C89" s="212"/>
      <c r="D89" s="618" t="s">
        <v>191</v>
      </c>
      <c r="E89" s="618"/>
      <c r="F89" s="619" t="s">
        <v>387</v>
      </c>
      <c r="G89" s="559" t="s">
        <v>193</v>
      </c>
      <c r="H89" s="286" t="s">
        <v>192</v>
      </c>
      <c r="I89" s="620" t="s">
        <v>204</v>
      </c>
      <c r="J89" s="621"/>
      <c r="K89" s="7"/>
      <c r="L89" s="7"/>
      <c r="M89" s="169"/>
      <c r="N89" s="169"/>
      <c r="O89" s="169"/>
      <c r="P89" s="169"/>
      <c r="S89" s="169"/>
      <c r="T89" s="169" t="s">
        <v>148</v>
      </c>
      <c r="U89" s="169"/>
      <c r="V89" s="3" t="s">
        <v>7179</v>
      </c>
      <c r="W89" s="3" t="s">
        <v>148</v>
      </c>
      <c r="X89" s="169" t="s">
        <v>159</v>
      </c>
      <c r="Y89" s="169" t="s">
        <v>160</v>
      </c>
      <c r="Z89" s="169" t="s">
        <v>7183</v>
      </c>
    </row>
    <row r="90" spans="1:31" ht="16.5" customHeight="1">
      <c r="B90" s="670" t="s">
        <v>6923</v>
      </c>
      <c r="C90" s="213"/>
      <c r="D90" s="634" t="str">
        <f>IF('TAB 2 Project Specs'!I19="","",'TAB 2 Project Specs'!I19)</f>
        <v/>
      </c>
      <c r="E90" s="616"/>
      <c r="F90" s="312">
        <f>IF('TAB 2 Project Specs'!D26="",0,IF(D90="",0,'TAB 2 Project Specs'!D26))</f>
        <v>0</v>
      </c>
      <c r="G90" s="570">
        <f>F90*H90</f>
        <v>0</v>
      </c>
      <c r="H90" s="313">
        <v>211</v>
      </c>
      <c r="I90" s="553" t="str">
        <f>IF('TAB 2 Project Specs'!M20="","",'TAB 2 Project Specs'!M20)</f>
        <v/>
      </c>
      <c r="J90" s="554"/>
      <c r="K90" s="7"/>
      <c r="L90" s="7"/>
      <c r="M90" s="613">
        <f>F90*H90</f>
        <v>0</v>
      </c>
      <c r="N90" s="169"/>
      <c r="O90" s="169"/>
      <c r="P90" s="169"/>
      <c r="Q90" s="436" t="s">
        <v>6770</v>
      </c>
      <c r="S90" s="436" t="s">
        <v>6767</v>
      </c>
      <c r="T90" s="169"/>
      <c r="U90" s="169"/>
      <c r="W90" s="412">
        <f>SUM(W91:W113)</f>
        <v>0</v>
      </c>
      <c r="X90" s="169"/>
      <c r="Y90" s="171"/>
    </row>
    <row r="91" spans="1:31" ht="16.5" customHeight="1">
      <c r="B91" s="670" t="s">
        <v>6924</v>
      </c>
      <c r="C91" s="213"/>
      <c r="D91" s="635" t="str">
        <f>IF('TAB 2 Project Specs'!I36="","",'TAB 2 Project Specs'!I36)</f>
        <v/>
      </c>
      <c r="E91" s="617"/>
      <c r="F91" s="314">
        <f>IF('TAB 2 Project Specs'!D43="",0,IF(D91="",0,'TAB 2 Project Specs'!D43))</f>
        <v>0</v>
      </c>
      <c r="G91" s="573">
        <f t="shared" ref="G91:G92" si="8">F91*H91</f>
        <v>0</v>
      </c>
      <c r="H91" s="315"/>
      <c r="I91" s="555" t="str">
        <f>IF('TAB 2 Project Specs'!M37="","",'TAB 2 Project Specs'!M37)</f>
        <v/>
      </c>
      <c r="J91" s="556"/>
      <c r="K91" s="7"/>
      <c r="L91" s="7"/>
      <c r="M91" s="613">
        <f>F91*H91</f>
        <v>0</v>
      </c>
      <c r="N91" s="169"/>
      <c r="O91" s="169" t="s">
        <v>6742</v>
      </c>
      <c r="P91" s="202" t="s">
        <v>6741</v>
      </c>
      <c r="Q91" s="169"/>
      <c r="R91" s="169"/>
      <c r="S91" s="169" t="s">
        <v>6989</v>
      </c>
      <c r="T91" s="3" t="s">
        <v>6802</v>
      </c>
      <c r="U91" s="311">
        <f>IF(O4&lt;&gt;O5,0,IF(G11=0,0,G68))</f>
        <v>0</v>
      </c>
      <c r="V91" s="713">
        <v>1</v>
      </c>
      <c r="W91" s="311">
        <f>IF(O4&lt;&gt;O5,0,IF(G11=0,0,U91*V91))</f>
        <v>0</v>
      </c>
      <c r="Z91" s="3"/>
    </row>
    <row r="92" spans="1:31" ht="16.5" customHeight="1" thickBot="1">
      <c r="B92" s="671" t="s">
        <v>6922</v>
      </c>
      <c r="C92" s="196"/>
      <c r="D92" s="638" t="str">
        <f>IF('TAB 2 Project Specs'!I53="","",'TAB 2 Project Specs'!I53)</f>
        <v/>
      </c>
      <c r="E92" s="639"/>
      <c r="F92" s="640">
        <f>IF('TAB 2 Project Specs'!D60="",0,IF(D92="",0,'TAB 2 Project Specs'!D60))</f>
        <v>0</v>
      </c>
      <c r="G92" s="641">
        <f t="shared" si="8"/>
        <v>0</v>
      </c>
      <c r="H92" s="592"/>
      <c r="I92" s="642" t="str">
        <f>IF('TAB 2 Project Specs'!M54="","",'TAB 2 Project Specs'!M54)</f>
        <v/>
      </c>
      <c r="J92" s="643"/>
      <c r="K92" s="7"/>
      <c r="L92" s="7"/>
      <c r="M92" s="613">
        <f>F92*H92</f>
        <v>0</v>
      </c>
      <c r="N92" s="169"/>
      <c r="O92" s="169"/>
      <c r="P92" s="169"/>
      <c r="Q92" s="169"/>
      <c r="R92" s="169"/>
      <c r="S92" s="169" t="s">
        <v>419</v>
      </c>
      <c r="T92" s="169" t="s">
        <v>6768</v>
      </c>
      <c r="U92" s="311">
        <f>G73</f>
        <v>0</v>
      </c>
      <c r="V92" s="714">
        <v>0.66</v>
      </c>
      <c r="W92" s="311">
        <f t="shared" ref="W92:W97" si="9">U92*V92</f>
        <v>0</v>
      </c>
      <c r="X92" s="169"/>
      <c r="Y92" s="171"/>
      <c r="Z92" s="3"/>
      <c r="AC92" s="311">
        <f>F90*H90</f>
        <v>0</v>
      </c>
      <c r="AD92" s="311">
        <f>F91*H91</f>
        <v>0</v>
      </c>
      <c r="AE92" s="311">
        <f>F92*H92</f>
        <v>0</v>
      </c>
    </row>
    <row r="93" spans="1:31" ht="19.5" customHeight="1" thickBot="1">
      <c r="B93" s="644"/>
      <c r="C93" s="534" t="s">
        <v>7006</v>
      </c>
      <c r="D93" s="211"/>
      <c r="E93" s="200"/>
      <c r="F93" s="188"/>
      <c r="G93" s="78">
        <f>(F90*H90)+(F91*H91)+(F92*H92)</f>
        <v>0</v>
      </c>
      <c r="H93" s="78">
        <f>IF(G13&gt;0,G93/G13,0)</f>
        <v>0</v>
      </c>
      <c r="I93" s="557"/>
      <c r="J93" s="558"/>
      <c r="K93" s="7"/>
      <c r="L93" s="7"/>
      <c r="M93" s="169"/>
      <c r="N93" s="169"/>
      <c r="O93" s="171">
        <f>(F90*H90)+(F91*H91)+(F92*H92)</f>
        <v>0</v>
      </c>
      <c r="P93" s="169"/>
      <c r="Q93" s="823">
        <f>IF(I5&lt;&gt;O5,F65,"")</f>
        <v>7.0000000000000007E-2</v>
      </c>
      <c r="R93" s="169"/>
      <c r="S93" s="3" t="s">
        <v>6993</v>
      </c>
      <c r="T93" s="169" t="s">
        <v>415</v>
      </c>
      <c r="U93" s="311">
        <f>G74</f>
        <v>0</v>
      </c>
      <c r="V93" s="97">
        <v>1</v>
      </c>
      <c r="W93" s="311">
        <f t="shared" si="9"/>
        <v>0</v>
      </c>
      <c r="X93" s="169"/>
      <c r="Y93" s="171"/>
      <c r="Z93" s="3"/>
      <c r="AC93" s="614" t="e">
        <f>G90/G93</f>
        <v>#DIV/0!</v>
      </c>
      <c r="AD93" s="614" t="e">
        <f>G91/G93</f>
        <v>#DIV/0!</v>
      </c>
      <c r="AE93" s="614" t="e">
        <f>G92/G93</f>
        <v>#DIV/0!</v>
      </c>
    </row>
    <row r="94" spans="1:31" ht="14.25" customHeight="1" thickBot="1">
      <c r="B94" s="189"/>
      <c r="C94" s="188"/>
      <c r="D94" s="190"/>
      <c r="E94" s="191" t="s">
        <v>143</v>
      </c>
      <c r="F94" s="191" t="s">
        <v>6745</v>
      </c>
      <c r="G94" s="559" t="s">
        <v>193</v>
      </c>
      <c r="H94" s="191" t="s">
        <v>192</v>
      </c>
      <c r="I94" s="560" t="s">
        <v>323</v>
      </c>
      <c r="J94" s="561"/>
      <c r="K94" s="7"/>
      <c r="L94" s="7"/>
      <c r="M94" s="169"/>
      <c r="N94" s="169"/>
      <c r="O94" s="169"/>
      <c r="P94" s="169"/>
      <c r="R94" s="823" t="str">
        <f>IF($G$13&gt;0,F95,"")</f>
        <v/>
      </c>
      <c r="S94" s="169" t="s">
        <v>7000</v>
      </c>
      <c r="T94" s="169" t="s">
        <v>7177</v>
      </c>
      <c r="U94" s="311">
        <f>G75</f>
        <v>0</v>
      </c>
      <c r="V94" s="714">
        <v>1</v>
      </c>
      <c r="W94" s="311">
        <f t="shared" si="9"/>
        <v>0</v>
      </c>
      <c r="AB94" s="3" t="s">
        <v>6952</v>
      </c>
      <c r="AC94" s="311" t="e">
        <f>$G98*AC$93</f>
        <v>#DIV/0!</v>
      </c>
      <c r="AD94" s="311" t="e">
        <f>$G98*AD$93</f>
        <v>#DIV/0!</v>
      </c>
      <c r="AE94" s="311" t="e">
        <f>$G98*AE$93</f>
        <v>#DIV/0!</v>
      </c>
    </row>
    <row r="95" spans="1:31" ht="18" customHeight="1" thickBot="1">
      <c r="B95" s="426"/>
      <c r="C95" s="197"/>
      <c r="D95" s="197" t="s">
        <v>239</v>
      </c>
      <c r="E95" s="725" t="s">
        <v>238</v>
      </c>
      <c r="F95" s="428">
        <v>0.06</v>
      </c>
      <c r="G95" s="81">
        <f>F95*G93</f>
        <v>0</v>
      </c>
      <c r="H95" s="81">
        <f>IF(G13=0,0,G95/G13)</f>
        <v>0</v>
      </c>
      <c r="I95" s="1663"/>
      <c r="J95" s="1664"/>
      <c r="K95" s="7"/>
      <c r="L95" s="7"/>
      <c r="M95" s="169"/>
      <c r="N95" s="169"/>
      <c r="P95" s="169"/>
      <c r="Q95" s="197"/>
      <c r="R95" s="823" t="str">
        <f>IF(AND($G$13&gt;0,I5&lt;&gt;O5),F96,"")</f>
        <v/>
      </c>
      <c r="S95" s="169" t="s">
        <v>7178</v>
      </c>
      <c r="T95" s="169" t="s">
        <v>6772</v>
      </c>
      <c r="U95" s="311">
        <f>G76</f>
        <v>0</v>
      </c>
      <c r="V95" s="97">
        <v>0</v>
      </c>
      <c r="W95" s="311">
        <f t="shared" si="9"/>
        <v>0</v>
      </c>
      <c r="X95" s="169"/>
      <c r="Y95" s="169"/>
      <c r="AB95" s="3" t="s">
        <v>6953</v>
      </c>
      <c r="AC95" s="311" t="e">
        <f t="shared" ref="AC95:AE110" si="10">$G95*AC$93</f>
        <v>#DIV/0!</v>
      </c>
      <c r="AD95" s="311" t="e">
        <f t="shared" si="10"/>
        <v>#DIV/0!</v>
      </c>
      <c r="AE95" s="311" t="e">
        <f t="shared" si="10"/>
        <v>#DIV/0!</v>
      </c>
    </row>
    <row r="96" spans="1:31" ht="18" customHeight="1" thickBot="1">
      <c r="B96" s="132"/>
      <c r="C96" s="200"/>
      <c r="D96" s="200" t="str">
        <f>IF($I$5=$O$5,"",O91)</f>
        <v>General Conditions (DBB/DB)</v>
      </c>
      <c r="E96" s="724" t="str">
        <f>IF($I$5=$O$5,"",P91)</f>
        <v>6% - 8%</v>
      </c>
      <c r="F96" s="722">
        <v>7.0000000000000007E-2</v>
      </c>
      <c r="G96" s="310">
        <f>IF($O$4=$O$5,0,F96*(G93+G98+G95))</f>
        <v>0</v>
      </c>
      <c r="H96" s="310">
        <f>IF(G96=0,0,G96/G13)</f>
        <v>0</v>
      </c>
      <c r="I96" s="1627"/>
      <c r="J96" s="1586"/>
      <c r="K96" s="7"/>
      <c r="L96" s="7"/>
      <c r="M96" s="169"/>
      <c r="N96" s="169" t="s">
        <v>6744</v>
      </c>
      <c r="O96" s="169"/>
      <c r="P96" s="169"/>
      <c r="Q96" s="3" t="s">
        <v>6990</v>
      </c>
      <c r="S96" s="169" t="s">
        <v>420</v>
      </c>
      <c r="T96" s="169" t="s">
        <v>6769</v>
      </c>
      <c r="U96" s="311">
        <f>G77</f>
        <v>0</v>
      </c>
      <c r="V96" s="714">
        <v>1</v>
      </c>
      <c r="W96" s="311">
        <f t="shared" si="9"/>
        <v>0</v>
      </c>
      <c r="X96" s="169"/>
      <c r="Y96" s="169"/>
      <c r="AB96" s="3" t="s">
        <v>6954</v>
      </c>
      <c r="AC96" s="311" t="e">
        <f t="shared" si="10"/>
        <v>#DIV/0!</v>
      </c>
      <c r="AD96" s="311" t="e">
        <f t="shared" si="10"/>
        <v>#DIV/0!</v>
      </c>
      <c r="AE96" s="311" t="e">
        <f t="shared" si="10"/>
        <v>#DIV/0!</v>
      </c>
    </row>
    <row r="97" spans="2:31" ht="19.5" customHeight="1" thickBot="1">
      <c r="B97" s="429"/>
      <c r="C97" s="190" t="s">
        <v>7526</v>
      </c>
      <c r="D97" s="190"/>
      <c r="E97" s="430"/>
      <c r="F97" s="53"/>
      <c r="G97" s="78">
        <f>IF($O$4=$O$5,(G93+G95),(G93+G95+G96))</f>
        <v>0</v>
      </c>
      <c r="H97" s="78">
        <f>IF(G97=0,0,G97/G13)</f>
        <v>0</v>
      </c>
      <c r="I97" s="1627" t="str">
        <f>IF(F97&gt;M97,N97,"")</f>
        <v/>
      </c>
      <c r="J97" s="1586"/>
      <c r="K97" s="7"/>
      <c r="L97" s="1024"/>
      <c r="M97" s="169"/>
      <c r="N97" s="169"/>
      <c r="O97" s="169"/>
      <c r="P97" s="169"/>
      <c r="Q97" s="136"/>
      <c r="R97" s="169"/>
      <c r="S97" s="169" t="s">
        <v>421</v>
      </c>
      <c r="T97" s="169" t="s">
        <v>7180</v>
      </c>
      <c r="U97" s="311">
        <f>G80</f>
        <v>0</v>
      </c>
      <c r="V97" s="714">
        <v>1</v>
      </c>
      <c r="W97" s="311">
        <f t="shared" si="9"/>
        <v>0</v>
      </c>
      <c r="X97" s="169"/>
      <c r="AB97" s="3" t="s">
        <v>7537</v>
      </c>
      <c r="AC97" s="311" t="e">
        <f t="shared" si="10"/>
        <v>#DIV/0!</v>
      </c>
      <c r="AD97" s="311" t="e">
        <f t="shared" si="10"/>
        <v>#DIV/0!</v>
      </c>
      <c r="AE97" s="311" t="e">
        <f t="shared" si="10"/>
        <v>#DIV/0!</v>
      </c>
    </row>
    <row r="98" spans="2:31" ht="19.5" customHeight="1" thickBot="1">
      <c r="B98" s="362"/>
      <c r="C98" s="200" t="s">
        <v>422</v>
      </c>
      <c r="D98" s="211"/>
      <c r="E98" s="200"/>
      <c r="F98" s="316"/>
      <c r="G98" s="77">
        <f>IF(H98&gt;0,H98*G13,0)</f>
        <v>0</v>
      </c>
      <c r="H98" s="91">
        <v>1</v>
      </c>
      <c r="I98" s="557"/>
      <c r="J98" s="558"/>
      <c r="K98" s="7"/>
      <c r="L98" s="7"/>
      <c r="M98" s="169"/>
      <c r="N98" s="169"/>
      <c r="O98" s="169"/>
      <c r="P98" s="169"/>
      <c r="Q98" s="136"/>
      <c r="R98" s="169"/>
      <c r="S98" s="436" t="s">
        <v>7182</v>
      </c>
      <c r="V98" s="97"/>
      <c r="AB98" s="3"/>
      <c r="AC98" s="311"/>
      <c r="AD98" s="311"/>
      <c r="AE98" s="311"/>
    </row>
    <row r="99" spans="2:31" ht="17.25" customHeight="1" thickBot="1">
      <c r="B99" s="1650" t="s">
        <v>6778</v>
      </c>
      <c r="C99" s="1651"/>
      <c r="D99" s="590" t="str">
        <f>IF(I$5=$O$5,S114,"")</f>
        <v/>
      </c>
      <c r="E99" s="433" t="str">
        <f>IF(I$5="CM at Risk",T114,"")</f>
        <v/>
      </c>
      <c r="F99" s="435" t="str">
        <f>IF($O$4&lt;&gt;$O$5,"",IF($G$13=0,"",IFERROR(G99/$G$102,"0.00%")))</f>
        <v/>
      </c>
      <c r="G99" s="437">
        <v>24500</v>
      </c>
      <c r="H99" s="310">
        <f>IF(G13=0,0,G99/G13)</f>
        <v>0</v>
      </c>
      <c r="I99" s="1738"/>
      <c r="J99" s="1739"/>
      <c r="K99" s="738"/>
      <c r="L99" s="1021"/>
      <c r="M99" s="169"/>
      <c r="N99" s="169"/>
      <c r="O99" s="169"/>
      <c r="P99" s="171">
        <f>IF($O$4=$O$5,G99,0)</f>
        <v>0</v>
      </c>
      <c r="Q99" s="3" t="s">
        <v>7169</v>
      </c>
      <c r="S99" s="436"/>
      <c r="V99" s="97"/>
      <c r="Y99" s="169"/>
      <c r="AB99" s="3" t="s">
        <v>6955</v>
      </c>
      <c r="AC99" s="311" t="e">
        <f t="shared" si="10"/>
        <v>#DIV/0!</v>
      </c>
      <c r="AD99" s="311" t="e">
        <f t="shared" si="10"/>
        <v>#DIV/0!</v>
      </c>
      <c r="AE99" s="311" t="e">
        <f t="shared" si="10"/>
        <v>#DIV/0!</v>
      </c>
    </row>
    <row r="100" spans="2:31" ht="17.25" customHeight="1" thickBot="1">
      <c r="B100" s="1652"/>
      <c r="C100" s="1653"/>
      <c r="D100" s="488" t="str">
        <f>IF(I$5=$O$5,S115,"")</f>
        <v/>
      </c>
      <c r="E100" s="593" t="str">
        <f>IF(I$5="CM at Risk",T115,"")</f>
        <v/>
      </c>
      <c r="F100" s="435" t="str">
        <f>IF($O$4&lt;&gt;$O$5,"",IF($G$13=0,"",IFERROR(G100/$G$102,"0.00%")))</f>
        <v/>
      </c>
      <c r="G100" s="437">
        <v>125000</v>
      </c>
      <c r="H100" s="310">
        <f>IF(G13=0,0,G100/G13)</f>
        <v>0</v>
      </c>
      <c r="I100" s="1742"/>
      <c r="J100" s="1743"/>
      <c r="K100" s="738"/>
      <c r="L100" s="1021"/>
      <c r="M100" s="169"/>
      <c r="N100" s="169"/>
      <c r="O100" s="169"/>
      <c r="P100" s="171">
        <f>IF($O$4=$O$5,G100,0)</f>
        <v>0</v>
      </c>
      <c r="Q100" s="3" t="s">
        <v>7170</v>
      </c>
      <c r="S100" s="169" t="s">
        <v>6989</v>
      </c>
      <c r="T100" s="169" t="s">
        <v>7181</v>
      </c>
      <c r="U100" s="311">
        <f>IF(O4&lt;&gt;O5,0,IF(G11=0,0,G99))</f>
        <v>0</v>
      </c>
      <c r="V100" s="713">
        <v>1</v>
      </c>
      <c r="W100" s="311">
        <f>IF(O4&lt;&gt;O5,0,IF(G11=0,0,U100*V100))</f>
        <v>0</v>
      </c>
      <c r="X100" s="169"/>
      <c r="Y100" s="169"/>
      <c r="AB100" s="3" t="s">
        <v>418</v>
      </c>
      <c r="AC100" s="311" t="e">
        <f t="shared" si="10"/>
        <v>#DIV/0!</v>
      </c>
      <c r="AD100" s="311" t="e">
        <f t="shared" si="10"/>
        <v>#DIV/0!</v>
      </c>
      <c r="AE100" s="311" t="e">
        <f t="shared" si="10"/>
        <v>#DIV/0!</v>
      </c>
    </row>
    <row r="101" spans="2:31" ht="17.25" customHeight="1" thickBot="1">
      <c r="B101" s="1654"/>
      <c r="C101" s="1655"/>
      <c r="D101" s="591" t="str">
        <f>IF($O$4=$O$5,S116,"")</f>
        <v/>
      </c>
      <c r="E101" s="434" t="str">
        <f>IF(I$5="CM at Risk",T116,"")</f>
        <v/>
      </c>
      <c r="F101" s="435" t="str">
        <f>IF($O$4&lt;&gt;$O$5,"",IF($G$13=0,"",IFERROR(G101/$G$102,"0.00%")))</f>
        <v/>
      </c>
      <c r="G101" s="437">
        <v>300000</v>
      </c>
      <c r="H101" s="310">
        <f>IF(G13=0,0,G101/G13)</f>
        <v>0</v>
      </c>
      <c r="I101" s="1742"/>
      <c r="J101" s="1744"/>
      <c r="K101" s="738"/>
      <c r="L101" s="1021"/>
      <c r="M101" s="169"/>
      <c r="N101" s="169"/>
      <c r="O101" s="169"/>
      <c r="P101" s="171">
        <f>IF($O$4=$O$5,G101,0)</f>
        <v>0</v>
      </c>
      <c r="Q101" s="3" t="s">
        <v>7171</v>
      </c>
      <c r="S101" s="169" t="s">
        <v>419</v>
      </c>
      <c r="T101" s="169" t="s">
        <v>6773</v>
      </c>
      <c r="U101" s="311">
        <f>G104</f>
        <v>0</v>
      </c>
      <c r="V101" s="714">
        <v>0.66</v>
      </c>
      <c r="W101" s="311">
        <f t="shared" ref="W101:W106" si="11">U101*V101</f>
        <v>0</v>
      </c>
      <c r="X101" s="169"/>
      <c r="Y101" s="169"/>
      <c r="AB101" s="3" t="s">
        <v>6956</v>
      </c>
      <c r="AC101" s="311" t="e">
        <f t="shared" si="10"/>
        <v>#DIV/0!</v>
      </c>
      <c r="AD101" s="311" t="e">
        <f t="shared" si="10"/>
        <v>#DIV/0!</v>
      </c>
      <c r="AE101" s="311" t="e">
        <f t="shared" si="10"/>
        <v>#DIV/0!</v>
      </c>
    </row>
    <row r="102" spans="2:31" ht="19.5" customHeight="1" thickBot="1">
      <c r="B102" s="132"/>
      <c r="C102" s="190" t="s">
        <v>6740</v>
      </c>
      <c r="D102" s="200"/>
      <c r="E102" s="201"/>
      <c r="F102" s="53"/>
      <c r="G102" s="78">
        <f>IF($O$4&lt;&gt;$O$5,G97,IF(G13=0,0,(SUM(G97:G101))))</f>
        <v>0</v>
      </c>
      <c r="H102" s="78">
        <f>IF(G13=0,0,G102/G13)</f>
        <v>0</v>
      </c>
      <c r="I102" s="562"/>
      <c r="J102" s="563"/>
      <c r="K102" s="7"/>
      <c r="L102" s="1022"/>
      <c r="M102" s="169"/>
      <c r="N102" s="169"/>
      <c r="O102" s="169"/>
      <c r="P102" s="169"/>
      <c r="Q102" s="169"/>
      <c r="R102" s="169"/>
      <c r="S102" s="169" t="s">
        <v>6993</v>
      </c>
      <c r="T102" s="169" t="s">
        <v>6774</v>
      </c>
      <c r="U102" s="311">
        <f>G105</f>
        <v>0</v>
      </c>
      <c r="V102" s="714">
        <v>1</v>
      </c>
      <c r="W102" s="311">
        <f t="shared" si="11"/>
        <v>0</v>
      </c>
      <c r="X102" s="169"/>
      <c r="Y102" s="169"/>
      <c r="AB102" s="3" t="s">
        <v>6719</v>
      </c>
      <c r="AC102" s="311" t="e">
        <f t="shared" si="10"/>
        <v>#DIV/0!</v>
      </c>
      <c r="AD102" s="311" t="e">
        <f t="shared" si="10"/>
        <v>#DIV/0!</v>
      </c>
      <c r="AE102" s="311" t="e">
        <f t="shared" si="10"/>
        <v>#DIV/0!</v>
      </c>
    </row>
    <row r="103" spans="2:31" ht="19.5" customHeight="1" thickBot="1">
      <c r="B103" s="132"/>
      <c r="C103" s="190" t="s">
        <v>141</v>
      </c>
      <c r="D103" s="200"/>
      <c r="E103" s="602" t="s">
        <v>6762</v>
      </c>
      <c r="F103" s="83">
        <f>IF(G103=0,0,G103/G102)</f>
        <v>0</v>
      </c>
      <c r="G103" s="78">
        <f>SUM(G104:G111)+G114+G115</f>
        <v>0</v>
      </c>
      <c r="H103" s="78">
        <f>IF(G13=0,0,G103/G13)</f>
        <v>0</v>
      </c>
      <c r="I103" s="1625"/>
      <c r="J103" s="1626"/>
      <c r="K103" s="7"/>
      <c r="L103" s="7"/>
      <c r="M103" s="169"/>
      <c r="N103" s="169"/>
      <c r="O103" s="169"/>
      <c r="P103" s="169"/>
      <c r="Q103" s="169"/>
      <c r="R103" s="169"/>
      <c r="S103" s="169" t="s">
        <v>7000</v>
      </c>
      <c r="T103" s="169" t="s">
        <v>6771</v>
      </c>
      <c r="U103" s="311">
        <f>G106</f>
        <v>0</v>
      </c>
      <c r="V103" s="714">
        <v>1</v>
      </c>
      <c r="W103" s="311">
        <f t="shared" si="11"/>
        <v>0</v>
      </c>
      <c r="X103" s="169"/>
      <c r="AB103" s="3" t="s">
        <v>6957</v>
      </c>
      <c r="AC103" s="311" t="e">
        <f t="shared" si="10"/>
        <v>#DIV/0!</v>
      </c>
      <c r="AD103" s="311" t="e">
        <f t="shared" si="10"/>
        <v>#DIV/0!</v>
      </c>
      <c r="AE103" s="311" t="e">
        <f t="shared" si="10"/>
        <v>#DIV/0!</v>
      </c>
    </row>
    <row r="104" spans="2:31" ht="18" customHeight="1" thickBot="1">
      <c r="B104" s="132"/>
      <c r="C104" s="200"/>
      <c r="D104" s="200" t="s">
        <v>379</v>
      </c>
      <c r="E104" s="602" t="s">
        <v>6758</v>
      </c>
      <c r="F104" s="92">
        <v>6.1999999999999998E-3</v>
      </c>
      <c r="G104" s="77">
        <f>F104*(G102+G105+G106+G107+G108+G109+G110+G111+G114+G115)</f>
        <v>0</v>
      </c>
      <c r="H104" s="57"/>
      <c r="I104" s="1620"/>
      <c r="J104" s="1621"/>
      <c r="K104" s="7"/>
      <c r="L104" s="1021"/>
      <c r="M104" s="169"/>
      <c r="N104" s="169"/>
      <c r="O104" s="169"/>
      <c r="P104" s="169"/>
      <c r="Q104" s="169"/>
      <c r="R104" s="823" t="str">
        <f t="shared" ref="R104:R111" si="12">IF($G$13&gt;0,F104,"")</f>
        <v/>
      </c>
      <c r="S104" s="169" t="s">
        <v>7178</v>
      </c>
      <c r="T104" s="169" t="s">
        <v>7187</v>
      </c>
      <c r="U104" s="311">
        <f>G107</f>
        <v>0</v>
      </c>
      <c r="V104" s="714">
        <v>0</v>
      </c>
      <c r="W104" s="311">
        <f t="shared" si="11"/>
        <v>0</v>
      </c>
      <c r="Y104" s="645"/>
      <c r="Z104" s="646" t="s">
        <v>6926</v>
      </c>
      <c r="AB104" s="3" t="s">
        <v>6958</v>
      </c>
      <c r="AC104" s="311" t="e">
        <f t="shared" si="10"/>
        <v>#DIV/0!</v>
      </c>
      <c r="AD104" s="311" t="e">
        <f t="shared" si="10"/>
        <v>#DIV/0!</v>
      </c>
      <c r="AE104" s="311" t="e">
        <f t="shared" si="10"/>
        <v>#DIV/0!</v>
      </c>
    </row>
    <row r="105" spans="2:31" ht="17.25" customHeight="1" thickBot="1">
      <c r="B105" s="1597" t="s">
        <v>6937</v>
      </c>
      <c r="C105" s="1598"/>
      <c r="D105" s="610" t="s">
        <v>6936</v>
      </c>
      <c r="E105" s="599" t="s">
        <v>6934</v>
      </c>
      <c r="F105" s="92">
        <v>0.02</v>
      </c>
      <c r="G105" s="77">
        <f t="shared" ref="G105:G111" si="13">F105*G$102</f>
        <v>0</v>
      </c>
      <c r="H105" s="711"/>
      <c r="I105" s="712"/>
      <c r="J105" s="226"/>
      <c r="K105" s="7"/>
      <c r="L105" s="1021"/>
      <c r="M105" s="169"/>
      <c r="N105" s="169"/>
      <c r="O105" s="169"/>
      <c r="P105" s="169"/>
      <c r="Q105" s="169"/>
      <c r="R105" s="823" t="str">
        <f t="shared" si="12"/>
        <v/>
      </c>
      <c r="S105" s="169" t="s">
        <v>420</v>
      </c>
      <c r="T105" s="169" t="s">
        <v>7001</v>
      </c>
      <c r="U105" s="311">
        <f>G108</f>
        <v>0</v>
      </c>
      <c r="V105" s="714">
        <v>1</v>
      </c>
      <c r="W105" s="311">
        <f t="shared" si="11"/>
        <v>0</v>
      </c>
      <c r="X105" s="169"/>
      <c r="Y105" s="647">
        <f>IF(G126=Y89,U107*0.85,0)</f>
        <v>0</v>
      </c>
      <c r="Z105" s="648">
        <v>0.85</v>
      </c>
      <c r="AB105" s="3" t="s">
        <v>6959</v>
      </c>
      <c r="AC105" s="311" t="e">
        <f t="shared" si="10"/>
        <v>#DIV/0!</v>
      </c>
      <c r="AD105" s="311" t="e">
        <f t="shared" si="10"/>
        <v>#DIV/0!</v>
      </c>
      <c r="AE105" s="311" t="e">
        <f t="shared" si="10"/>
        <v>#DIV/0!</v>
      </c>
    </row>
    <row r="106" spans="2:31" ht="17.25" customHeight="1" thickBot="1">
      <c r="B106" s="1599"/>
      <c r="C106" s="1600"/>
      <c r="D106" s="488" t="s">
        <v>6994</v>
      </c>
      <c r="E106" s="204" t="s">
        <v>7002</v>
      </c>
      <c r="F106" s="92">
        <v>8.2500000000000004E-2</v>
      </c>
      <c r="G106" s="77">
        <f>F106*G$102</f>
        <v>0</v>
      </c>
      <c r="H106" s="708"/>
      <c r="I106" s="672"/>
      <c r="J106" s="673"/>
      <c r="K106" s="161"/>
      <c r="L106" s="1021"/>
      <c r="M106" s="169"/>
      <c r="N106" s="169"/>
      <c r="O106" s="169"/>
      <c r="P106" s="169"/>
      <c r="Q106" s="169"/>
      <c r="R106" s="823" t="str">
        <f t="shared" si="12"/>
        <v/>
      </c>
      <c r="S106" s="169" t="s">
        <v>421</v>
      </c>
      <c r="T106" s="169" t="s">
        <v>7186</v>
      </c>
      <c r="U106" s="311">
        <f>G111</f>
        <v>0</v>
      </c>
      <c r="V106" s="714">
        <v>1</v>
      </c>
      <c r="W106" s="311">
        <f t="shared" si="11"/>
        <v>0</v>
      </c>
      <c r="X106" s="169"/>
      <c r="AB106" s="3" t="s">
        <v>7000</v>
      </c>
      <c r="AC106" s="311" t="e">
        <f t="shared" si="10"/>
        <v>#DIV/0!</v>
      </c>
      <c r="AD106" s="311" t="e">
        <f t="shared" si="10"/>
        <v>#DIV/0!</v>
      </c>
      <c r="AE106" s="311" t="e">
        <f t="shared" si="10"/>
        <v>#DIV/0!</v>
      </c>
    </row>
    <row r="107" spans="2:31" ht="17.25" customHeight="1" thickBot="1">
      <c r="B107" s="1599"/>
      <c r="C107" s="1600"/>
      <c r="D107" s="611" t="s">
        <v>6995</v>
      </c>
      <c r="E107" s="603" t="s">
        <v>6997</v>
      </c>
      <c r="F107" s="428">
        <v>2.6499999999999999E-2</v>
      </c>
      <c r="G107" s="77">
        <f>F107*G$102</f>
        <v>0</v>
      </c>
      <c r="H107" s="708"/>
      <c r="I107" s="597"/>
      <c r="J107" s="684"/>
      <c r="K107" s="161"/>
      <c r="L107" s="1021"/>
      <c r="M107" s="169"/>
      <c r="N107" s="169"/>
      <c r="O107" s="169"/>
      <c r="P107" s="169"/>
      <c r="Q107" s="169"/>
      <c r="R107" s="823" t="str">
        <f t="shared" si="12"/>
        <v/>
      </c>
      <c r="S107" s="436" t="s">
        <v>7184</v>
      </c>
      <c r="T107" s="169" t="s">
        <v>7185</v>
      </c>
      <c r="U107" s="311">
        <f>G131</f>
        <v>0</v>
      </c>
      <c r="V107" s="714">
        <v>0.15</v>
      </c>
      <c r="W107" s="311">
        <f>IF(G126=W89,G131,U107*V107)</f>
        <v>0</v>
      </c>
      <c r="X107" s="169"/>
      <c r="AB107" s="3" t="s">
        <v>7178</v>
      </c>
      <c r="AC107" s="311" t="e">
        <f t="shared" si="10"/>
        <v>#DIV/0!</v>
      </c>
      <c r="AD107" s="311" t="e">
        <f t="shared" si="10"/>
        <v>#DIV/0!</v>
      </c>
      <c r="AE107" s="311" t="e">
        <f t="shared" si="10"/>
        <v>#DIV/0!</v>
      </c>
    </row>
    <row r="108" spans="2:31" ht="17.25" customHeight="1" thickBot="1">
      <c r="B108" s="1601"/>
      <c r="C108" s="1602"/>
      <c r="D108" s="611" t="s">
        <v>417</v>
      </c>
      <c r="E108" s="603" t="s">
        <v>6749</v>
      </c>
      <c r="F108" s="92">
        <v>1.7000000000000001E-2</v>
      </c>
      <c r="G108" s="77">
        <f t="shared" si="13"/>
        <v>0</v>
      </c>
      <c r="H108" s="710"/>
      <c r="I108" s="1622"/>
      <c r="J108" s="1615"/>
      <c r="K108" s="7"/>
      <c r="L108" s="1021"/>
      <c r="M108" s="169"/>
      <c r="N108" s="169"/>
      <c r="O108" s="169"/>
      <c r="P108" s="169"/>
      <c r="Q108" s="824">
        <f>$G$102*$M$99</f>
        <v>0</v>
      </c>
      <c r="R108" s="823" t="str">
        <f t="shared" si="12"/>
        <v/>
      </c>
      <c r="S108" s="436" t="s">
        <v>6990</v>
      </c>
      <c r="T108" s="169"/>
      <c r="U108" s="311"/>
      <c r="V108" s="714"/>
      <c r="W108" s="311"/>
      <c r="X108" s="169"/>
      <c r="AB108" s="3" t="s">
        <v>6960</v>
      </c>
      <c r="AC108" s="311" t="e">
        <f t="shared" si="10"/>
        <v>#DIV/0!</v>
      </c>
      <c r="AD108" s="311" t="e">
        <f t="shared" si="10"/>
        <v>#DIV/0!</v>
      </c>
      <c r="AE108" s="311" t="e">
        <f t="shared" si="10"/>
        <v>#DIV/0!</v>
      </c>
    </row>
    <row r="109" spans="2:31" ht="17.25" customHeight="1" thickBot="1">
      <c r="B109" s="1597" t="s">
        <v>6938</v>
      </c>
      <c r="C109" s="1656"/>
      <c r="D109" s="590" t="s">
        <v>377</v>
      </c>
      <c r="E109" s="606" t="s">
        <v>6751</v>
      </c>
      <c r="F109" s="92">
        <v>0.20829500000000001</v>
      </c>
      <c r="G109" s="77">
        <f t="shared" si="13"/>
        <v>0</v>
      </c>
      <c r="H109" s="707"/>
      <c r="I109" s="1623"/>
      <c r="J109" s="1624"/>
      <c r="K109" s="7"/>
      <c r="L109" s="1021"/>
      <c r="M109" s="169"/>
      <c r="N109" s="169"/>
      <c r="O109" s="169"/>
      <c r="P109" s="169">
        <v>0.08</v>
      </c>
      <c r="Q109" s="824">
        <f>$G$102*$M$100</f>
        <v>0</v>
      </c>
      <c r="R109" s="823" t="str">
        <f t="shared" si="12"/>
        <v/>
      </c>
      <c r="S109" s="169" t="s">
        <v>6989</v>
      </c>
      <c r="T109" s="169" t="s">
        <v>6991</v>
      </c>
      <c r="U109" s="311">
        <f>G144</f>
        <v>0</v>
      </c>
      <c r="V109" s="714">
        <v>1</v>
      </c>
      <c r="W109" s="311">
        <f>U109*V109</f>
        <v>0</v>
      </c>
      <c r="X109" s="169"/>
      <c r="AB109" s="3" t="s">
        <v>6961</v>
      </c>
      <c r="AC109" s="311" t="e">
        <f t="shared" si="10"/>
        <v>#DIV/0!</v>
      </c>
      <c r="AD109" s="311" t="e">
        <f t="shared" si="10"/>
        <v>#DIV/0!</v>
      </c>
      <c r="AE109" s="311" t="e">
        <f t="shared" si="10"/>
        <v>#DIV/0!</v>
      </c>
    </row>
    <row r="110" spans="2:31" ht="17.25" customHeight="1" thickBot="1">
      <c r="B110" s="1657"/>
      <c r="C110" s="1658"/>
      <c r="D110" s="591" t="s">
        <v>378</v>
      </c>
      <c r="E110" s="282" t="s">
        <v>340</v>
      </c>
      <c r="F110" s="92">
        <v>1.0376000000000001</v>
      </c>
      <c r="G110" s="77">
        <f t="shared" si="13"/>
        <v>0</v>
      </c>
      <c r="H110" s="710"/>
      <c r="I110" s="1622"/>
      <c r="J110" s="1615"/>
      <c r="K110" s="7"/>
      <c r="L110" s="1021"/>
      <c r="M110" s="169"/>
      <c r="N110" s="169"/>
      <c r="O110" s="169"/>
      <c r="P110" s="169"/>
      <c r="Q110" s="824">
        <f>$G$102*$M$101</f>
        <v>0</v>
      </c>
      <c r="R110" s="823" t="str">
        <f t="shared" si="12"/>
        <v/>
      </c>
      <c r="S110" s="169" t="s">
        <v>419</v>
      </c>
      <c r="T110" s="169" t="s">
        <v>7188</v>
      </c>
      <c r="U110" s="311">
        <f>G149</f>
        <v>0</v>
      </c>
      <c r="V110" s="714">
        <v>0.66</v>
      </c>
      <c r="W110" s="311">
        <f>U110*V110</f>
        <v>0</v>
      </c>
      <c r="X110" s="169"/>
      <c r="AB110" s="3" t="s">
        <v>6962</v>
      </c>
      <c r="AC110" s="311" t="e">
        <f t="shared" si="10"/>
        <v>#DIV/0!</v>
      </c>
      <c r="AD110" s="311" t="e">
        <f t="shared" si="10"/>
        <v>#DIV/0!</v>
      </c>
      <c r="AE110" s="311" t="e">
        <f t="shared" si="10"/>
        <v>#DIV/0!</v>
      </c>
    </row>
    <row r="111" spans="2:31" ht="18" customHeight="1" thickBot="1">
      <c r="B111" s="605"/>
      <c r="C111" s="598"/>
      <c r="D111" s="598" t="s">
        <v>14</v>
      </c>
      <c r="E111" s="604" t="s">
        <v>6761</v>
      </c>
      <c r="F111" s="92">
        <v>1.55E-2</v>
      </c>
      <c r="G111" s="77">
        <f t="shared" si="13"/>
        <v>0</v>
      </c>
      <c r="H111" s="601"/>
      <c r="I111" s="1610"/>
      <c r="J111" s="1611"/>
      <c r="K111" s="7"/>
      <c r="L111" s="1021"/>
      <c r="M111" s="169"/>
      <c r="N111" s="169"/>
      <c r="O111" s="169"/>
      <c r="P111" s="169"/>
      <c r="Q111" s="169"/>
      <c r="R111" s="823" t="str">
        <f t="shared" si="12"/>
        <v/>
      </c>
      <c r="S111" s="169" t="s">
        <v>6992</v>
      </c>
      <c r="T111" s="169" t="s">
        <v>7189</v>
      </c>
      <c r="U111" s="311">
        <f>G150</f>
        <v>0</v>
      </c>
      <c r="V111" s="714">
        <v>0.75</v>
      </c>
      <c r="W111" s="311">
        <f>U111*V111</f>
        <v>0</v>
      </c>
      <c r="AB111" s="3" t="s">
        <v>6963</v>
      </c>
      <c r="AC111" s="311" t="e">
        <f t="shared" ref="AC111:AE116" si="14">$G111*AC$93</f>
        <v>#DIV/0!</v>
      </c>
      <c r="AD111" s="311" t="e">
        <f t="shared" si="14"/>
        <v>#DIV/0!</v>
      </c>
      <c r="AE111" s="311" t="e">
        <f t="shared" si="14"/>
        <v>#DIV/0!</v>
      </c>
    </row>
    <row r="112" spans="2:31" ht="19.5" customHeight="1" thickBot="1">
      <c r="B112" s="159"/>
      <c r="C112" s="206" t="s">
        <v>5</v>
      </c>
      <c r="D112" s="207"/>
      <c r="E112" s="208"/>
      <c r="F112" s="361"/>
      <c r="G112" s="80">
        <f>G102+SUM(G104:G111)</f>
        <v>0</v>
      </c>
      <c r="H112" s="81">
        <f>IF(G13=0,0,G112/G13)</f>
        <v>0</v>
      </c>
      <c r="I112" s="562"/>
      <c r="J112" s="563"/>
      <c r="K112" s="7"/>
      <c r="L112" s="7"/>
      <c r="M112" s="169"/>
      <c r="N112" s="169"/>
      <c r="O112" s="169"/>
      <c r="P112" s="169"/>
      <c r="Q112" s="169"/>
      <c r="R112" s="169"/>
      <c r="S112" s="169" t="s">
        <v>421</v>
      </c>
      <c r="T112" s="169" t="s">
        <v>6340</v>
      </c>
      <c r="U112" s="311">
        <f>G151</f>
        <v>0</v>
      </c>
      <c r="V112" s="714">
        <v>1</v>
      </c>
      <c r="W112" s="311">
        <f>U112*V112</f>
        <v>0</v>
      </c>
      <c r="AB112" s="3" t="s">
        <v>6964</v>
      </c>
      <c r="AC112" s="311" t="e">
        <f t="shared" si="14"/>
        <v>#DIV/0!</v>
      </c>
      <c r="AD112" s="311" t="e">
        <f t="shared" si="14"/>
        <v>#DIV/0!</v>
      </c>
      <c r="AE112" s="311" t="e">
        <f t="shared" si="14"/>
        <v>#DIV/0!</v>
      </c>
    </row>
    <row r="113" spans="1:31" ht="19.5" customHeight="1" thickBot="1">
      <c r="B113" s="132"/>
      <c r="C113" s="190" t="s">
        <v>6942</v>
      </c>
      <c r="D113" s="200"/>
      <c r="E113" s="209">
        <v>0.1</v>
      </c>
      <c r="F113" s="92">
        <v>0.111</v>
      </c>
      <c r="G113" s="80">
        <f>F113*G112</f>
        <v>0</v>
      </c>
      <c r="H113" s="77">
        <f>IF(G13=0,0,G113/G13)</f>
        <v>0</v>
      </c>
      <c r="I113" s="562"/>
      <c r="J113" s="563"/>
      <c r="K113" s="7"/>
      <c r="L113" s="1021"/>
      <c r="M113" s="169"/>
      <c r="N113" s="169"/>
      <c r="O113" s="169"/>
      <c r="P113" s="169"/>
      <c r="Q113" s="169"/>
      <c r="R113" s="823" t="str">
        <f>IF($G$13&gt;0,F113,"")</f>
        <v/>
      </c>
      <c r="S113" s="169"/>
      <c r="T113" s="169"/>
      <c r="U113" s="169"/>
      <c r="V113" s="169"/>
      <c r="W113" s="169"/>
      <c r="X113" s="169"/>
      <c r="AB113" s="3" t="s">
        <v>6965</v>
      </c>
      <c r="AC113" s="311" t="e">
        <f t="shared" si="14"/>
        <v>#DIV/0!</v>
      </c>
      <c r="AD113" s="311" t="e">
        <f t="shared" si="14"/>
        <v>#DIV/0!</v>
      </c>
      <c r="AE113" s="311" t="e">
        <f t="shared" si="14"/>
        <v>#DIV/0!</v>
      </c>
    </row>
    <row r="114" spans="1:31" ht="18" customHeight="1" thickBot="1">
      <c r="B114" s="1606" t="s">
        <v>6941</v>
      </c>
      <c r="C114" s="1661"/>
      <c r="D114" s="199" t="s">
        <v>13</v>
      </c>
      <c r="E114" s="204" t="s">
        <v>6754</v>
      </c>
      <c r="F114" s="92">
        <v>1.2500000000000001E-2</v>
      </c>
      <c r="G114" s="77">
        <f>F114*G$102</f>
        <v>0</v>
      </c>
      <c r="H114" s="56"/>
      <c r="I114" s="1612"/>
      <c r="J114" s="1613"/>
      <c r="K114" s="7"/>
      <c r="L114" s="1021"/>
      <c r="M114" s="169"/>
      <c r="N114" s="169"/>
      <c r="O114" s="169"/>
      <c r="P114" s="169"/>
      <c r="Q114" s="169"/>
      <c r="R114" s="823" t="str">
        <f>IF($G$13&gt;0,F114,"")</f>
        <v/>
      </c>
      <c r="S114" s="197" t="s">
        <v>6940</v>
      </c>
      <c r="T114" s="202" t="s">
        <v>6931</v>
      </c>
      <c r="U114" s="432">
        <f>G99</f>
        <v>24500</v>
      </c>
      <c r="V114" s="171">
        <f>G101</f>
        <v>300000</v>
      </c>
      <c r="W114" s="311"/>
      <c r="AB114" s="3" t="s">
        <v>6966</v>
      </c>
      <c r="AC114" s="311" t="e">
        <f t="shared" si="14"/>
        <v>#DIV/0!</v>
      </c>
      <c r="AD114" s="311" t="e">
        <f t="shared" si="14"/>
        <v>#DIV/0!</v>
      </c>
      <c r="AE114" s="311" t="e">
        <f t="shared" si="14"/>
        <v>#DIV/0!</v>
      </c>
    </row>
    <row r="115" spans="1:31" ht="18" customHeight="1" thickBot="1">
      <c r="B115" s="1608"/>
      <c r="C115" s="1662"/>
      <c r="D115" s="205" t="s">
        <v>376</v>
      </c>
      <c r="E115" s="282" t="s">
        <v>6755</v>
      </c>
      <c r="F115" s="92">
        <v>8.7999999999999995E-2</v>
      </c>
      <c r="G115" s="77">
        <f>F115*G$102</f>
        <v>0</v>
      </c>
      <c r="H115" s="166"/>
      <c r="I115" s="1614"/>
      <c r="J115" s="1615"/>
      <c r="K115" s="7"/>
      <c r="L115" s="1021"/>
      <c r="M115" s="169"/>
      <c r="N115" s="169"/>
      <c r="O115" s="169"/>
      <c r="P115" s="169"/>
      <c r="Q115" s="169"/>
      <c r="R115" s="169" t="str">
        <f>IF($G$13&gt;0,F115,"")</f>
        <v/>
      </c>
      <c r="S115" s="136" t="s">
        <v>6929</v>
      </c>
      <c r="T115" s="169" t="s">
        <v>6933</v>
      </c>
      <c r="W115" s="311"/>
      <c r="AB115" s="3" t="s">
        <v>6967</v>
      </c>
      <c r="AC115" s="311" t="e">
        <f t="shared" si="14"/>
        <v>#DIV/0!</v>
      </c>
      <c r="AD115" s="311" t="e">
        <f t="shared" si="14"/>
        <v>#DIV/0!</v>
      </c>
      <c r="AE115" s="311" t="e">
        <f t="shared" si="14"/>
        <v>#DIV/0!</v>
      </c>
    </row>
    <row r="116" spans="1:31" ht="19.5" customHeight="1" thickBot="1">
      <c r="B116" s="132"/>
      <c r="C116" s="190" t="s">
        <v>382</v>
      </c>
      <c r="D116" s="210"/>
      <c r="E116" s="211"/>
      <c r="F116" s="167" t="str">
        <f>IF(G102=0,"",G116/G102-1)</f>
        <v/>
      </c>
      <c r="G116" s="78">
        <f>IF(G13=0,0,G112+G113+G114+G115)</f>
        <v>0</v>
      </c>
      <c r="H116" s="78">
        <f>IF(G13=0, 0, G116/(G13))</f>
        <v>0</v>
      </c>
      <c r="I116" s="562"/>
      <c r="J116" s="563"/>
      <c r="K116" s="7"/>
      <c r="L116" s="1021"/>
      <c r="Q116" s="169"/>
      <c r="R116" s="169"/>
      <c r="S116" s="169" t="s">
        <v>6743</v>
      </c>
      <c r="T116" s="202" t="s">
        <v>6977</v>
      </c>
      <c r="U116" s="177" t="e">
        <f>F101*G97</f>
        <v>#VALUE!</v>
      </c>
      <c r="V116" s="169"/>
      <c r="AB116" s="3" t="s">
        <v>6968</v>
      </c>
      <c r="AC116" s="311" t="e">
        <f t="shared" si="14"/>
        <v>#DIV/0!</v>
      </c>
      <c r="AD116" s="311" t="e">
        <f t="shared" si="14"/>
        <v>#DIV/0!</v>
      </c>
      <c r="AE116" s="311" t="e">
        <f t="shared" si="14"/>
        <v>#DIV/0!</v>
      </c>
    </row>
    <row r="117" spans="1:31" ht="6" customHeight="1">
      <c r="A117" s="7"/>
      <c r="B117" s="7"/>
      <c r="C117" s="13"/>
      <c r="D117" s="7"/>
      <c r="E117" s="151"/>
      <c r="F117" s="136"/>
      <c r="G117" s="152"/>
      <c r="H117" s="152"/>
      <c r="I117" s="153"/>
      <c r="J117" s="153"/>
      <c r="K117" s="7"/>
      <c r="L117" s="7"/>
      <c r="M117" s="169"/>
      <c r="N117" s="169"/>
      <c r="O117" s="169"/>
      <c r="P117" s="169"/>
      <c r="Q117" s="169"/>
      <c r="R117" s="169"/>
      <c r="S117" s="169"/>
      <c r="T117" s="169"/>
      <c r="U117" s="169"/>
      <c r="V117" s="169"/>
      <c r="W117" s="169"/>
      <c r="X117" s="169"/>
    </row>
    <row r="118" spans="1:31" ht="3.75" customHeight="1">
      <c r="A118" s="7"/>
      <c r="B118" s="7"/>
      <c r="C118" s="7"/>
      <c r="D118" s="7"/>
      <c r="E118" s="7"/>
      <c r="F118" s="7"/>
      <c r="G118" s="7"/>
      <c r="H118" s="7"/>
      <c r="I118" s="7"/>
      <c r="J118" s="7"/>
      <c r="K118" s="7"/>
      <c r="L118" s="7"/>
      <c r="M118" s="169"/>
      <c r="N118" s="169"/>
      <c r="O118" s="169"/>
      <c r="P118" s="169"/>
      <c r="Q118" s="169"/>
      <c r="R118" s="169"/>
      <c r="S118" s="169"/>
      <c r="T118" s="169"/>
      <c r="U118" s="169"/>
      <c r="V118" s="169"/>
      <c r="W118" s="169"/>
      <c r="X118" s="169"/>
    </row>
    <row r="119" spans="1:31" ht="37.5" customHeight="1" thickBot="1">
      <c r="A119" s="19" t="s">
        <v>201</v>
      </c>
      <c r="B119" s="12"/>
      <c r="C119" s="12"/>
      <c r="D119" s="12"/>
      <c r="E119" s="124"/>
      <c r="F119" s="149"/>
      <c r="G119" s="156"/>
      <c r="H119" s="156"/>
      <c r="J119" s="150" t="str">
        <f>'TAB 1 Proj. ID &amp; Prim Narrative'!$M$1</f>
        <v>USG CAPITAL PLAN -  FY 27-30 PROJECT TEMPLATE</v>
      </c>
      <c r="K119" s="7"/>
      <c r="L119" s="1023"/>
      <c r="M119" s="169"/>
      <c r="N119" s="169"/>
      <c r="O119" s="169"/>
      <c r="P119" s="169"/>
      <c r="Q119" s="169"/>
      <c r="R119" s="169"/>
      <c r="S119" s="169"/>
      <c r="T119" s="169"/>
      <c r="U119" s="169"/>
      <c r="V119" s="169"/>
      <c r="W119" s="169"/>
      <c r="X119" s="169"/>
    </row>
    <row r="120" spans="1:31" ht="22.5" customHeight="1" thickBot="1">
      <c r="A120" s="31"/>
      <c r="B120" s="7"/>
      <c r="C120" s="7"/>
      <c r="D120" s="69" t="str">
        <f>IF('TAB 1 Proj. ID &amp; Prim Narrative'!$B$7="","",'TAB 1 Proj. ID &amp; Prim Narrative'!$B$7)</f>
        <v/>
      </c>
      <c r="E120" s="75" t="str">
        <f>IF('TAB 1 Proj. ID &amp; Prim Narrative'!$U$13="","",'TAB 1 Proj. ID &amp; Prim Narrative'!$U$13)</f>
        <v/>
      </c>
      <c r="F120" s="69" t="str">
        <f>IF('TAB 1 Proj. ID &amp; Prim Narrative'!$AB$97="","",'TAB 1 Proj. ID &amp; Prim Narrative'!$AC$95)</f>
        <v/>
      </c>
      <c r="G120" s="1647" t="str">
        <f>IF('TAB 1 Proj. ID &amp; Prim Narrative'!$D$10="","",'TAB 1 Proj. ID &amp; Prim Narrative'!$D$10)</f>
        <v/>
      </c>
      <c r="H120" s="1648"/>
      <c r="I120" s="1648"/>
      <c r="J120" s="1447"/>
      <c r="K120" s="7"/>
      <c r="L120" s="7"/>
      <c r="M120" s="169"/>
      <c r="N120" s="169"/>
      <c r="O120" s="169"/>
      <c r="P120" s="169"/>
      <c r="Q120" s="169"/>
      <c r="R120" s="169"/>
      <c r="S120" s="169"/>
      <c r="T120" s="169"/>
      <c r="U120" s="169"/>
      <c r="V120" s="169"/>
      <c r="W120" s="169"/>
      <c r="X120" s="169"/>
    </row>
    <row r="121" spans="1:31" ht="7.5" customHeight="1">
      <c r="A121" s="31"/>
      <c r="B121" s="7"/>
      <c r="C121" s="7"/>
      <c r="D121" s="676"/>
      <c r="E121" s="304"/>
      <c r="F121" s="676"/>
      <c r="G121" s="677"/>
      <c r="H121" s="678"/>
      <c r="I121" s="678"/>
      <c r="J121" s="32"/>
      <c r="K121" s="7"/>
      <c r="L121" s="7"/>
      <c r="M121" s="169"/>
      <c r="N121" s="169"/>
      <c r="O121" s="169"/>
      <c r="P121" s="169"/>
      <c r="Q121" s="169"/>
      <c r="R121" s="169"/>
      <c r="S121" s="169"/>
      <c r="T121" s="169"/>
      <c r="U121" s="169"/>
      <c r="V121" s="169"/>
      <c r="W121" s="169"/>
      <c r="X121" s="169"/>
    </row>
    <row r="122" spans="1:31" ht="24.75" customHeight="1" thickBot="1">
      <c r="A122" s="31"/>
      <c r="B122" s="7"/>
      <c r="C122" s="7"/>
      <c r="D122" s="675" t="s">
        <v>190</v>
      </c>
      <c r="E122" s="675" t="s">
        <v>7004</v>
      </c>
      <c r="F122" s="675" t="s">
        <v>197</v>
      </c>
      <c r="G122" s="1632" t="s">
        <v>7005</v>
      </c>
      <c r="H122" s="1633"/>
      <c r="I122" s="675" t="s">
        <v>408</v>
      </c>
      <c r="J122" s="7"/>
      <c r="K122" s="7"/>
      <c r="L122" s="7"/>
      <c r="M122" s="169"/>
      <c r="N122" s="169"/>
      <c r="O122" s="169"/>
      <c r="P122" s="169"/>
      <c r="Q122" s="169"/>
      <c r="R122" s="169"/>
      <c r="S122" s="169"/>
      <c r="T122" s="169"/>
      <c r="U122" s="169"/>
      <c r="V122" s="169"/>
      <c r="W122" s="169"/>
      <c r="X122" s="169"/>
    </row>
    <row r="123" spans="1:31" ht="16.5" customHeight="1" thickBot="1">
      <c r="A123" s="31"/>
      <c r="B123" s="7"/>
      <c r="C123" s="7"/>
      <c r="D123" s="525">
        <f>D5</f>
        <v>0</v>
      </c>
      <c r="E123" s="525">
        <f>E5</f>
        <v>0</v>
      </c>
      <c r="F123" s="525">
        <f>F5</f>
        <v>0</v>
      </c>
      <c r="G123" s="1631">
        <f>G5</f>
        <v>0</v>
      </c>
      <c r="H123" s="1649"/>
      <c r="I123" s="525" t="str">
        <f>I5</f>
        <v/>
      </c>
      <c r="J123" s="257"/>
      <c r="K123" s="7"/>
      <c r="L123" s="7"/>
      <c r="M123" s="169"/>
      <c r="N123" s="169"/>
      <c r="O123" s="169"/>
      <c r="P123" s="169"/>
      <c r="Q123" s="169"/>
      <c r="R123" s="169"/>
      <c r="S123" s="169"/>
      <c r="T123" s="169"/>
      <c r="U123" s="169"/>
      <c r="V123" s="169"/>
      <c r="W123" s="169"/>
      <c r="X123" s="169"/>
    </row>
    <row r="124" spans="1:31" ht="30.75" customHeight="1">
      <c r="A124" s="31" t="s">
        <v>424</v>
      </c>
      <c r="B124" s="7"/>
      <c r="C124" s="7"/>
      <c r="D124" s="7"/>
      <c r="E124" s="7"/>
      <c r="F124" s="7"/>
      <c r="G124" s="7"/>
      <c r="H124" s="7"/>
      <c r="I124" s="7"/>
      <c r="J124" s="7"/>
      <c r="K124" s="7"/>
      <c r="L124" s="7"/>
      <c r="M124" s="169"/>
      <c r="N124" s="169"/>
      <c r="O124" s="169"/>
      <c r="P124" s="169"/>
      <c r="Q124" s="169"/>
      <c r="R124" s="169"/>
      <c r="S124" s="169"/>
      <c r="T124" s="169"/>
      <c r="U124" s="169"/>
      <c r="V124" s="169"/>
      <c r="W124" s="169"/>
      <c r="X124" s="169"/>
    </row>
    <row r="125" spans="1:31" ht="15" customHeight="1" thickBot="1">
      <c r="A125" s="31"/>
      <c r="B125" s="7"/>
      <c r="C125" s="7"/>
      <c r="D125" s="7"/>
      <c r="E125" s="7"/>
      <c r="F125" s="7"/>
      <c r="G125" s="7"/>
      <c r="H125" s="7"/>
      <c r="I125" s="7"/>
      <c r="J125" s="7"/>
      <c r="K125" s="7"/>
      <c r="L125" s="7"/>
      <c r="M125" s="169"/>
      <c r="N125" s="169"/>
      <c r="O125" s="169"/>
      <c r="P125" s="169"/>
      <c r="Q125" s="169"/>
      <c r="R125" s="169"/>
      <c r="S125" s="169"/>
      <c r="T125" s="169"/>
      <c r="U125" s="169"/>
      <c r="V125" s="169"/>
      <c r="W125" s="169"/>
      <c r="X125" s="169"/>
    </row>
    <row r="126" spans="1:31" ht="25.5" customHeight="1" thickBot="1">
      <c r="A126" s="31"/>
      <c r="B126" s="45" t="s">
        <v>2</v>
      </c>
      <c r="C126" s="186"/>
      <c r="D126" s="188"/>
      <c r="E126" s="1618" t="str">
        <f>IF(D128="","",IF(E2=V75, "At what Large Cap project phase is demolition proposed?",""))</f>
        <v/>
      </c>
      <c r="F126" s="1619"/>
      <c r="G126" s="589"/>
      <c r="H126" s="345"/>
      <c r="I126" s="1616" t="str">
        <f>IF(D128="","","Include all project costs and fees with abatement and demolition unit costs.")</f>
        <v/>
      </c>
      <c r="J126" s="1617"/>
      <c r="K126" s="7"/>
      <c r="L126" s="7"/>
      <c r="M126" s="169"/>
      <c r="N126" s="169"/>
      <c r="O126" s="169"/>
      <c r="P126" s="169"/>
      <c r="Q126" s="169"/>
      <c r="R126" s="169"/>
      <c r="S126" s="169"/>
      <c r="T126" s="169"/>
      <c r="U126" s="169"/>
      <c r="V126" s="169"/>
      <c r="W126" s="169"/>
      <c r="X126" s="169"/>
      <c r="AC126" s="622">
        <f>G128</f>
        <v>0</v>
      </c>
      <c r="AD126" s="622">
        <f>G129</f>
        <v>0</v>
      </c>
      <c r="AE126" s="622">
        <f>G130</f>
        <v>0</v>
      </c>
    </row>
    <row r="127" spans="1:31" ht="22.5" customHeight="1" thickBot="1">
      <c r="A127" s="31"/>
      <c r="B127" s="215" t="s">
        <v>6925</v>
      </c>
      <c r="C127" s="154"/>
      <c r="D127" s="154"/>
      <c r="E127" s="216"/>
      <c r="F127" s="576" t="s">
        <v>6919</v>
      </c>
      <c r="G127" s="577" t="s">
        <v>6</v>
      </c>
      <c r="H127" s="564" t="s">
        <v>6918</v>
      </c>
      <c r="I127" s="62" t="s">
        <v>6920</v>
      </c>
      <c r="J127" s="62" t="s">
        <v>6921</v>
      </c>
      <c r="K127" s="7"/>
      <c r="L127" s="7"/>
      <c r="M127" s="169"/>
      <c r="N127" s="169"/>
      <c r="O127" s="199" t="s">
        <v>6888</v>
      </c>
      <c r="P127" s="169"/>
      <c r="Q127" s="169"/>
      <c r="R127" s="169"/>
      <c r="S127" s="169"/>
      <c r="T127" s="169"/>
      <c r="U127" s="169"/>
      <c r="V127" s="169"/>
      <c r="W127" s="169"/>
      <c r="X127" s="169"/>
      <c r="AC127" s="623" t="e">
        <f>AC126/G131</f>
        <v>#DIV/0!</v>
      </c>
      <c r="AD127" s="623" t="e">
        <f>G129/G131</f>
        <v>#DIV/0!</v>
      </c>
      <c r="AE127" s="623" t="e">
        <f>G130/G131</f>
        <v>#DIV/0!</v>
      </c>
    </row>
    <row r="128" spans="1:31" ht="17.25" customHeight="1" thickBot="1">
      <c r="A128" s="31"/>
      <c r="B128" s="588" t="s">
        <v>6923</v>
      </c>
      <c r="C128" s="565"/>
      <c r="D128" s="634" t="str">
        <f>IF('TAB 2 Project Specs'!G76="","",'TAB 2 Project Specs'!G76)</f>
        <v/>
      </c>
      <c r="E128" s="567"/>
      <c r="F128" s="312">
        <f>'TAB 2 Project Specs'!N78</f>
        <v>0</v>
      </c>
      <c r="G128" s="570">
        <f>IF(F128=0,0,F128*H128)</f>
        <v>0</v>
      </c>
      <c r="H128" s="584">
        <f>IF(F128=0,0,J128+I128)</f>
        <v>0</v>
      </c>
      <c r="I128" s="578"/>
      <c r="J128" s="579"/>
      <c r="K128" s="7"/>
      <c r="L128" s="7"/>
      <c r="M128" s="169"/>
      <c r="N128" s="169"/>
      <c r="O128" s="205" t="s">
        <v>6889</v>
      </c>
      <c r="P128" s="169"/>
      <c r="Q128" s="169"/>
      <c r="R128" s="169"/>
      <c r="S128" s="169"/>
      <c r="T128" s="169"/>
      <c r="U128" s="169"/>
      <c r="V128" s="169"/>
      <c r="W128" s="169"/>
      <c r="X128" s="169"/>
    </row>
    <row r="129" spans="1:32" ht="17.25" customHeight="1">
      <c r="A129" s="31"/>
      <c r="B129" s="537" t="s">
        <v>6924</v>
      </c>
      <c r="C129" s="566"/>
      <c r="D129" s="635" t="str">
        <f>IF('TAB 2 Project Specs'!G81="","",'TAB 2 Project Specs'!G81)</f>
        <v/>
      </c>
      <c r="E129" s="571"/>
      <c r="F129" s="572">
        <f>'TAB 2 Project Specs'!N83</f>
        <v>0</v>
      </c>
      <c r="G129" s="573">
        <f t="shared" ref="G129:G130" si="15">IF(F129=0,0,F129*H129)</f>
        <v>0</v>
      </c>
      <c r="H129" s="585">
        <f t="shared" ref="H129" si="16">IF(F129=0,0,J129+I129)</f>
        <v>0</v>
      </c>
      <c r="I129" s="580"/>
      <c r="J129" s="581"/>
      <c r="K129" s="7"/>
      <c r="L129" s="7"/>
      <c r="M129" s="169"/>
      <c r="N129" s="169"/>
      <c r="O129" s="136"/>
      <c r="P129" s="169"/>
      <c r="Q129" s="169"/>
      <c r="R129" s="169"/>
      <c r="S129" s="169"/>
      <c r="T129" s="169"/>
      <c r="U129" s="169"/>
      <c r="V129" s="169"/>
      <c r="W129" s="169"/>
      <c r="X129" s="169"/>
    </row>
    <row r="130" spans="1:32" ht="17.25" customHeight="1" thickBot="1">
      <c r="A130" s="31"/>
      <c r="B130" s="537" t="s">
        <v>6922</v>
      </c>
      <c r="C130" s="566"/>
      <c r="D130" s="636" t="str">
        <f>IF('TAB 2 Project Specs'!G86="","",'TAB 2 Project Specs'!G86)</f>
        <v/>
      </c>
      <c r="E130" s="568"/>
      <c r="F130" s="574">
        <f>'TAB 2 Project Specs'!N88</f>
        <v>0</v>
      </c>
      <c r="G130" s="575">
        <f t="shared" si="15"/>
        <v>0</v>
      </c>
      <c r="H130" s="586">
        <f>IF(F130=0,0,J130+I130)</f>
        <v>0</v>
      </c>
      <c r="I130" s="582"/>
      <c r="J130" s="583"/>
      <c r="K130" s="7"/>
      <c r="L130" s="7"/>
      <c r="M130" s="169"/>
      <c r="N130" s="169"/>
      <c r="O130" s="136"/>
      <c r="P130" s="169"/>
      <c r="Q130" s="169"/>
      <c r="R130" s="169"/>
      <c r="S130" s="169"/>
      <c r="T130" s="169"/>
      <c r="U130" s="169"/>
      <c r="V130" s="169"/>
      <c r="W130" s="169"/>
      <c r="X130" s="169"/>
    </row>
    <row r="131" spans="1:32" ht="18.75" customHeight="1" thickBot="1">
      <c r="A131" s="31"/>
      <c r="B131" s="28"/>
      <c r="C131" s="51" t="s">
        <v>383</v>
      </c>
      <c r="D131" s="29"/>
      <c r="E131" s="188"/>
      <c r="F131" s="76">
        <f>SUM(F128:F130)</f>
        <v>0</v>
      </c>
      <c r="G131" s="84">
        <f>IF(G128=0,0,SUM(G128:G130))</f>
        <v>0</v>
      </c>
      <c r="H131" s="587">
        <f>IF(F128=0,0,G131/F131)</f>
        <v>0</v>
      </c>
      <c r="I131" s="7"/>
      <c r="J131" s="162"/>
      <c r="K131" s="7"/>
      <c r="L131" s="7"/>
      <c r="M131" s="169"/>
      <c r="N131" s="169"/>
      <c r="O131" s="169"/>
      <c r="P131" s="169"/>
      <c r="Q131" s="169"/>
      <c r="R131" s="169"/>
      <c r="S131" s="169"/>
      <c r="T131" s="169"/>
      <c r="U131" s="169"/>
      <c r="V131" s="169"/>
      <c r="W131" s="169"/>
      <c r="X131" s="169"/>
    </row>
    <row r="132" spans="1:32" ht="41.25" customHeight="1">
      <c r="A132" s="31" t="s">
        <v>410</v>
      </c>
      <c r="B132" s="7"/>
      <c r="C132" s="7"/>
      <c r="D132" s="7"/>
      <c r="E132" s="7"/>
      <c r="F132" s="7"/>
      <c r="G132" s="7"/>
      <c r="H132" s="7"/>
      <c r="I132" s="7"/>
      <c r="J132" s="7"/>
      <c r="K132" s="7"/>
      <c r="L132" s="7"/>
      <c r="M132" s="169"/>
      <c r="N132" s="169"/>
      <c r="O132" s="169"/>
      <c r="P132" s="169"/>
      <c r="Q132" s="169"/>
      <c r="R132" s="169"/>
      <c r="S132" s="169"/>
      <c r="T132" s="169"/>
      <c r="U132" s="169"/>
      <c r="V132" s="169"/>
      <c r="W132" s="169"/>
      <c r="X132" s="169"/>
    </row>
    <row r="133" spans="1:32" ht="14.25" customHeight="1" thickBot="1">
      <c r="B133" s="7"/>
      <c r="C133" s="7"/>
      <c r="D133" s="7"/>
      <c r="E133" s="7"/>
      <c r="F133" s="7"/>
      <c r="G133" s="7"/>
      <c r="H133" s="7"/>
      <c r="I133" s="7"/>
      <c r="J133" s="7"/>
      <c r="K133" s="7"/>
      <c r="L133" s="7"/>
      <c r="M133" s="169"/>
      <c r="N133" s="169"/>
      <c r="O133" s="169"/>
      <c r="P133" s="169"/>
      <c r="Q133" s="169"/>
      <c r="R133" s="169"/>
      <c r="S133" s="169"/>
      <c r="T133" s="169"/>
      <c r="U133" s="169"/>
      <c r="V133" s="169"/>
      <c r="W133" s="169"/>
      <c r="X133" s="169"/>
    </row>
    <row r="134" spans="1:32" ht="19.5" customHeight="1">
      <c r="B134" s="217" t="s">
        <v>3</v>
      </c>
      <c r="C134" s="218"/>
      <c r="D134" s="219"/>
      <c r="E134" s="220"/>
      <c r="F134" s="225"/>
      <c r="G134" s="220"/>
      <c r="H134" s="226"/>
      <c r="I134" s="7"/>
      <c r="J134" s="7"/>
      <c r="K134" s="7"/>
      <c r="L134" s="7"/>
      <c r="M134" s="169"/>
      <c r="N134" s="169"/>
      <c r="O134" s="169"/>
      <c r="P134" s="169"/>
      <c r="R134" s="169"/>
      <c r="S134" s="169"/>
      <c r="T134" s="169"/>
      <c r="U134" s="169"/>
      <c r="V134" s="169"/>
      <c r="W134" s="169"/>
      <c r="X134" s="169"/>
    </row>
    <row r="135" spans="1:32" ht="18" customHeight="1" thickBot="1">
      <c r="B135" s="486" t="s">
        <v>6890</v>
      </c>
      <c r="C135" s="213"/>
      <c r="D135" s="213"/>
      <c r="E135" s="221" t="s">
        <v>184</v>
      </c>
      <c r="F135" s="227" t="s">
        <v>168</v>
      </c>
      <c r="G135" s="227" t="s">
        <v>6</v>
      </c>
      <c r="H135" s="228" t="s">
        <v>196</v>
      </c>
      <c r="I135" s="7"/>
      <c r="J135" s="7"/>
      <c r="K135" s="7"/>
      <c r="L135" s="7"/>
      <c r="M135" s="169"/>
      <c r="N135" s="169"/>
      <c r="O135" s="169"/>
      <c r="P135" s="169"/>
      <c r="Q135" s="169"/>
      <c r="R135" s="169"/>
      <c r="S135" s="169"/>
      <c r="T135" s="169"/>
      <c r="U135" s="169"/>
      <c r="V135" s="169"/>
      <c r="W135" s="169"/>
      <c r="X135" s="169"/>
    </row>
    <row r="136" spans="1:32" ht="18" customHeight="1" thickBot="1">
      <c r="B136" s="222"/>
      <c r="C136" s="213"/>
      <c r="D136" s="488" t="s">
        <v>6946</v>
      </c>
      <c r="E136" s="223" t="s">
        <v>206</v>
      </c>
      <c r="F136" s="82">
        <f>'TAB 2 Project Specs'!B98</f>
        <v>0</v>
      </c>
      <c r="G136" s="77">
        <f>F136*+H136</f>
        <v>0</v>
      </c>
      <c r="H136" s="91"/>
      <c r="I136" s="548" t="str">
        <f>IF(F136=0,"",IF(H136&gt;0,"",N136))</f>
        <v/>
      </c>
      <c r="J136" s="548"/>
      <c r="K136" s="7"/>
      <c r="L136" s="7"/>
      <c r="M136" s="169">
        <v>22000</v>
      </c>
      <c r="N136" s="169" t="s">
        <v>237</v>
      </c>
      <c r="O136" s="169"/>
      <c r="P136" s="169"/>
      <c r="R136" s="169"/>
      <c r="S136" s="169"/>
      <c r="T136" s="169"/>
      <c r="U136" s="169"/>
      <c r="V136" s="169"/>
      <c r="W136" s="169"/>
      <c r="X136" s="169"/>
    </row>
    <row r="137" spans="1:32" ht="18" customHeight="1" thickBot="1">
      <c r="B137" s="222"/>
      <c r="C137" s="213"/>
      <c r="D137" s="488" t="s">
        <v>6947</v>
      </c>
      <c r="E137" s="223" t="s">
        <v>207</v>
      </c>
      <c r="F137" s="82">
        <f>'TAB 2 Project Specs'!B100</f>
        <v>0</v>
      </c>
      <c r="G137" s="77">
        <f>+H137*F137</f>
        <v>0</v>
      </c>
      <c r="H137" s="91"/>
      <c r="I137" s="548" t="str">
        <f>IF(F137=0,"",IF(H137&gt;0,"",N137))</f>
        <v/>
      </c>
      <c r="J137" s="548"/>
      <c r="K137" s="7"/>
      <c r="L137" s="7"/>
      <c r="M137" s="169">
        <v>4000</v>
      </c>
      <c r="N137" s="169" t="s">
        <v>236</v>
      </c>
      <c r="O137" s="169"/>
      <c r="P137" s="169"/>
      <c r="Q137" s="169"/>
      <c r="R137" s="169"/>
      <c r="S137" s="169"/>
      <c r="T137" s="169"/>
      <c r="U137" s="169"/>
      <c r="V137" s="169"/>
      <c r="W137" s="169"/>
      <c r="X137" s="169"/>
    </row>
    <row r="138" spans="1:32" ht="18" customHeight="1" thickBot="1">
      <c r="B138" s="224"/>
      <c r="C138" s="304" t="s">
        <v>6891</v>
      </c>
      <c r="D138" s="136"/>
      <c r="E138" s="199"/>
      <c r="F138" s="61"/>
      <c r="G138" s="81">
        <f>G136+G137</f>
        <v>0</v>
      </c>
      <c r="H138" s="77" t="str">
        <f>IF((F136+F137)&gt;0,G138/(F136+F137),"")</f>
        <v/>
      </c>
      <c r="I138" s="7"/>
      <c r="J138" s="7"/>
      <c r="K138" s="7"/>
      <c r="L138" s="7"/>
      <c r="M138" s="169"/>
      <c r="N138" s="169"/>
      <c r="O138" s="169"/>
      <c r="P138" s="169"/>
      <c r="Q138" s="169"/>
      <c r="R138" s="169"/>
      <c r="S138" s="169"/>
      <c r="T138" s="169"/>
      <c r="U138" s="169"/>
      <c r="V138" s="169"/>
      <c r="W138" s="169"/>
      <c r="X138" s="169"/>
      <c r="AC138" s="3" t="s">
        <v>7</v>
      </c>
      <c r="AD138" s="3" t="s">
        <v>6969</v>
      </c>
      <c r="AE138" s="3" t="s">
        <v>6970</v>
      </c>
      <c r="AF138" s="3" t="s">
        <v>4</v>
      </c>
    </row>
    <row r="139" spans="1:32" ht="18" customHeight="1" thickBot="1">
      <c r="B139" s="222"/>
      <c r="C139" s="487" t="s">
        <v>6892</v>
      </c>
      <c r="D139" s="199"/>
      <c r="E139" s="199"/>
      <c r="F139" s="491"/>
      <c r="G139" s="91"/>
      <c r="H139" s="612"/>
      <c r="I139" s="7"/>
      <c r="J139" s="7"/>
      <c r="K139" s="7"/>
      <c r="L139" s="7"/>
      <c r="M139" s="169"/>
      <c r="N139" s="169"/>
      <c r="P139" s="169"/>
      <c r="Q139" s="169"/>
      <c r="R139" s="169"/>
      <c r="S139" s="169"/>
      <c r="T139" s="169"/>
      <c r="U139" s="169"/>
      <c r="V139" s="169"/>
      <c r="W139" s="169"/>
      <c r="X139" s="169"/>
      <c r="AC139" s="311">
        <f>G138</f>
        <v>0</v>
      </c>
      <c r="AD139" s="311">
        <f>G139</f>
        <v>0</v>
      </c>
      <c r="AE139" s="311">
        <f>G140</f>
        <v>0</v>
      </c>
      <c r="AF139" s="311">
        <f>G141</f>
        <v>0</v>
      </c>
    </row>
    <row r="140" spans="1:32" ht="18" customHeight="1" thickBot="1">
      <c r="B140" s="222"/>
      <c r="C140" s="487" t="s">
        <v>6893</v>
      </c>
      <c r="D140" s="199"/>
      <c r="E140" s="199"/>
      <c r="F140" s="491"/>
      <c r="G140" s="91"/>
      <c r="H140" s="612"/>
      <c r="I140" s="7"/>
      <c r="J140" s="7"/>
      <c r="K140" s="7"/>
      <c r="L140" s="7"/>
      <c r="M140" s="169"/>
      <c r="N140" s="169"/>
      <c r="O140" s="169"/>
      <c r="P140" s="169"/>
      <c r="Q140" s="169"/>
      <c r="R140" s="169"/>
      <c r="S140" s="169"/>
      <c r="T140" s="169"/>
      <c r="U140" s="169"/>
      <c r="V140" s="169"/>
      <c r="W140" s="169"/>
      <c r="X140" s="169"/>
      <c r="AC140" s="623">
        <f>IFERROR(AC139/G143,0)</f>
        <v>0</v>
      </c>
      <c r="AD140" s="623">
        <f>IFERROR(AD139/G143,0)</f>
        <v>0</v>
      </c>
      <c r="AE140" s="623">
        <f>IFERROR(AE139/G143,0)</f>
        <v>0</v>
      </c>
      <c r="AF140" s="623">
        <f>IFERROR(AF139/G143,0)</f>
        <v>0</v>
      </c>
    </row>
    <row r="141" spans="1:32" ht="18" customHeight="1" thickBot="1">
      <c r="B141" s="195"/>
      <c r="C141" s="489" t="s">
        <v>6894</v>
      </c>
      <c r="D141" s="197"/>
      <c r="E141" s="197"/>
      <c r="F141" s="492"/>
      <c r="G141" s="490"/>
      <c r="H141" s="612"/>
      <c r="I141" s="7"/>
      <c r="J141" s="7"/>
      <c r="K141" s="7"/>
      <c r="L141" s="7"/>
      <c r="M141" s="169"/>
      <c r="N141" s="169"/>
      <c r="O141" s="169"/>
      <c r="P141" s="169"/>
      <c r="Q141" s="169"/>
      <c r="R141" s="169"/>
      <c r="S141" s="169"/>
      <c r="T141" s="169"/>
      <c r="U141" s="169"/>
      <c r="V141" s="169"/>
      <c r="W141" s="169"/>
      <c r="X141" s="169"/>
      <c r="AC141" s="623"/>
      <c r="AD141" s="623"/>
    </row>
    <row r="142" spans="1:32" ht="18" customHeight="1" thickBot="1">
      <c r="B142" s="429"/>
      <c r="C142" s="375"/>
      <c r="D142" s="200" t="str">
        <f>IF($I$5=$O$5,"",$S$65)</f>
        <v>General Conditions (DBB/DB)</v>
      </c>
      <c r="E142" s="721" t="str">
        <f>IF($I$5=$O$5,"",$P$91)</f>
        <v>6% - 8%</v>
      </c>
      <c r="F142" s="722">
        <v>7.0000000000000007E-2</v>
      </c>
      <c r="G142" s="310">
        <f>IF($O$27=0,0,IF($O$4=$O$5,0,$F$142*SUM($G$138:$G$141)))</f>
        <v>0</v>
      </c>
      <c r="H142" s="723"/>
      <c r="I142" s="1625"/>
      <c r="J142" s="1626"/>
      <c r="K142" s="7"/>
      <c r="L142" s="7"/>
      <c r="M142" s="169">
        <v>0.08</v>
      </c>
      <c r="N142" s="169" t="s">
        <v>6744</v>
      </c>
      <c r="O142" s="169"/>
      <c r="P142" s="202" t="s">
        <v>6741</v>
      </c>
      <c r="Q142" s="169"/>
      <c r="R142" s="823" t="str">
        <f>IF(AND(G155&gt;0,I5&lt;&gt;O5),F142,"")</f>
        <v/>
      </c>
      <c r="S142" s="169"/>
      <c r="T142" s="169"/>
      <c r="U142" s="169"/>
      <c r="V142" s="169"/>
      <c r="W142" s="169"/>
      <c r="X142" s="169"/>
      <c r="AB142" s="3" t="s">
        <v>6954</v>
      </c>
      <c r="AC142" s="622">
        <f>$G142*AC$140</f>
        <v>0</v>
      </c>
      <c r="AD142" s="622">
        <f t="shared" ref="AD142:AF155" si="17">$G142*AD$140</f>
        <v>0</v>
      </c>
      <c r="AE142" s="622">
        <f t="shared" si="17"/>
        <v>0</v>
      </c>
      <c r="AF142" s="622">
        <f t="shared" si="17"/>
        <v>0</v>
      </c>
    </row>
    <row r="143" spans="1:32" ht="18" customHeight="1" thickBot="1">
      <c r="B143" s="429"/>
      <c r="C143" s="375" t="s">
        <v>7535</v>
      </c>
      <c r="D143" s="241"/>
      <c r="E143" s="158"/>
      <c r="F143" s="696"/>
      <c r="G143" s="720">
        <f>IF($O$27=0,0,IF($O$4=$O$5,SUM(G138:G141),(SUM(G138:G142))))</f>
        <v>0</v>
      </c>
      <c r="H143" s="612"/>
      <c r="I143" s="7"/>
      <c r="J143" s="7"/>
      <c r="K143" s="7"/>
      <c r="L143" s="7"/>
      <c r="M143" s="169"/>
      <c r="N143" s="169"/>
      <c r="O143" s="169"/>
      <c r="P143" s="169"/>
      <c r="Q143" s="169"/>
      <c r="R143" s="169"/>
      <c r="S143" s="169"/>
      <c r="T143" s="169"/>
      <c r="U143" s="169"/>
      <c r="V143" s="169"/>
      <c r="W143" s="169"/>
      <c r="X143" s="169"/>
      <c r="AB143" s="3" t="s">
        <v>7537</v>
      </c>
      <c r="AC143" s="622">
        <f>$G143*AC$140</f>
        <v>0</v>
      </c>
      <c r="AD143" s="622">
        <f t="shared" si="17"/>
        <v>0</v>
      </c>
      <c r="AE143" s="622">
        <f t="shared" si="17"/>
        <v>0</v>
      </c>
      <c r="AF143" s="622">
        <f t="shared" si="17"/>
        <v>0</v>
      </c>
    </row>
    <row r="144" spans="1:32" ht="16.5" customHeight="1" thickBot="1">
      <c r="B144" s="1641" t="s">
        <v>6778</v>
      </c>
      <c r="C144" s="1642"/>
      <c r="D144" s="594" t="str">
        <f>IF(I$5=$O$5,$S$68,"")</f>
        <v/>
      </c>
      <c r="E144" s="433" t="str">
        <f>IF(I$5="CM at Risk",$T$144,"")</f>
        <v/>
      </c>
      <c r="F144" s="435" t="str">
        <f>IF(O27=0,"",IF($O$4=$O$5,G144/G147,""))</f>
        <v/>
      </c>
      <c r="G144" s="437"/>
      <c r="H144" s="685"/>
      <c r="I144" s="1736" t="str">
        <f>IF($O$4&lt;&gt;$O$5,"",IF(F144="","",IF(F144="0.00%",Q144,IF(F144=0,Q144,IF(F144&gt;M144,N144,"")))))</f>
        <v/>
      </c>
      <c r="J144" s="1737"/>
      <c r="K144" s="738">
        <f>$G$147*$M$144</f>
        <v>0</v>
      </c>
      <c r="L144" s="738"/>
      <c r="M144" s="169">
        <v>8.6E-3</v>
      </c>
      <c r="N144" s="169" t="s">
        <v>6932</v>
      </c>
      <c r="O144" s="169"/>
      <c r="P144" s="171">
        <f>IF($O$4=$O$5,G144,0)</f>
        <v>0</v>
      </c>
      <c r="Q144" s="3" t="s">
        <v>7169</v>
      </c>
      <c r="R144" s="169"/>
      <c r="S144" s="169"/>
      <c r="T144" s="202" t="s">
        <v>6931</v>
      </c>
      <c r="U144" s="169"/>
      <c r="V144" s="169"/>
      <c r="W144" s="169"/>
      <c r="X144" s="169"/>
      <c r="AB144" s="3" t="s">
        <v>6955</v>
      </c>
      <c r="AC144" s="622">
        <f t="shared" ref="AC144:AC155" si="18">$G144*AC$140</f>
        <v>0</v>
      </c>
      <c r="AD144" s="622">
        <f t="shared" si="17"/>
        <v>0</v>
      </c>
      <c r="AE144" s="622">
        <f t="shared" si="17"/>
        <v>0</v>
      </c>
      <c r="AF144" s="622">
        <f t="shared" si="17"/>
        <v>0</v>
      </c>
    </row>
    <row r="145" spans="1:32" ht="16.5" customHeight="1" thickBot="1">
      <c r="B145" s="1643"/>
      <c r="C145" s="1644"/>
      <c r="D145" s="595" t="str">
        <f>IF(I$5=$O$5,$S$69,"")</f>
        <v/>
      </c>
      <c r="E145" s="593" t="str">
        <f>IF(I$5="CM at Risk",$T$145,"")</f>
        <v/>
      </c>
      <c r="F145" s="435" t="str">
        <f>IF(O27=0,"",IF($O$4=$O$5,G145/G147,""))</f>
        <v/>
      </c>
      <c r="G145" s="437"/>
      <c r="H145" s="683"/>
      <c r="I145" s="1738" t="str">
        <f>IF($O$4&lt;&gt;$O$5,"",IF(F145="","",IF(F145="0.00%",Q145,IF(F145=0,Q145,IF(F145&gt;M145,N145,"")))))</f>
        <v/>
      </c>
      <c r="J145" s="1739"/>
      <c r="K145" s="738">
        <f>$G$147*$M$145</f>
        <v>0</v>
      </c>
      <c r="L145" s="738"/>
      <c r="M145" s="169">
        <v>0.04</v>
      </c>
      <c r="N145" s="169" t="s">
        <v>7191</v>
      </c>
      <c r="O145" s="169"/>
      <c r="P145" s="171">
        <f t="shared" ref="P145:P146" si="19">IF($O$4=$O$5,G145,0)</f>
        <v>0</v>
      </c>
      <c r="Q145" s="3" t="s">
        <v>7170</v>
      </c>
      <c r="R145" s="169"/>
      <c r="S145" s="169"/>
      <c r="T145" s="202" t="s">
        <v>6895</v>
      </c>
      <c r="U145" s="169"/>
      <c r="V145" s="169"/>
      <c r="W145" s="169"/>
      <c r="X145" s="169"/>
      <c r="AB145" s="3" t="s">
        <v>418</v>
      </c>
      <c r="AC145" s="622">
        <f t="shared" si="18"/>
        <v>0</v>
      </c>
      <c r="AD145" s="622">
        <f t="shared" si="17"/>
        <v>0</v>
      </c>
      <c r="AE145" s="622">
        <f t="shared" si="17"/>
        <v>0</v>
      </c>
      <c r="AF145" s="622">
        <f t="shared" si="17"/>
        <v>0</v>
      </c>
    </row>
    <row r="146" spans="1:32" ht="16.5" customHeight="1" thickBot="1">
      <c r="B146" s="1645"/>
      <c r="C146" s="1646"/>
      <c r="D146" s="596" t="str">
        <f>IF($I$5=$O$5,$S$70,"")</f>
        <v/>
      </c>
      <c r="E146" s="434" t="str">
        <f>IF(I$5="CM at Risk",$T$146,"")</f>
        <v/>
      </c>
      <c r="F146" s="435" t="str">
        <f>IF(G147=0,"",IF($O$4=$O$5,G146/G147,""))</f>
        <v/>
      </c>
      <c r="G146" s="437"/>
      <c r="H146" s="686"/>
      <c r="I146" s="1740" t="str">
        <f>IF($O$4&lt;&gt;$O$5,"",IF(F146="","",IF(F146="0.00%",Q146,IF(F146=0,Q146,IF(F146&gt;M146,N146,"")))))</f>
        <v/>
      </c>
      <c r="J146" s="1741"/>
      <c r="K146" s="738">
        <f>$G$147*$M$146</f>
        <v>0</v>
      </c>
      <c r="L146" s="738"/>
      <c r="M146" s="169">
        <v>8.1000000000000003E-2</v>
      </c>
      <c r="N146" s="169" t="s">
        <v>7190</v>
      </c>
      <c r="O146" s="169"/>
      <c r="P146" s="171">
        <f t="shared" si="19"/>
        <v>0</v>
      </c>
      <c r="Q146" s="3" t="s">
        <v>7171</v>
      </c>
      <c r="R146" s="169"/>
      <c r="S146" s="169"/>
      <c r="T146" s="202" t="s">
        <v>6741</v>
      </c>
      <c r="U146" s="169"/>
      <c r="V146" s="169"/>
      <c r="W146" s="169"/>
      <c r="X146" s="169"/>
      <c r="AB146" s="3" t="s">
        <v>6956</v>
      </c>
      <c r="AC146" s="622">
        <f t="shared" si="18"/>
        <v>0</v>
      </c>
      <c r="AD146" s="622">
        <f t="shared" si="17"/>
        <v>0</v>
      </c>
      <c r="AE146" s="622">
        <f t="shared" si="17"/>
        <v>0</v>
      </c>
      <c r="AF146" s="622">
        <f t="shared" si="17"/>
        <v>0</v>
      </c>
    </row>
    <row r="147" spans="1:32" ht="18" customHeight="1" thickBot="1">
      <c r="B147" s="132"/>
      <c r="C147" s="190" t="s">
        <v>6740</v>
      </c>
      <c r="D147" s="200"/>
      <c r="E147" s="201"/>
      <c r="F147" s="55"/>
      <c r="G147" s="78">
        <f>IF(AND($O$4&lt;&gt;$O$5,O27&gt;0),G143,IF(O27=0,0,(G143+G144+G146)))</f>
        <v>0</v>
      </c>
      <c r="H147" s="612"/>
      <c r="I147" s="7"/>
      <c r="J147" s="7"/>
      <c r="K147" s="7"/>
      <c r="L147" s="7"/>
      <c r="M147" s="169"/>
      <c r="N147" s="169"/>
      <c r="O147" s="169"/>
      <c r="P147" s="169"/>
      <c r="Q147" s="169"/>
      <c r="R147" s="169"/>
      <c r="S147" s="169"/>
      <c r="T147" s="169"/>
      <c r="U147" s="169"/>
      <c r="V147" s="169"/>
      <c r="W147" s="169"/>
      <c r="X147" s="169"/>
      <c r="AB147" s="3" t="s">
        <v>6719</v>
      </c>
      <c r="AC147" s="622">
        <f t="shared" si="18"/>
        <v>0</v>
      </c>
      <c r="AD147" s="622">
        <f t="shared" si="17"/>
        <v>0</v>
      </c>
      <c r="AE147" s="622">
        <f t="shared" si="17"/>
        <v>0</v>
      </c>
      <c r="AF147" s="622">
        <f t="shared" si="17"/>
        <v>0</v>
      </c>
    </row>
    <row r="148" spans="1:32" ht="18" customHeight="1" thickBot="1">
      <c r="B148" s="160"/>
      <c r="C148" s="154" t="s">
        <v>141</v>
      </c>
      <c r="D148" s="136"/>
      <c r="E148" s="165" t="s">
        <v>6945</v>
      </c>
      <c r="F148" s="83">
        <f>IF(G148=0,0,G148/G147)</f>
        <v>0</v>
      </c>
      <c r="G148" s="78">
        <f>SUM(G149:G151)</f>
        <v>0</v>
      </c>
      <c r="H148" s="612"/>
      <c r="I148" s="7"/>
      <c r="J148" s="7"/>
      <c r="K148" s="7"/>
      <c r="L148" s="7"/>
      <c r="M148" s="169"/>
      <c r="N148" s="169"/>
      <c r="O148" s="169"/>
      <c r="P148" s="169"/>
      <c r="Q148" s="169"/>
      <c r="R148" s="169"/>
      <c r="S148" s="169"/>
      <c r="T148" s="169"/>
      <c r="U148" s="169"/>
      <c r="V148" s="169"/>
      <c r="W148" s="169"/>
      <c r="X148" s="169"/>
      <c r="AB148" s="3" t="s">
        <v>6957</v>
      </c>
      <c r="AC148" s="622">
        <f t="shared" si="18"/>
        <v>0</v>
      </c>
      <c r="AD148" s="622">
        <f t="shared" si="17"/>
        <v>0</v>
      </c>
      <c r="AE148" s="622">
        <f t="shared" si="17"/>
        <v>0</v>
      </c>
      <c r="AF148" s="622">
        <f t="shared" si="17"/>
        <v>0</v>
      </c>
    </row>
    <row r="149" spans="1:32" ht="18" customHeight="1" thickBot="1">
      <c r="B149" s="133"/>
      <c r="C149" s="199"/>
      <c r="D149" s="199" t="s">
        <v>379</v>
      </c>
      <c r="E149" s="204" t="s">
        <v>6758</v>
      </c>
      <c r="F149" s="92">
        <v>1.4999999999999999E-2</v>
      </c>
      <c r="G149" s="77">
        <f>F149*(G147+SUM(G150+G151+G154))</f>
        <v>0</v>
      </c>
      <c r="H149" s="612"/>
      <c r="I149" s="7"/>
      <c r="J149" s="7"/>
      <c r="K149" s="7"/>
      <c r="L149" s="7"/>
      <c r="M149" s="169"/>
      <c r="N149" s="169"/>
      <c r="O149" s="169"/>
      <c r="P149" s="169"/>
      <c r="Q149" s="169"/>
      <c r="R149" s="823" t="str">
        <f>IF(G162&gt;0,F149,"")</f>
        <v/>
      </c>
      <c r="S149" s="169"/>
      <c r="T149" s="169"/>
      <c r="U149" s="169"/>
      <c r="V149" s="169"/>
      <c r="W149" s="169"/>
      <c r="X149" s="169"/>
      <c r="AB149" s="3" t="s">
        <v>6971</v>
      </c>
      <c r="AC149" s="622">
        <f t="shared" si="18"/>
        <v>0</v>
      </c>
      <c r="AD149" s="622">
        <f t="shared" si="17"/>
        <v>0</v>
      </c>
      <c r="AE149" s="622">
        <f t="shared" si="17"/>
        <v>0</v>
      </c>
      <c r="AF149" s="622">
        <f t="shared" si="17"/>
        <v>0</v>
      </c>
    </row>
    <row r="150" spans="1:32" ht="18" customHeight="1" thickBot="1">
      <c r="B150" s="203"/>
      <c r="C150" s="199"/>
      <c r="D150" s="199" t="s">
        <v>6897</v>
      </c>
      <c r="E150" s="204" t="s">
        <v>6748</v>
      </c>
      <c r="F150" s="92">
        <v>0.09</v>
      </c>
      <c r="G150" s="77">
        <f>F150*G$147</f>
        <v>0</v>
      </c>
      <c r="H150" s="612"/>
      <c r="I150" s="7"/>
      <c r="J150" s="7"/>
      <c r="K150" s="7"/>
      <c r="L150" s="7"/>
      <c r="M150" s="169"/>
      <c r="N150" s="169"/>
      <c r="O150" s="169"/>
      <c r="P150" s="169"/>
      <c r="Q150" s="169"/>
      <c r="R150" s="823" t="str">
        <f t="shared" ref="R150:R151" si="20">IF(G163&gt;0,F150,"")</f>
        <v/>
      </c>
      <c r="S150" s="169"/>
      <c r="T150" s="169"/>
      <c r="U150" s="169"/>
      <c r="V150" s="169"/>
      <c r="W150" s="169"/>
      <c r="X150" s="169"/>
      <c r="AB150" s="3" t="s">
        <v>6972</v>
      </c>
      <c r="AC150" s="622">
        <f t="shared" si="18"/>
        <v>0</v>
      </c>
      <c r="AD150" s="622">
        <f t="shared" si="17"/>
        <v>0</v>
      </c>
      <c r="AE150" s="622">
        <f t="shared" si="17"/>
        <v>0</v>
      </c>
      <c r="AF150" s="622">
        <f t="shared" si="17"/>
        <v>0</v>
      </c>
    </row>
    <row r="151" spans="1:32" ht="18" customHeight="1" thickBot="1">
      <c r="B151" s="133"/>
      <c r="C151" s="199"/>
      <c r="D151" s="199" t="s">
        <v>14</v>
      </c>
      <c r="E151" s="204" t="s">
        <v>6761</v>
      </c>
      <c r="F151" s="92">
        <v>1.4999999999999999E-2</v>
      </c>
      <c r="G151" s="77">
        <f>F151*G$147</f>
        <v>0</v>
      </c>
      <c r="H151" s="612"/>
      <c r="I151" s="7"/>
      <c r="J151" s="7"/>
      <c r="K151" s="7"/>
      <c r="L151" s="7"/>
      <c r="M151" s="169"/>
      <c r="N151" s="169"/>
      <c r="O151" s="169"/>
      <c r="P151" s="169"/>
      <c r="Q151" s="169"/>
      <c r="R151" s="823" t="str">
        <f t="shared" si="20"/>
        <v/>
      </c>
      <c r="S151" s="169"/>
      <c r="T151" s="169"/>
      <c r="U151" s="169"/>
      <c r="V151" s="169"/>
      <c r="W151" s="169"/>
      <c r="X151" s="169"/>
      <c r="AB151" s="3" t="s">
        <v>6963</v>
      </c>
      <c r="AC151" s="622">
        <f t="shared" si="18"/>
        <v>0</v>
      </c>
      <c r="AD151" s="622">
        <f t="shared" si="17"/>
        <v>0</v>
      </c>
      <c r="AE151" s="622">
        <f t="shared" si="17"/>
        <v>0</v>
      </c>
      <c r="AF151" s="622">
        <f t="shared" si="17"/>
        <v>0</v>
      </c>
    </row>
    <row r="152" spans="1:32" ht="18" customHeight="1" thickBot="1">
      <c r="B152" s="159"/>
      <c r="C152" s="206" t="s">
        <v>5</v>
      </c>
      <c r="D152" s="207"/>
      <c r="E152" s="58"/>
      <c r="F152" s="361"/>
      <c r="G152" s="80">
        <f>G147+SUM(G149:G151)</f>
        <v>0</v>
      </c>
      <c r="H152" s="612"/>
      <c r="I152" s="7"/>
      <c r="J152" s="7"/>
      <c r="K152" s="7"/>
      <c r="L152" s="7"/>
      <c r="M152" s="169"/>
      <c r="N152" s="169"/>
      <c r="O152" s="169"/>
      <c r="P152" s="169"/>
      <c r="Q152" s="169"/>
      <c r="R152" s="169"/>
      <c r="S152" s="169"/>
      <c r="T152" s="169"/>
      <c r="U152" s="169"/>
      <c r="V152" s="169"/>
      <c r="W152" s="169"/>
      <c r="X152" s="169"/>
      <c r="AB152" s="3" t="s">
        <v>6973</v>
      </c>
      <c r="AC152" s="622">
        <f t="shared" si="18"/>
        <v>0</v>
      </c>
      <c r="AD152" s="622">
        <f t="shared" si="17"/>
        <v>0</v>
      </c>
      <c r="AE152" s="622">
        <f t="shared" si="17"/>
        <v>0</v>
      </c>
      <c r="AF152" s="622">
        <f t="shared" si="17"/>
        <v>0</v>
      </c>
    </row>
    <row r="153" spans="1:32" ht="18" customHeight="1" thickBot="1">
      <c r="B153" s="132"/>
      <c r="C153" s="190" t="s">
        <v>6942</v>
      </c>
      <c r="D153" s="200"/>
      <c r="E153" s="59">
        <v>0.1</v>
      </c>
      <c r="F153" s="92">
        <v>0.1</v>
      </c>
      <c r="G153" s="80">
        <f>F153*(G152)</f>
        <v>0</v>
      </c>
      <c r="H153" s="612"/>
      <c r="I153" s="7"/>
      <c r="J153" s="7"/>
      <c r="K153" s="7"/>
      <c r="L153" s="7"/>
      <c r="M153" s="169"/>
      <c r="N153" s="169"/>
      <c r="O153" s="169"/>
      <c r="P153" s="169"/>
      <c r="Q153" s="437">
        <f>$G$147*$M$144</f>
        <v>0</v>
      </c>
      <c r="R153" s="823" t="str">
        <f>IF(G166&gt;0,F153,"")</f>
        <v/>
      </c>
      <c r="S153" s="169"/>
      <c r="T153" s="169"/>
      <c r="U153" s="169"/>
      <c r="V153" s="169"/>
      <c r="W153" s="169"/>
      <c r="X153" s="169"/>
      <c r="AB153" s="3" t="s">
        <v>6974</v>
      </c>
      <c r="AC153" s="622">
        <f t="shared" si="18"/>
        <v>0</v>
      </c>
      <c r="AD153" s="622">
        <f t="shared" si="17"/>
        <v>0</v>
      </c>
      <c r="AE153" s="622">
        <f t="shared" si="17"/>
        <v>0</v>
      </c>
      <c r="AF153" s="622">
        <f t="shared" si="17"/>
        <v>0</v>
      </c>
    </row>
    <row r="154" spans="1:32" ht="18" customHeight="1" thickBot="1">
      <c r="B154" s="133"/>
      <c r="C154" s="199"/>
      <c r="D154" s="199" t="s">
        <v>13</v>
      </c>
      <c r="E154" s="204" t="s">
        <v>6754</v>
      </c>
      <c r="F154" s="92">
        <v>1.2500000000000001E-2</v>
      </c>
      <c r="G154" s="77">
        <f>F154*$G147</f>
        <v>0</v>
      </c>
      <c r="H154" s="612"/>
      <c r="I154" s="7"/>
      <c r="J154" s="7"/>
      <c r="K154" s="7"/>
      <c r="L154" s="7"/>
      <c r="M154" s="169"/>
      <c r="N154" s="169"/>
      <c r="O154" s="169"/>
      <c r="P154" s="169"/>
      <c r="Q154" s="437">
        <f>$G$147*$M$145</f>
        <v>0</v>
      </c>
      <c r="R154" s="823" t="str">
        <f>IF(G167&gt;0,F154,"")</f>
        <v/>
      </c>
      <c r="S154" s="169"/>
      <c r="T154" s="169"/>
      <c r="U154" s="169"/>
      <c r="V154" s="169"/>
      <c r="W154" s="169"/>
      <c r="X154" s="169"/>
      <c r="AB154" s="3" t="s">
        <v>6975</v>
      </c>
      <c r="AC154" s="622">
        <f t="shared" si="18"/>
        <v>0</v>
      </c>
      <c r="AD154" s="622">
        <f t="shared" si="17"/>
        <v>0</v>
      </c>
      <c r="AE154" s="622">
        <f t="shared" si="17"/>
        <v>0</v>
      </c>
      <c r="AF154" s="622">
        <f t="shared" si="17"/>
        <v>0</v>
      </c>
    </row>
    <row r="155" spans="1:32" ht="18" customHeight="1" thickBot="1">
      <c r="B155" s="132"/>
      <c r="C155" s="190" t="s">
        <v>384</v>
      </c>
      <c r="D155" s="200"/>
      <c r="E155" s="200"/>
      <c r="F155" s="53"/>
      <c r="G155" s="78">
        <f>IF(O27=0,0,SUM(G152:G154))</f>
        <v>0</v>
      </c>
      <c r="H155" s="612"/>
      <c r="I155" s="7"/>
      <c r="J155" s="7"/>
      <c r="K155" s="7"/>
      <c r="L155" s="7"/>
      <c r="M155" s="169"/>
      <c r="N155" s="169"/>
      <c r="O155" s="169"/>
      <c r="P155" s="169"/>
      <c r="Q155" s="437">
        <f>$G$147*$M$146</f>
        <v>0</v>
      </c>
      <c r="R155" s="169"/>
      <c r="S155" s="169"/>
      <c r="T155" s="169"/>
      <c r="U155" s="169"/>
      <c r="V155" s="169"/>
      <c r="W155" s="169"/>
      <c r="X155" s="169"/>
      <c r="AB155" s="3" t="s">
        <v>6968</v>
      </c>
      <c r="AC155" s="622">
        <f t="shared" si="18"/>
        <v>0</v>
      </c>
      <c r="AD155" s="622">
        <f t="shared" si="17"/>
        <v>0</v>
      </c>
      <c r="AE155" s="622">
        <f t="shared" si="17"/>
        <v>0</v>
      </c>
      <c r="AF155" s="622">
        <f t="shared" si="17"/>
        <v>0</v>
      </c>
    </row>
    <row r="156" spans="1:32" ht="16.5" customHeight="1">
      <c r="A156" s="7"/>
      <c r="B156" s="157"/>
      <c r="C156" s="8"/>
      <c r="D156" s="8"/>
      <c r="E156" s="8"/>
      <c r="F156" s="8"/>
      <c r="G156" s="8"/>
      <c r="H156" s="8"/>
      <c r="I156" s="7"/>
      <c r="J156" s="7"/>
      <c r="K156" s="7"/>
      <c r="L156" s="7"/>
      <c r="M156" s="169"/>
      <c r="N156" s="169"/>
      <c r="O156" s="169"/>
      <c r="P156" s="169"/>
      <c r="Q156" s="169"/>
      <c r="R156" s="169"/>
      <c r="S156" s="169"/>
      <c r="T156" s="169"/>
      <c r="U156" s="169"/>
      <c r="V156" s="169"/>
      <c r="W156" s="169"/>
      <c r="X156" s="169"/>
    </row>
    <row r="157" spans="1:32" ht="18" customHeight="1">
      <c r="A157" s="31" t="s">
        <v>425</v>
      </c>
      <c r="B157" s="8"/>
      <c r="C157" s="8"/>
      <c r="D157" s="8"/>
      <c r="E157" s="8"/>
      <c r="F157" s="8"/>
      <c r="G157" s="8"/>
      <c r="H157" s="8"/>
      <c r="I157" s="7"/>
      <c r="J157" s="7"/>
      <c r="K157" s="7"/>
      <c r="L157" s="7"/>
      <c r="M157" s="169"/>
      <c r="N157" s="169"/>
      <c r="O157" s="169"/>
      <c r="P157" s="169"/>
      <c r="Q157" s="169"/>
      <c r="R157" s="169"/>
      <c r="S157" s="169"/>
      <c r="T157" s="169"/>
      <c r="U157" s="169"/>
      <c r="V157" s="169"/>
      <c r="W157" s="169"/>
      <c r="X157" s="169"/>
    </row>
    <row r="158" spans="1:32" ht="15" customHeight="1" thickBot="1">
      <c r="A158" s="7"/>
      <c r="B158" s="8"/>
      <c r="C158" s="8"/>
      <c r="D158" s="8"/>
      <c r="E158" s="8"/>
      <c r="F158" s="158"/>
      <c r="G158" s="8"/>
      <c r="H158" s="158"/>
      <c r="I158" s="7"/>
      <c r="J158" s="7"/>
      <c r="K158" s="7"/>
      <c r="L158" s="7"/>
      <c r="M158" s="169"/>
      <c r="N158" s="169"/>
      <c r="O158" s="169"/>
      <c r="P158" s="169"/>
      <c r="Q158" s="169"/>
      <c r="R158" s="169"/>
      <c r="S158" s="169"/>
      <c r="T158" s="169"/>
      <c r="U158" s="169"/>
      <c r="V158" s="169"/>
      <c r="W158" s="169"/>
      <c r="X158" s="169"/>
    </row>
    <row r="159" spans="1:32" ht="18.75" customHeight="1" thickBot="1">
      <c r="B159" s="229" t="s">
        <v>169</v>
      </c>
      <c r="C159" s="218"/>
      <c r="D159" s="219"/>
      <c r="E159" s="230" t="s">
        <v>15</v>
      </c>
      <c r="F159" s="82">
        <f>'TAB 2 Project Specs'!B115</f>
        <v>0</v>
      </c>
      <c r="G159" s="234" t="s">
        <v>118</v>
      </c>
      <c r="H159" s="82">
        <f>'TAB 2 Project Specs'!B117</f>
        <v>0</v>
      </c>
      <c r="I159" s="7"/>
      <c r="J159" s="7"/>
      <c r="K159" s="7"/>
      <c r="L159" s="7"/>
      <c r="M159" s="169"/>
      <c r="N159" s="169"/>
      <c r="O159" s="169"/>
      <c r="P159" s="169"/>
      <c r="Q159" s="169"/>
      <c r="R159" s="169"/>
      <c r="S159" s="169"/>
      <c r="T159" s="169"/>
      <c r="U159" s="169"/>
      <c r="V159" s="169"/>
      <c r="W159" s="169"/>
      <c r="X159" s="169"/>
    </row>
    <row r="160" spans="1:32" ht="15.75" customHeight="1" thickBot="1">
      <c r="B160" s="215"/>
      <c r="C160" s="154"/>
      <c r="D160" s="154"/>
      <c r="E160" s="216"/>
      <c r="F160" s="54"/>
      <c r="G160" s="235" t="s">
        <v>6</v>
      </c>
      <c r="H160" s="63" t="s">
        <v>144</v>
      </c>
      <c r="I160" s="7"/>
      <c r="J160" s="7"/>
      <c r="K160" s="7"/>
      <c r="L160" s="7"/>
      <c r="M160" s="169"/>
      <c r="N160" s="169"/>
      <c r="O160" s="169"/>
      <c r="P160" s="169"/>
      <c r="Q160" s="169"/>
      <c r="R160" s="169"/>
      <c r="S160" s="169"/>
      <c r="T160" s="169"/>
      <c r="U160" s="169"/>
      <c r="V160" s="169"/>
      <c r="W160" s="169"/>
      <c r="X160" s="169"/>
    </row>
    <row r="161" spans="1:24" ht="15.75" customHeight="1" thickBot="1">
      <c r="B161" s="195"/>
      <c r="C161" s="196"/>
      <c r="D161" s="197" t="s">
        <v>194</v>
      </c>
      <c r="E161" s="231"/>
      <c r="F161" s="64"/>
      <c r="G161" s="77">
        <f>+H161*F159</f>
        <v>0</v>
      </c>
      <c r="H161" s="91"/>
      <c r="I161" s="7"/>
      <c r="J161" s="7"/>
      <c r="K161" s="7"/>
      <c r="L161" s="7"/>
      <c r="M161" s="169"/>
      <c r="N161" s="169"/>
      <c r="O161" s="169"/>
      <c r="P161" s="169"/>
      <c r="Q161" s="169"/>
      <c r="R161" s="169"/>
      <c r="S161" s="169"/>
      <c r="T161" s="169"/>
      <c r="U161" s="169"/>
      <c r="V161" s="169"/>
      <c r="W161" s="169"/>
      <c r="X161" s="169"/>
    </row>
    <row r="162" spans="1:24" ht="17.25" customHeight="1" thickBot="1">
      <c r="B162" s="232"/>
      <c r="C162" s="214"/>
      <c r="D162" s="205" t="s">
        <v>195</v>
      </c>
      <c r="E162" s="233"/>
      <c r="F162" s="65"/>
      <c r="G162" s="77">
        <f>+H162*H159</f>
        <v>0</v>
      </c>
      <c r="H162" s="91"/>
      <c r="I162" s="7"/>
      <c r="J162" s="7"/>
      <c r="K162" s="7"/>
      <c r="L162" s="7"/>
      <c r="M162" s="169"/>
      <c r="N162" s="169"/>
      <c r="O162" s="169"/>
      <c r="P162" s="169"/>
      <c r="Q162" s="169"/>
      <c r="R162" s="169"/>
      <c r="S162" s="169"/>
      <c r="T162" s="169"/>
      <c r="U162" s="169"/>
      <c r="V162" s="169"/>
      <c r="W162" s="169"/>
      <c r="X162" s="169"/>
    </row>
    <row r="163" spans="1:24" ht="18.75" customHeight="1" thickBot="1">
      <c r="B163" s="132"/>
      <c r="C163" s="190" t="s">
        <v>385</v>
      </c>
      <c r="D163" s="210"/>
      <c r="E163" s="200"/>
      <c r="F163" s="53"/>
      <c r="G163" s="78">
        <f>G161+G162</f>
        <v>0</v>
      </c>
      <c r="H163" s="273"/>
      <c r="I163" s="7"/>
      <c r="J163" s="7"/>
      <c r="K163" s="7"/>
      <c r="L163" s="7"/>
      <c r="M163" s="169"/>
      <c r="N163" s="169"/>
      <c r="O163" s="169"/>
      <c r="P163" s="169"/>
      <c r="Q163" s="169"/>
      <c r="R163" s="169"/>
      <c r="S163" s="169"/>
      <c r="T163" s="169"/>
      <c r="U163" s="169"/>
      <c r="V163" s="169"/>
      <c r="W163" s="169"/>
      <c r="X163" s="169"/>
    </row>
    <row r="164" spans="1:24" ht="13.5" customHeight="1">
      <c r="A164" s="7"/>
      <c r="B164" s="7"/>
      <c r="C164" s="7"/>
      <c r="D164" s="7"/>
      <c r="E164" s="7"/>
      <c r="F164" s="7"/>
      <c r="G164" s="7"/>
      <c r="H164" s="7"/>
      <c r="I164" s="7"/>
      <c r="J164" s="7"/>
      <c r="K164" s="7"/>
      <c r="L164" s="7"/>
      <c r="M164" s="169"/>
      <c r="N164" s="169"/>
      <c r="O164" s="169"/>
      <c r="P164" s="169"/>
      <c r="Q164" s="169"/>
      <c r="R164" s="169"/>
      <c r="S164" s="169"/>
      <c r="T164" s="169"/>
      <c r="U164" s="169"/>
      <c r="V164" s="169"/>
      <c r="W164" s="169"/>
      <c r="X164" s="169"/>
    </row>
    <row r="165" spans="1:24" ht="15.75" customHeight="1" thickBot="1">
      <c r="A165" s="7"/>
      <c r="B165" s="7"/>
      <c r="C165" s="7"/>
      <c r="D165" s="7"/>
      <c r="E165" s="7"/>
      <c r="F165" s="7"/>
      <c r="G165" s="7"/>
      <c r="H165" s="7"/>
      <c r="I165" s="7"/>
      <c r="J165" s="7"/>
      <c r="K165" s="7"/>
      <c r="L165" s="7"/>
      <c r="M165" s="169"/>
      <c r="N165" s="169"/>
      <c r="O165" s="169"/>
      <c r="P165" s="169"/>
      <c r="Q165" s="169"/>
      <c r="R165" s="169"/>
      <c r="S165" s="169"/>
      <c r="T165" s="169"/>
      <c r="U165" s="169"/>
      <c r="V165" s="169"/>
      <c r="W165" s="169"/>
      <c r="X165" s="169"/>
    </row>
    <row r="166" spans="1:24" ht="25.5" customHeight="1">
      <c r="B166" s="236" t="s">
        <v>7237</v>
      </c>
      <c r="C166" s="206"/>
      <c r="D166" s="162"/>
      <c r="E166" s="219"/>
      <c r="F166" s="207"/>
      <c r="G166" s="237"/>
      <c r="H166" s="237"/>
      <c r="I166" s="162"/>
      <c r="J166" s="238"/>
      <c r="K166" s="7"/>
      <c r="L166" s="7"/>
      <c r="M166" s="169"/>
      <c r="N166" s="169"/>
      <c r="O166" s="169"/>
      <c r="P166" s="169"/>
      <c r="Q166" s="169"/>
      <c r="R166" s="169"/>
      <c r="S166" s="169"/>
      <c r="T166" s="169"/>
      <c r="U166" s="169"/>
      <c r="V166" s="169"/>
      <c r="W166" s="169"/>
      <c r="X166" s="169"/>
    </row>
    <row r="167" spans="1:24" ht="15.75" customHeight="1" thickBot="1">
      <c r="B167" s="239"/>
      <c r="C167" s="727" t="s">
        <v>411</v>
      </c>
      <c r="D167" s="240"/>
      <c r="E167" s="149"/>
      <c r="F167" s="241"/>
      <c r="G167" s="242"/>
      <c r="H167" s="242"/>
      <c r="I167" s="240"/>
      <c r="J167" s="243"/>
      <c r="K167" s="7"/>
      <c r="L167" s="7"/>
      <c r="M167" s="169"/>
      <c r="N167" s="169"/>
      <c r="O167" s="169"/>
      <c r="P167" s="169"/>
      <c r="Q167" s="169"/>
      <c r="R167" s="169"/>
      <c r="S167" s="169"/>
      <c r="T167" s="169"/>
      <c r="U167" s="169"/>
      <c r="V167" s="169"/>
      <c r="W167" s="169"/>
      <c r="X167" s="169"/>
    </row>
    <row r="168" spans="1:24" ht="107.25" customHeight="1" thickBot="1">
      <c r="B168" s="1594" t="s">
        <v>7238</v>
      </c>
      <c r="C168" s="1595"/>
      <c r="D168" s="1595"/>
      <c r="E168" s="1595"/>
      <c r="F168" s="1595"/>
      <c r="G168" s="1595"/>
      <c r="H168" s="1595"/>
      <c r="I168" s="1595"/>
      <c r="J168" s="1735"/>
      <c r="K168" s="7"/>
      <c r="L168" s="7"/>
      <c r="M168" s="169"/>
      <c r="N168" s="169"/>
      <c r="O168" s="169"/>
      <c r="P168" s="169"/>
      <c r="Q168" s="169"/>
      <c r="R168" s="169"/>
      <c r="S168" s="169"/>
      <c r="T168" s="169"/>
      <c r="U168" s="169"/>
      <c r="V168" s="169"/>
      <c r="W168" s="169"/>
      <c r="X168" s="169"/>
    </row>
    <row r="169" spans="1:24">
      <c r="A169" s="7"/>
      <c r="B169" s="7"/>
      <c r="C169" s="7"/>
      <c r="D169" s="7"/>
      <c r="E169" s="7"/>
      <c r="F169" s="7"/>
      <c r="G169" s="7"/>
      <c r="H169" s="7"/>
      <c r="I169" s="7"/>
      <c r="J169" s="7"/>
      <c r="K169" s="7"/>
      <c r="L169" s="7"/>
      <c r="M169" s="169"/>
      <c r="N169" s="169"/>
      <c r="O169" s="169"/>
      <c r="P169" s="169"/>
      <c r="Q169" s="169"/>
      <c r="R169" s="169"/>
      <c r="S169" s="169"/>
      <c r="T169" s="169"/>
      <c r="U169" s="169"/>
      <c r="V169" s="169"/>
      <c r="W169" s="169"/>
      <c r="X169" s="169"/>
    </row>
    <row r="170" spans="1:24" hidden="1">
      <c r="M170" s="169"/>
      <c r="N170" s="169"/>
      <c r="O170" s="169"/>
      <c r="P170" s="169"/>
      <c r="Q170" s="169"/>
      <c r="R170" s="169"/>
      <c r="S170" s="169"/>
      <c r="T170" s="169"/>
      <c r="U170" s="169"/>
      <c r="V170" s="169"/>
      <c r="W170" s="169"/>
      <c r="X170" s="169"/>
    </row>
    <row r="171" spans="1:24"/>
    <row r="172" spans="1:24"/>
    <row r="173" spans="1:24"/>
    <row r="174" spans="1:24"/>
    <row r="175" spans="1:24"/>
    <row r="176" spans="1:24"/>
    <row r="177"/>
    <row r="178"/>
    <row r="179"/>
    <row r="180"/>
    <row r="181"/>
    <row r="182"/>
    <row r="183"/>
    <row r="184"/>
    <row r="185"/>
    <row r="187"/>
    <row r="188"/>
    <row r="189"/>
    <row r="190"/>
    <row r="191"/>
    <row r="192"/>
    <row r="193"/>
    <row r="194"/>
    <row r="195"/>
    <row r="196"/>
    <row r="197"/>
    <row r="198"/>
    <row r="199"/>
    <row r="200"/>
    <row r="201"/>
    <row r="202"/>
    <row r="203"/>
    <row r="204"/>
    <row r="205"/>
    <row r="206"/>
    <row r="207"/>
    <row r="208"/>
    <row r="209"/>
    <row r="210"/>
    <row r="211"/>
    <row r="212"/>
    <row r="213"/>
    <row r="214"/>
    <row r="215"/>
  </sheetData>
  <mergeCells count="67">
    <mergeCell ref="G2:J2"/>
    <mergeCell ref="G4:H4"/>
    <mergeCell ref="G5:H5"/>
    <mergeCell ref="I11:J11"/>
    <mergeCell ref="I64:J64"/>
    <mergeCell ref="I15:J15"/>
    <mergeCell ref="I16:J16"/>
    <mergeCell ref="I12:J12"/>
    <mergeCell ref="I19:J19"/>
    <mergeCell ref="I20:J20"/>
    <mergeCell ref="I23:J23"/>
    <mergeCell ref="I30:J30"/>
    <mergeCell ref="I17:J17"/>
    <mergeCell ref="I65:J65"/>
    <mergeCell ref="I66:J66"/>
    <mergeCell ref="I67:J67"/>
    <mergeCell ref="B68:C70"/>
    <mergeCell ref="I68:J68"/>
    <mergeCell ref="I69:J69"/>
    <mergeCell ref="I70:J70"/>
    <mergeCell ref="B83:C84"/>
    <mergeCell ref="I83:J83"/>
    <mergeCell ref="I84:J84"/>
    <mergeCell ref="I71:J71"/>
    <mergeCell ref="I72:J72"/>
    <mergeCell ref="I73:J73"/>
    <mergeCell ref="B74:C77"/>
    <mergeCell ref="I74:J74"/>
    <mergeCell ref="I77:J77"/>
    <mergeCell ref="B78:C79"/>
    <mergeCell ref="I78:J78"/>
    <mergeCell ref="I79:J79"/>
    <mergeCell ref="I80:J80"/>
    <mergeCell ref="I82:J82"/>
    <mergeCell ref="I95:J95"/>
    <mergeCell ref="I96:J96"/>
    <mergeCell ref="I97:J97"/>
    <mergeCell ref="B99:C101"/>
    <mergeCell ref="I99:J99"/>
    <mergeCell ref="I100:J100"/>
    <mergeCell ref="I101:J101"/>
    <mergeCell ref="B105:C108"/>
    <mergeCell ref="I108:J108"/>
    <mergeCell ref="B109:C110"/>
    <mergeCell ref="I109:J109"/>
    <mergeCell ref="I110:J110"/>
    <mergeCell ref="I115:J115"/>
    <mergeCell ref="G120:J120"/>
    <mergeCell ref="G122:H122"/>
    <mergeCell ref="I103:J103"/>
    <mergeCell ref="I104:J104"/>
    <mergeCell ref="B54:C55"/>
    <mergeCell ref="B44:C47"/>
    <mergeCell ref="B49:C50"/>
    <mergeCell ref="B168:J168"/>
    <mergeCell ref="B32:C34"/>
    <mergeCell ref="G123:H123"/>
    <mergeCell ref="E126:F126"/>
    <mergeCell ref="I126:J126"/>
    <mergeCell ref="I142:J142"/>
    <mergeCell ref="B144:C146"/>
    <mergeCell ref="I144:J144"/>
    <mergeCell ref="I145:J145"/>
    <mergeCell ref="I146:J146"/>
    <mergeCell ref="I111:J111"/>
    <mergeCell ref="B114:C115"/>
    <mergeCell ref="I114:J114"/>
  </mergeCells>
  <conditionalFormatting sqref="F21">
    <cfRule type="expression" dxfId="25" priority="1">
      <formula>$O$4&lt;&gt;$O$5</formula>
    </cfRule>
  </conditionalFormatting>
  <conditionalFormatting sqref="F27">
    <cfRule type="expression" dxfId="24" priority="4">
      <formula>$O$4&lt;&gt;$O$5</formula>
    </cfRule>
  </conditionalFormatting>
  <conditionalFormatting sqref="F32:F34">
    <cfRule type="expression" dxfId="23" priority="6">
      <formula>$O$4=$O$5</formula>
    </cfRule>
  </conditionalFormatting>
  <conditionalFormatting sqref="F43:F51">
    <cfRule type="expression" dxfId="22" priority="3">
      <formula>$O$4=$O$5</formula>
    </cfRule>
  </conditionalFormatting>
  <conditionalFormatting sqref="F53:F55">
    <cfRule type="expression" dxfId="21" priority="2">
      <formula>$O$4=$O$5</formula>
    </cfRule>
  </conditionalFormatting>
  <conditionalFormatting sqref="F63 F68:F70 F99:F101 F144:F146">
    <cfRule type="expression" dxfId="20" priority="15">
      <formula>$O$4=$O$5</formula>
    </cfRule>
  </conditionalFormatting>
  <conditionalFormatting sqref="F65 F96 F142">
    <cfRule type="expression" dxfId="19" priority="13">
      <formula>$O$4&lt;&gt;$O$5</formula>
    </cfRule>
  </conditionalFormatting>
  <conditionalFormatting sqref="G27">
    <cfRule type="expression" dxfId="18" priority="5">
      <formula>$O$4&lt;&gt;$O$5</formula>
    </cfRule>
  </conditionalFormatting>
  <conditionalFormatting sqref="G68:G70 G99:G101 G144:G146">
    <cfRule type="expression" dxfId="17" priority="11">
      <formula>$O$4=$O$5</formula>
    </cfRule>
  </conditionalFormatting>
  <conditionalFormatting sqref="G65:H65 G96:H96 G142">
    <cfRule type="expression" dxfId="16" priority="14">
      <formula>$O$4&lt;&gt;$O$5</formula>
    </cfRule>
  </conditionalFormatting>
  <conditionalFormatting sqref="H68:H70 H99:H101">
    <cfRule type="expression" dxfId="15" priority="12">
      <formula>$O$4=$O$5</formula>
    </cfRule>
  </conditionalFormatting>
  <conditionalFormatting sqref="Q77:Q79">
    <cfRule type="expression" dxfId="14" priority="10">
      <formula>$O$4=$O$5</formula>
    </cfRule>
  </conditionalFormatting>
  <conditionalFormatting sqref="Q108:Q110">
    <cfRule type="expression" dxfId="13" priority="9">
      <formula>$O$4=$O$5</formula>
    </cfRule>
  </conditionalFormatting>
  <conditionalFormatting sqref="Q153:Q155">
    <cfRule type="expression" dxfId="12" priority="8">
      <formula>$O$4=$O$5</formula>
    </cfRule>
  </conditionalFormatting>
  <dataValidations count="58">
    <dataValidation type="decimal" allowBlank="1" showInputMessage="1" showErrorMessage="1" promptTitle="COMMISSIONING" prompt="Estimate anticipated building commissioning costs as a percentage of total SCL for Infrastructure." sqref="F154" xr:uid="{081C5325-722D-4DB0-AF5F-4E96A8B8AE6E}">
      <formula1>0</formula1>
      <formula2>1</formula2>
    </dataValidation>
    <dataValidation type="decimal" allowBlank="1" showInputMessage="1" showErrorMessage="1" promptTitle="COMMISSIONING" prompt="Enter project Commissioning fees as a percentage of the total SCL for renovation." sqref="F114 F154 F83 F54" xr:uid="{862D234C-8F67-4CBD-AD59-F94CF9B81D07}">
      <formula1>0</formula1>
      <formula2>1</formula2>
    </dataValidation>
    <dataValidation type="decimal" allowBlank="1" showInputMessage="1" showErrorMessage="1" promptTitle="CONTINGENCY" prompt="Enter project contingency as a percentage of total SCL for Infrastructure" sqref="F153" xr:uid="{AD016AE3-0D1B-4171-82BB-FF44F26A79BC}">
      <formula1>0</formula1>
      <formula2>1</formula2>
    </dataValidation>
    <dataValidation allowBlank="1" showInputMessage="1" showErrorMessage="1" promptTitle="CM FEES - PRECON AND BASE" prompt="Enter estimated CM Fees for preconstruction and construction services.  These fees are negotiated outside the Total for Construction cost figure." sqref="G144" xr:uid="{E524350B-6E21-431B-AED1-3FE884F71705}"/>
    <dataValidation allowBlank="1" showInputMessage="1" showErrorMessage="1" promptTitle="SURFACE PARK. BASE CONST COST" prompt="Enter estimated base construciton cost per surface parking space exclusive of other costs itemized below - provide summary info on cost allocation in narrative." sqref="H137" xr:uid="{56592831-2149-4093-BA57-F874C2B470E3}"/>
    <dataValidation allowBlank="1" showInputMessage="1" showErrorMessage="1" promptTitle="Demolition Unit Cost" prompt="Enter estimated total unit cost of Demolition per GSF of Bldg. #3 (including physical demolition, removal and disposal of non-hazardous materials, and site restoration)." sqref="J130" xr:uid="{B589BB9E-3B4B-4112-9F5D-E08A0C61D4F8}"/>
    <dataValidation allowBlank="1" showInputMessage="1" showErrorMessage="1" promptTitle="Demolition Unit Cost" prompt="Enter estimated total unit cost of Demolition per GSF of Bldg. #2 (including physical demolition, removal and disposal of non-hazardous materials, and site restoration)." sqref="J129" xr:uid="{BEDAE747-0D71-4BB3-ADE0-90162EE333D4}"/>
    <dataValidation allowBlank="1" showInputMessage="1" showErrorMessage="1" promptTitle="Demolition Unit Cost" prompt="Enter estimated total unit cost of Demolition per GSF of Bldg. #1 (including physical demolition, removal and disposal of non-hazardous materials, and site restoration)." sqref="J128" xr:uid="{8BF81A62-770C-43DD-ABD3-A8D1AF183504}"/>
    <dataValidation allowBlank="1" showInputMessage="1" showErrorMessage="1" promptTitle="Abatement Unit Cost" prompt="Enter estimated total unit cost of hazardous materials abatement per GSF of Bldg. #3 (including removal and disposal of hazardous materials)." sqref="I130" xr:uid="{EC7014DE-0C80-435C-AF84-D37A00E9735C}"/>
    <dataValidation allowBlank="1" showInputMessage="1" showErrorMessage="1" promptTitle="Abatement Unit Cost" prompt="Enter estimated total unit cost of hazardous materials abatement per GSF of Bldg. #2 (including removal and disposal of hazardous materials)." sqref="I129" xr:uid="{E63CF09D-4B33-4751-A121-ED86361F1D27}"/>
    <dataValidation allowBlank="1" showInputMessage="1" showErrorMessage="1" promptTitle="Abatement Unit Cost" prompt="Enter estimated total unit cost of hazardous materials abatement per GSF of Bldg. #1 (including removal and disposal of hazardous materials)." sqref="I128" xr:uid="{7194A490-3F41-4DA5-AE66-EF2FA5B59139}"/>
    <dataValidation type="decimal" allowBlank="1" showInputMessage="1" showErrorMessage="1" promptTitle="CONTINGENCY" prompt="Enter project contingency as a percentage of total SCL for renovation." sqref="F115 F84 F55" xr:uid="{F248AA1C-D1C3-420B-B311-233797A6FF94}">
      <formula1>0</formula1>
      <formula2>1</formula2>
    </dataValidation>
    <dataValidation type="decimal" allowBlank="1" showInputMessage="1" showErrorMessage="1" promptTitle="COMMISSIONING" prompt="Estimate anticipated building commissioning costs as a percentage of total SCL for renovation." sqref="F114 F83 F54" xr:uid="{4786C634-5FB7-49E9-A4D0-480D9F59A3DD}">
      <formula1>0</formula1>
      <formula2>1</formula2>
    </dataValidation>
    <dataValidation type="decimal" allowBlank="1" showInputMessage="1" showErrorMessage="1" promptTitle="Testing/Surveys" prompt="Estimate anticipated Testing and Survey costs as a percentage of total SCL for renovation." sqref="F111" xr:uid="{DADC3564-7207-469C-92E7-847ADC07534C}">
      <formula1>0</formula1>
      <formula2>1</formula2>
    </dataValidation>
    <dataValidation type="decimal" allowBlank="1" showInputMessage="1" showErrorMessage="1" promptTitle="A&amp;E - SPECIAL CONSULTANTS" prompt="Estimate anticipated A&amp;E special consultant fees outside basic services (energy, landscape, PEACH doc, AV/tech, etc. ) as a percentage of total SCL for renovation." sqref="F108" xr:uid="{073DB9B7-1948-4E5F-B669-168356E28BC3}">
      <formula1>0</formula1>
      <formula2>1</formula2>
    </dataValidation>
    <dataValidation type="decimal" allowBlank="1" showInputMessage="1" showErrorMessage="1" promptTitle="A&amp;E Construction Admin Services" prompt="Estimate anticipated A&amp;E fees for Construction Administration as a percentage of total SCL for renovation." sqref="F107" xr:uid="{26536D2C-3A5E-4D7B-A7E6-322887F72FD2}">
      <formula1>0</formula1>
      <formula2>1</formula2>
    </dataValidation>
    <dataValidation type="decimal" allowBlank="1" showInputMessage="1" showErrorMessage="1" promptTitle="A&amp;E Design Services" prompt="Estimate anticipated A&amp;E fees for design (including reimbursables) as a percentage of the SCL for renovation." sqref="F106" xr:uid="{6119E4A5-A6CD-4E85-A130-B7929E29DA6A}">
      <formula1>0</formula1>
      <formula2>1</formula2>
    </dataValidation>
    <dataValidation type="decimal" allowBlank="1" showInputMessage="1" showErrorMessage="1" promptTitle="Project Oversight" prompt="Estimate anticipated Project Oversight fees (Program Management, RCI, Cost Estimating and related project inspection fees) as a percentage of total renovation SCL." sqref="F105" xr:uid="{69BB56A0-86B2-40BD-9535-17E03C94C456}">
      <formula1>0</formula1>
      <formula2>1</formula2>
    </dataValidation>
    <dataValidation allowBlank="1" showInputMessage="1" showErrorMessage="1" promptTitle="ABATEMENT RESERVE - RENOVATION" prompt="Enter a cost reserve for abating hazardous materials within the buildings being renovated._x000a_" sqref="H98 H21 H31:H33" xr:uid="{6669DD9B-488C-409F-90DE-4853FFEC7ED3}"/>
    <dataValidation allowBlank="1" showInputMessage="1" showErrorMessage="1" promptTitle="BASE UNIT COST- RENOVATION" prompt="Enter the estimated base unit construction cost per GSF of building area proposed for renovation in Building #3.  This cost does not include other costs itemized below._x000a_" sqref="H92 H17" xr:uid="{594C39FE-E3D1-4D9A-8D58-33CCE875DF5E}"/>
    <dataValidation allowBlank="1" showInputMessage="1" showErrorMessage="1" promptTitle="BASE UNIT COST- RENOVATION" prompt="Enter the estimated base unit construction cost per GSF of building area proposed for renovation in Building #2.  This cost does not include other costs itemized below._x000a_" sqref="H91 H16" xr:uid="{CF432B42-4E80-4178-B555-5736C8149155}"/>
    <dataValidation type="decimal" allowBlank="1" showInputMessage="1" showErrorMessage="1" promptTitle="A&amp;E Construction Admin Services" prompt="Estimate anticipated A&amp;E fees for Construction Administration as a percentage of total new construction SCL." sqref="F76" xr:uid="{FB921267-6373-4948-9148-7BFFDA22B9DF}">
      <formula1>0</formula1>
      <formula2>1</formula2>
    </dataValidation>
    <dataValidation type="decimal" allowBlank="1" showInputMessage="1" showErrorMessage="1" promptTitle="Project Oversight" prompt="Estimate anticipated Project Oversight fees (Program Management, RCI, Cost Estimating and related project inspection fees) as a percentage of total new construction SCL." sqref="F74" xr:uid="{C46DF35E-E9CE-4284-B3DC-7D8496F0267E}">
      <formula1>0</formula1>
      <formula2>1</formula2>
    </dataValidation>
    <dataValidation type="decimal" allowBlank="1" showInputMessage="1" showErrorMessage="1" promptTitle="A&amp;E Design Services" prompt="Estimate anticipated A&amp;E fees for design (including reimbursables) as a percentage of the SCL for new construction." sqref="F75" xr:uid="{07C199F1-A5CD-4984-8771-758780D56DF6}">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infrastructure SCL" sqref="F149" xr:uid="{3893D6C8-2CA4-4953-880A-FBA240E8DAC8}">
      <formula1>0</formula1>
      <formula2>1</formula2>
    </dataValidation>
    <dataValidation type="decimal" allowBlank="1" showInputMessage="1" showErrorMessage="1" promptTitle="Testing/Surveys" prompt="Estimate anticipated Testing and Survey costs as a percentage of total infrastructure SCL" sqref="F151" xr:uid="{12D74FC3-4950-4D0D-AF00-58AB244FA209}">
      <formula1>0</formula1>
      <formula2>1</formula2>
    </dataValidation>
    <dataValidation allowBlank="1" showInputMessage="1" showErrorMessage="1" promptTitle="CM FEES - CM Fee" prompt="Enter estimated CM Fee.  These fees are negotiated with the selected CM outside the Total for Construction cost figure." sqref="G145" xr:uid="{43997DF8-6B21-4A8F-9A89-235A803611E2}"/>
    <dataValidation type="decimal" allowBlank="1" showInputMessage="1" showErrorMessage="1" promptTitle="A&amp;E - Total Services" prompt="Estimate anticipated TOTAL A&amp;E fees (including programming, design, construction administration, CDs, CA, etc.) as a percentage of total infrastructure SCL" sqref="F150" xr:uid="{E3B9B68A-F0D6-4E71-978C-18AC26F6E94B}">
      <formula1>0</formula1>
      <formula2>1</formula2>
    </dataValidation>
    <dataValidation type="list" allowBlank="1" showInputMessage="1" showErrorMessage="1" promptTitle="PHASE OF DEMOLITION" prompt="Choose the project funding phase that demoltion activities are expected to occur and require funding." sqref="G126" xr:uid="{DB14FD18-D9C5-462B-A99D-A13D3609E220}">
      <formula1>$W$89:$Y$89</formula1>
    </dataValidation>
    <dataValidation allowBlank="1" showInputMessage="1" showErrorMessage="1" promptTitle="CM FEES - PRECON AND BASE" prompt="Enter estimated CM Fees for preconstruction and construction services. These are negotiated with the CM outside the Total for Construction cost figure." sqref="G68" xr:uid="{EF47776C-AD14-4EF6-BE8D-20CB4AC02BF2}"/>
    <dataValidation allowBlank="1" showInputMessage="1" showErrorMessage="1" promptTitle="CM FEES - CM FEE" prompt="Enter estimated CM Fee. This fee is negotiated with the CM outside the Total for Construction cost figure." sqref="G69 G100" xr:uid="{358E048B-C17D-4744-B2A2-25AE0DC59FE5}"/>
    <dataValidation allowBlank="1" showInputMessage="1" showErrorMessage="1" promptTitle="&quot;OTHER&quot; INFRAST. CONST. COST" prompt="Enter the estimated construction cost of proposed &quot;Other&quot; Infrastucture project components exclusive of other costs itemized below.  Provide summary narrative on cost and allocation in narrative box below." sqref="G141 J26" xr:uid="{49A41ED7-BEE2-4542-A732-10C600608E36}"/>
    <dataValidation type="decimal" allowBlank="1" showInputMessage="1" showErrorMessage="1" promptTitle="GENERAL CONDITIONS (DBB/DB)" prompt="To estimate General Conditions for DBB/DB projects, enter as a percentage of Total For Construction (net GC costs).  In the actual project budget, these costs are typically contained within the base contractor bid." sqref="F96 F65 F142 F27" xr:uid="{F0D24D34-2E41-4485-A460-BEE5AA36B332}">
      <formula1>0</formula1>
      <formula2>1</formula2>
    </dataValidation>
    <dataValidation allowBlank="1" showInputMessage="1" showErrorMessage="1" promptTitle="CM FEES - GENERAL CONDITIONS" prompt="Enter estimated CM Fees for General Conditions.  These fees are negotiated with the selected CM outside the Total for Construction cost figure." sqref="G70 G101 G146" xr:uid="{D81FDB4C-383A-4C4A-9A2C-577154656072}"/>
    <dataValidation allowBlank="1" showInputMessage="1" showErrorMessage="1" promptTitle="CM FEES - PRECON AND BASE" prompt="Enter estimated CM Fees for preconstruction and construction services." sqref="G99" xr:uid="{958F79F0-926A-4AFD-9248-53BB22A639A7}"/>
    <dataValidation allowBlank="1" showInputMessage="1" showErrorMessage="1" promptTitle="SITE PREP / SUBSURFACE RESERVES" prompt="Enter, in dollars, estimated amounts for anticipated site preparation costs or reserves for addressing subsurface conditions" sqref="G67 G30" xr:uid="{17BD2D8A-6CB4-4ADB-A082-12F5CF351E78}"/>
    <dataValidation allowBlank="1" showInputMessage="1" showErrorMessage="1" promptTitle="UTILITY INFRASTRUCTURE CONST. CO" prompt="Enter the estimated construction cost of proposed Utility Infrastucture project components exclusive of costs itemized below.  Provide summary narrative on cost and allocation in narrative box below." sqref="G140 I26" xr:uid="{53AB5D0B-2E09-4B35-AE5E-18C99A81E289}"/>
    <dataValidation allowBlank="1" showInputMessage="1" showErrorMessage="1" promptTitle="STRUCT. PARK. BASE CONST COST" prompt="Enter estimated base construciton cost per structured parking space exclusive of other costs itemized below - provide summary info on cost allocation in narrative." sqref="H136" xr:uid="{2008FCA8-0CF0-451A-A495-D1E549C3DFA1}"/>
    <dataValidation allowBlank="1" showInputMessage="1" showErrorMessage="1" promptTitle="MECHANICAL INF CONST. COST" prompt="Enter the estimated construction cost of proposed Mechanical Infrastucture project components.  Provide summary narrative on cost and allocation in narrative box below." sqref="G139 H26" xr:uid="{AAAA53EA-222D-4626-950D-4E291A1D1AC3}"/>
    <dataValidation type="decimal" allowBlank="1" showInputMessage="1" showErrorMessage="1" promptTitle="OTHER SPECIAL COSTS" prompt="Estimate any other anticipated non-design related special soft costs (i.e. permits, licenses) as a percentage of total renovation construction cost" sqref="F115 F84 F55" xr:uid="{381178B3-0008-4273-9029-835AF265C091}">
      <formula1>0</formula1>
      <formula2>1</formula2>
    </dataValidation>
    <dataValidation type="decimal" allowBlank="1" showInputMessage="1" showErrorMessage="1" promptTitle="CONTINGENCY" prompt="Enter project contingency as a percentage of total renvovation construction cost" sqref="F113" xr:uid="{6B2042A8-AC51-4721-A3C6-2A7F5C5FE032}">
      <formula1>0</formula1>
      <formula2>1</formula2>
    </dataValidation>
    <dataValidation type="decimal" allowBlank="1" showInputMessage="1" showErrorMessage="1" promptTitle="FF&amp;E - AV/Technology Equipment" prompt="Estimate anticipated AV/Technology Equipment costs as a percentage of total renovation construction cost.  NOTE - building data and technology infrastructure are estimated above as part of total construction cost" sqref="F110" xr:uid="{0200A3FB-6AFC-486B-B4CA-58EDE6542486}">
      <formula1>0</formula1>
      <formula2>1.2</formula2>
    </dataValidation>
    <dataValidation type="decimal" allowBlank="1" showInputMessage="1" showErrorMessage="1" promptTitle="FF&amp;E - Loose Equipment" prompt="Estimate anticipated loose equipment costs as a percentage of total renovation construction cost. This does not include AV/Technology equipment which is itemized below." sqref="F109" xr:uid="{82654034-9E0A-4D5D-8579-FC2CEE8D7317}">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renovation SCL." sqref="F104 F43:F51" xr:uid="{C7FB0CCD-22C0-41E1-B6A7-166F5505949F}">
      <formula1>0</formula1>
      <formula2>1</formula2>
    </dataValidation>
    <dataValidation type="decimal" allowBlank="1" showInputMessage="1" showErrorMessage="1" promptTitle="BLDG. DATA/TECH INFRASTRUCTURE" prompt="Estimate the cost of Data and Technology Infrastructure (within the proposed building(s)) as a percentage of the base renovation construction cost of all buildings proposed for renovation (AV/Tech Equipment is entered later as a soft cost component)" sqref="F95" xr:uid="{3E74B062-C920-43EE-9634-FE939B742DB9}">
      <formula1>0</formula1>
      <formula2>1</formula2>
    </dataValidation>
    <dataValidation allowBlank="1" showInputMessage="1" showErrorMessage="1" promptTitle="BASE UNIT COST- RENOVATION" prompt="Enter the estimated base unit construction cost per GSF of building area proposed for renovation in Building #3_x000a_" sqref="G98 H93 H18 G21 G31:G33" xr:uid="{43034438-95AD-4EE3-9348-F9ADBE17A700}"/>
    <dataValidation allowBlank="1" showInputMessage="1" showErrorMessage="1" promptTitle="BASE UNIT COST- RENOVATION" prompt="Enter the estimated base unit construction cost per GSF of building area proposed for renovation in Building #1.  This cost does not include other costs itemized below._x000a_" sqref="H90 H15" xr:uid="{148C1EF4-0E39-402C-9C15-1A7DCB7AC2F3}"/>
    <dataValidation type="decimal" allowBlank="1" showInputMessage="1" showErrorMessage="1" promptTitle="FFE - AV/Technology Equipment" prompt="Estimate anticipated AV/Technology Equipment costs as a percentage of total new construction cost.  NOTE - building data and technology infrastructure are estimated above as part of total construction cost" sqref="F79" xr:uid="{D40F3BCD-68E8-4CB8-A6DB-F7019AA1D969}">
      <formula1>0</formula1>
      <formula2>1</formula2>
    </dataValidation>
    <dataValidation type="decimal" allowBlank="1" showInputMessage="1" showErrorMessage="1" promptTitle="Testing/Surveys" prompt="Estimate anticipated Testing and Survey costs as a percentage of total new construction cost" sqref="F80" xr:uid="{4EC21702-AB8F-4D13-BF52-FF1735C19AF3}">
      <formula1>0</formula1>
      <formula2>1</formula2>
    </dataValidation>
    <dataValidation type="decimal" allowBlank="1" showInputMessage="1" showErrorMessage="1" promptTitle="A&amp;E - SPECIAL CONSULTANTS" prompt="Estimate anticipated A&amp;E special consultant fees outside basic services (energy, landscape, PEACH doc, AV/tech, etc. ) as a percentage of total new construction SCL" sqref="F77" xr:uid="{31D44410-8111-4909-90F1-AD3156657D75}">
      <formula1>0</formula1>
      <formula2>1</formula2>
    </dataValidation>
    <dataValidation type="decimal" allowBlank="1" showInputMessage="1" showErrorMessage="1" promptTitle="Project Oversight" prompt="Estimate anticipated Program Management, RCI, and Cost Estimating and related project inspection fees as a percentage of total new construction cost." sqref="F73" xr:uid="{3A0727C1-87C1-4602-B0D7-73749082BA6A}">
      <formula1>0</formula1>
      <formula2>1</formula2>
    </dataValidation>
    <dataValidation type="decimal" allowBlank="1" showInputMessage="1" showErrorMessage="1" promptTitle="BLDG. DATA/TECH INFRASTRUCTURE" prompt="Estimate the cost of Data and Technology Infrastructure (within the proposed building) as a percentage of the base new construction cost (AV/Tech Equipment is entered later as a soft cost component)" sqref="F64 F66:F67 F30 F20:F23" xr:uid="{19BE011A-2BD8-4EE4-8C70-4A163B533CFF}">
      <formula1>0</formula1>
      <formula2>1</formula2>
    </dataValidation>
    <dataValidation type="decimal" allowBlank="1" showInputMessage="1" showErrorMessage="1" promptTitle="CONTINGENCY" prompt="Enter project contingency as a percentage of total new construction cost" sqref="F82 F53" xr:uid="{057E887D-DD34-4D0E-BF68-432CB48F2F8C}">
      <formula1>0</formula1>
      <formula2>1</formula2>
    </dataValidation>
    <dataValidation type="decimal" allowBlank="1" showInputMessage="1" showErrorMessage="1" promptTitle="FF&amp;E - Loose Equipment" prompt="Estimate anticipated loose equipment costs as a percentage of total new construction cost.  This does not include AV/Technology equipment which is itemized below." sqref="F78" xr:uid="{896CC942-D5DD-4573-AF34-76C121EAF7F4}">
      <formula1>0</formula1>
      <formula2>1</formula2>
    </dataValidation>
    <dataValidation allowBlank="1" showInputMessage="1" showErrorMessage="1" promptTitle="BUILDING UNIT COST (Per GSF)" prompt="Ente estimated total building acquisition cost per GSF" sqref="H162" xr:uid="{B75770D0-80AB-46F3-A3C9-524A4C3377AF}"/>
    <dataValidation allowBlank="1" showInputMessage="1" showErrorMessage="1" promptTitle="LAND UNIT COST (Per Acre)" prompt="Enter estimated total land acquisition cost per acre" sqref="H161" xr:uid="{4A7E00AC-EB2B-4602-9F08-EE7849CB5B21}"/>
    <dataValidation type="textLength" allowBlank="1" showInputMessage="1" showErrorMessage="1" promptTitle="PROJECT COST NARRATIVE" prompt="Enter text describing project costs and explaining any high cost elements that are noted within the template (maximum length 1,200 characters)" sqref="B168:I168" xr:uid="{37CAFFD3-6B52-4F80-9209-41D8BC458197}">
      <formula1>0</formula1>
      <formula2>1200</formula2>
    </dataValidation>
    <dataValidation allowBlank="1" showInputMessage="1" showErrorMessage="1" promptTitle="BASE UNIT COST- NEW CONSTRUCTION" prompt="Enter the estimated base unit construction cost per GSF of proposed new building area. This cost does not include all other costs itemized below" sqref="H19 H12 I42 H29:J29 I52:I53 H34:H41 H63 I32:J41" xr:uid="{663F57E9-8C71-490C-B432-B27A4DDDFCDE}"/>
  </dataValidations>
  <pageMargins left="0.2" right="0.2" top="0.25" bottom="0.25" header="0.3" footer="0.3"/>
  <pageSetup paperSize="5" scale="86" fitToHeight="0" orientation="portrait" horizontalDpi="300" verticalDpi="300" r:id="rId1"/>
  <headerFooter alignWithMargins="0"/>
  <rowBreaks count="1" manualBreakCount="1">
    <brk id="117"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3596"/>
  <sheetViews>
    <sheetView workbookViewId="0"/>
  </sheetViews>
  <sheetFormatPr defaultColWidth="9.140625" defaultRowHeight="12.75"/>
  <cols>
    <col min="1" max="1" width="15.85546875" customWidth="1"/>
    <col min="2" max="2" width="33.140625" customWidth="1"/>
    <col min="3" max="5" width="9.140625" customWidth="1"/>
    <col min="6" max="6" width="28.85546875" customWidth="1"/>
    <col min="7" max="11" width="9.140625" customWidth="1"/>
    <col min="12" max="12" width="6.7109375" customWidth="1"/>
    <col min="14" max="14" width="38.5703125" customWidth="1"/>
    <col min="15" max="15" width="23" customWidth="1"/>
    <col min="17" max="18" width="6.85546875" customWidth="1"/>
    <col min="19" max="16383" width="9.140625" customWidth="1"/>
  </cols>
  <sheetData>
    <row r="1" spans="1:17">
      <c r="A1" s="3" t="s">
        <v>6687</v>
      </c>
      <c r="B1" s="3" t="s">
        <v>6688</v>
      </c>
      <c r="C1" t="s">
        <v>439</v>
      </c>
      <c r="D1" t="s">
        <v>466</v>
      </c>
      <c r="E1" t="s">
        <v>467</v>
      </c>
      <c r="F1" t="s">
        <v>468</v>
      </c>
      <c r="G1" t="s">
        <v>469</v>
      </c>
      <c r="H1" t="s">
        <v>470</v>
      </c>
      <c r="I1" t="s">
        <v>471</v>
      </c>
      <c r="J1" t="s">
        <v>472</v>
      </c>
      <c r="K1" t="s">
        <v>6659</v>
      </c>
      <c r="L1" t="s">
        <v>6690</v>
      </c>
      <c r="M1" t="s">
        <v>7814</v>
      </c>
      <c r="N1" s="3" t="s">
        <v>7245</v>
      </c>
      <c r="O1" s="3" t="s">
        <v>7244</v>
      </c>
      <c r="P1" s="3" t="s">
        <v>6688</v>
      </c>
      <c r="Q1" s="3" t="s">
        <v>7160</v>
      </c>
    </row>
    <row r="2" spans="1:17">
      <c r="A2" t="str">
        <f t="shared" ref="A2:A66" si="0">_xlfn.CONCAT(D2,"_",E2)</f>
        <v>GIT_0002</v>
      </c>
      <c r="B2" t="str">
        <f>_xlfn.CONCAT(D2,"_",F2)</f>
        <v>GIT_Skiles</v>
      </c>
      <c r="C2" t="s">
        <v>440</v>
      </c>
      <c r="D2" s="180" t="s">
        <v>28</v>
      </c>
      <c r="E2" t="s">
        <v>769</v>
      </c>
      <c r="F2" t="s">
        <v>770</v>
      </c>
      <c r="G2" s="180">
        <v>139915</v>
      </c>
      <c r="H2">
        <v>1959</v>
      </c>
      <c r="I2">
        <v>1995</v>
      </c>
      <c r="J2" s="1334" t="s">
        <v>475</v>
      </c>
      <c r="K2" s="1335" t="s">
        <v>1520</v>
      </c>
      <c r="L2" s="180">
        <v>100</v>
      </c>
      <c r="M2" t="s">
        <v>88</v>
      </c>
      <c r="N2" t="str">
        <f>_xlfn.CONCAT(F2," (",E2,")")</f>
        <v>Skiles (0002)</v>
      </c>
      <c r="O2" t="s">
        <v>43</v>
      </c>
      <c r="P2" t="str">
        <f>_xlfn.CONCAT(C2,"_",E2)</f>
        <v>03000_0002</v>
      </c>
      <c r="Q2" s="180">
        <v>100</v>
      </c>
    </row>
    <row r="3" spans="1:17">
      <c r="A3" t="str">
        <f t="shared" si="0"/>
        <v>GIT_0003</v>
      </c>
      <c r="B3" t="str">
        <f t="shared" ref="B3:B66" si="1">_xlfn.CONCAT(D3,"_",F3)</f>
        <v>GIT_Alumni House</v>
      </c>
      <c r="C3" t="s">
        <v>440</v>
      </c>
      <c r="D3" s="180" t="s">
        <v>28</v>
      </c>
      <c r="E3" t="s">
        <v>524</v>
      </c>
      <c r="F3" t="s">
        <v>525</v>
      </c>
      <c r="G3" s="180">
        <v>25645</v>
      </c>
      <c r="H3">
        <v>1911</v>
      </c>
      <c r="I3">
        <v>1979</v>
      </c>
      <c r="J3" s="1334" t="s">
        <v>475</v>
      </c>
      <c r="K3" s="1335" t="s">
        <v>475</v>
      </c>
      <c r="L3" s="180">
        <v>50</v>
      </c>
      <c r="M3" t="s">
        <v>88</v>
      </c>
      <c r="N3" t="str">
        <f t="shared" ref="N3:N66" si="2">_xlfn.CONCAT(F3," (",E3,")")</f>
        <v>Alumni House (0003)</v>
      </c>
      <c r="O3" t="s">
        <v>43</v>
      </c>
      <c r="P3" t="str">
        <f t="shared" ref="P3:P66" si="3">_xlfn.CONCAT(C3,"_",E3)</f>
        <v>03000_0003</v>
      </c>
      <c r="Q3" s="180">
        <v>0</v>
      </c>
    </row>
    <row r="4" spans="1:17">
      <c r="A4" t="str">
        <f t="shared" si="0"/>
        <v>GIT_0006</v>
      </c>
      <c r="B4" t="str">
        <f t="shared" si="1"/>
        <v>GIT_Smith Res Hall</v>
      </c>
      <c r="C4" t="s">
        <v>440</v>
      </c>
      <c r="D4" s="180" t="s">
        <v>28</v>
      </c>
      <c r="E4" t="s">
        <v>855</v>
      </c>
      <c r="F4" t="s">
        <v>856</v>
      </c>
      <c r="G4" s="180">
        <v>63848</v>
      </c>
      <c r="H4">
        <v>1947</v>
      </c>
      <c r="I4">
        <v>1993</v>
      </c>
      <c r="J4" s="1334" t="s">
        <v>475</v>
      </c>
      <c r="K4" s="1335" t="s">
        <v>475</v>
      </c>
      <c r="L4" s="180">
        <v>1</v>
      </c>
      <c r="M4" t="s">
        <v>88</v>
      </c>
      <c r="N4" t="str">
        <f t="shared" si="2"/>
        <v>Smith Res Hall (0006)</v>
      </c>
      <c r="O4" t="s">
        <v>43</v>
      </c>
      <c r="P4" t="str">
        <f t="shared" si="3"/>
        <v>03000_0006</v>
      </c>
      <c r="Q4" s="180">
        <v>0</v>
      </c>
    </row>
    <row r="5" spans="1:17">
      <c r="A5" t="str">
        <f t="shared" si="0"/>
        <v>GIT_0007</v>
      </c>
      <c r="B5" t="str">
        <f t="shared" si="1"/>
        <v>GIT_Brown Res Hall</v>
      </c>
      <c r="C5" t="s">
        <v>440</v>
      </c>
      <c r="D5" s="180" t="s">
        <v>28</v>
      </c>
      <c r="E5" t="s">
        <v>872</v>
      </c>
      <c r="F5" t="s">
        <v>873</v>
      </c>
      <c r="G5" s="180">
        <v>17423</v>
      </c>
      <c r="H5">
        <v>1925</v>
      </c>
      <c r="I5">
        <v>1993</v>
      </c>
      <c r="J5" s="1334" t="s">
        <v>475</v>
      </c>
      <c r="K5" s="1335" t="s">
        <v>475</v>
      </c>
      <c r="L5" s="180">
        <v>1</v>
      </c>
      <c r="M5" t="s">
        <v>88</v>
      </c>
      <c r="N5" t="str">
        <f t="shared" si="2"/>
        <v>Brown Res Hall (0007)</v>
      </c>
      <c r="O5" t="s">
        <v>43</v>
      </c>
      <c r="P5" t="str">
        <f t="shared" si="3"/>
        <v>03000_0007</v>
      </c>
      <c r="Q5" s="180">
        <v>100</v>
      </c>
    </row>
    <row r="6" spans="1:17">
      <c r="A6" t="str">
        <f t="shared" si="0"/>
        <v>GIT_0008</v>
      </c>
      <c r="B6" t="str">
        <f t="shared" si="1"/>
        <v>GIT_Peters Parkng Dk</v>
      </c>
      <c r="C6" t="s">
        <v>440</v>
      </c>
      <c r="D6" s="180" t="s">
        <v>28</v>
      </c>
      <c r="E6" t="s">
        <v>904</v>
      </c>
      <c r="F6" t="s">
        <v>905</v>
      </c>
      <c r="G6" s="180">
        <v>180307</v>
      </c>
      <c r="H6">
        <v>1986</v>
      </c>
      <c r="J6" s="1334" t="s">
        <v>475</v>
      </c>
      <c r="K6" s="1335" t="s">
        <v>486</v>
      </c>
      <c r="L6" s="180">
        <v>0</v>
      </c>
      <c r="M6" t="s">
        <v>88</v>
      </c>
      <c r="N6" t="str">
        <f t="shared" si="2"/>
        <v>Peters Parkng Dk (0008)</v>
      </c>
      <c r="O6" t="s">
        <v>43</v>
      </c>
      <c r="P6" t="str">
        <f t="shared" si="3"/>
        <v>03000_0008</v>
      </c>
      <c r="Q6" s="180">
        <v>100</v>
      </c>
    </row>
    <row r="7" spans="1:17">
      <c r="A7" t="str">
        <f t="shared" si="0"/>
        <v>GIT_0009</v>
      </c>
      <c r="B7" t="str">
        <f t="shared" si="1"/>
        <v>GIT_Burge Parking Dk</v>
      </c>
      <c r="C7" t="s">
        <v>440</v>
      </c>
      <c r="D7" s="180" t="s">
        <v>28</v>
      </c>
      <c r="E7" t="s">
        <v>502</v>
      </c>
      <c r="F7" t="s">
        <v>503</v>
      </c>
      <c r="G7" s="180">
        <v>56064</v>
      </c>
      <c r="H7">
        <v>1989</v>
      </c>
      <c r="J7" s="1334" t="s">
        <v>475</v>
      </c>
      <c r="K7" s="1335" t="s">
        <v>486</v>
      </c>
      <c r="L7" s="180">
        <v>0</v>
      </c>
      <c r="M7" t="s">
        <v>88</v>
      </c>
      <c r="N7" t="str">
        <f t="shared" si="2"/>
        <v>Burge Parking Dk (0009)</v>
      </c>
      <c r="O7" t="s">
        <v>43</v>
      </c>
      <c r="P7" t="str">
        <f t="shared" si="3"/>
        <v>03000_0009</v>
      </c>
      <c r="Q7" s="180">
        <v>100</v>
      </c>
    </row>
    <row r="8" spans="1:17">
      <c r="A8" t="str">
        <f t="shared" si="0"/>
        <v>GIT_0010</v>
      </c>
      <c r="B8" t="str">
        <f t="shared" si="1"/>
        <v>GIT_Howell Res. Hall</v>
      </c>
      <c r="C8" t="s">
        <v>440</v>
      </c>
      <c r="D8" s="180" t="s">
        <v>28</v>
      </c>
      <c r="E8" t="s">
        <v>815</v>
      </c>
      <c r="F8" t="s">
        <v>816</v>
      </c>
      <c r="G8" s="180">
        <v>23933</v>
      </c>
      <c r="H8">
        <v>1939</v>
      </c>
      <c r="I8">
        <v>1999</v>
      </c>
      <c r="J8" s="1334" t="s">
        <v>475</v>
      </c>
      <c r="K8" s="1335" t="s">
        <v>475</v>
      </c>
      <c r="L8" s="180">
        <v>1</v>
      </c>
      <c r="M8" t="s">
        <v>88</v>
      </c>
      <c r="N8" t="str">
        <f t="shared" si="2"/>
        <v>Howell Res. Hall (0010)</v>
      </c>
      <c r="O8" t="s">
        <v>43</v>
      </c>
      <c r="P8" t="str">
        <f t="shared" si="3"/>
        <v>03000_0010</v>
      </c>
      <c r="Q8" s="180">
        <v>100</v>
      </c>
    </row>
    <row r="9" spans="1:17">
      <c r="A9" t="str">
        <f t="shared" si="0"/>
        <v>GIT_0011</v>
      </c>
      <c r="B9" t="str">
        <f t="shared" si="1"/>
        <v>GIT_Harris Res. Hall</v>
      </c>
      <c r="C9" t="s">
        <v>440</v>
      </c>
      <c r="D9" s="180" t="s">
        <v>28</v>
      </c>
      <c r="E9" t="s">
        <v>504</v>
      </c>
      <c r="F9" t="s">
        <v>505</v>
      </c>
      <c r="G9" s="180">
        <v>25558</v>
      </c>
      <c r="H9">
        <v>1926</v>
      </c>
      <c r="I9">
        <v>1992</v>
      </c>
      <c r="J9" s="1334" t="s">
        <v>475</v>
      </c>
      <c r="K9" s="1335" t="s">
        <v>475</v>
      </c>
      <c r="L9" s="180">
        <v>1</v>
      </c>
      <c r="M9" t="s">
        <v>88</v>
      </c>
      <c r="N9" t="str">
        <f t="shared" si="2"/>
        <v>Harris Res. Hall (0011)</v>
      </c>
      <c r="O9" t="s">
        <v>43</v>
      </c>
      <c r="P9" t="str">
        <f t="shared" si="3"/>
        <v>03000_0011</v>
      </c>
      <c r="Q9" s="180">
        <v>100</v>
      </c>
    </row>
    <row r="10" spans="1:17">
      <c r="A10" t="str">
        <f t="shared" si="0"/>
        <v>GIT_0012</v>
      </c>
      <c r="B10" t="str">
        <f t="shared" si="1"/>
        <v>GIT_Brittain Dining</v>
      </c>
      <c r="C10" t="s">
        <v>440</v>
      </c>
      <c r="D10" s="180" t="s">
        <v>28</v>
      </c>
      <c r="E10" t="s">
        <v>698</v>
      </c>
      <c r="F10" t="s">
        <v>699</v>
      </c>
      <c r="G10" s="180">
        <v>19986</v>
      </c>
      <c r="H10">
        <v>1928</v>
      </c>
      <c r="I10">
        <v>2001</v>
      </c>
      <c r="J10" s="1334" t="s">
        <v>475</v>
      </c>
      <c r="K10" s="1335" t="s">
        <v>475</v>
      </c>
      <c r="L10" s="180">
        <v>10</v>
      </c>
      <c r="M10" t="s">
        <v>88</v>
      </c>
      <c r="N10" t="str">
        <f t="shared" si="2"/>
        <v>Brittain Dining (0012)</v>
      </c>
      <c r="O10" t="s">
        <v>43</v>
      </c>
      <c r="P10" t="str">
        <f t="shared" si="3"/>
        <v>03000_0012</v>
      </c>
      <c r="Q10" s="180">
        <v>100</v>
      </c>
    </row>
    <row r="11" spans="1:17">
      <c r="A11" t="str">
        <f t="shared" si="0"/>
        <v>GIT_0013</v>
      </c>
      <c r="B11" t="str">
        <f t="shared" si="1"/>
        <v>GIT_Cloudman Res Hal</v>
      </c>
      <c r="C11" t="s">
        <v>440</v>
      </c>
      <c r="D11" s="180" t="s">
        <v>28</v>
      </c>
      <c r="E11" t="s">
        <v>490</v>
      </c>
      <c r="F11" t="s">
        <v>491</v>
      </c>
      <c r="G11" s="180">
        <v>25075</v>
      </c>
      <c r="H11">
        <v>1931</v>
      </c>
      <c r="I11">
        <v>1995</v>
      </c>
      <c r="J11" s="1334" t="s">
        <v>475</v>
      </c>
      <c r="K11" s="1335" t="s">
        <v>475</v>
      </c>
      <c r="L11" s="180">
        <v>1</v>
      </c>
      <c r="M11" t="s">
        <v>88</v>
      </c>
      <c r="N11" t="str">
        <f t="shared" si="2"/>
        <v>Cloudman Res Hal (0013)</v>
      </c>
      <c r="O11" t="s">
        <v>43</v>
      </c>
      <c r="P11" t="str">
        <f t="shared" si="3"/>
        <v>03000_0013</v>
      </c>
      <c r="Q11" s="180">
        <v>100</v>
      </c>
    </row>
    <row r="12" spans="1:17">
      <c r="A12" t="str">
        <f t="shared" si="0"/>
        <v>GIT_0014</v>
      </c>
      <c r="B12" t="str">
        <f t="shared" si="1"/>
        <v>GIT_Harrison Res Hal</v>
      </c>
      <c r="C12" t="s">
        <v>440</v>
      </c>
      <c r="D12" s="180" t="s">
        <v>28</v>
      </c>
      <c r="E12" t="s">
        <v>711</v>
      </c>
      <c r="F12" t="s">
        <v>712</v>
      </c>
      <c r="G12" s="180">
        <v>30526</v>
      </c>
      <c r="H12">
        <v>1939</v>
      </c>
      <c r="I12">
        <v>1998</v>
      </c>
      <c r="J12" s="1334" t="s">
        <v>475</v>
      </c>
      <c r="K12" s="1335" t="s">
        <v>475</v>
      </c>
      <c r="L12" s="180">
        <v>1</v>
      </c>
      <c r="M12" t="s">
        <v>88</v>
      </c>
      <c r="N12" t="str">
        <f t="shared" si="2"/>
        <v>Harrison Res Hal (0014)</v>
      </c>
      <c r="O12" t="s">
        <v>43</v>
      </c>
      <c r="P12" t="str">
        <f t="shared" si="3"/>
        <v>03000_0014</v>
      </c>
      <c r="Q12" s="180">
        <v>100</v>
      </c>
    </row>
    <row r="13" spans="1:17">
      <c r="A13" t="str">
        <f t="shared" si="0"/>
        <v>GIT_0015</v>
      </c>
      <c r="B13" t="str">
        <f t="shared" si="1"/>
        <v>GIT_Towers Res Hall</v>
      </c>
      <c r="C13" t="s">
        <v>440</v>
      </c>
      <c r="D13" s="180" t="s">
        <v>28</v>
      </c>
      <c r="E13" t="s">
        <v>624</v>
      </c>
      <c r="F13" t="s">
        <v>625</v>
      </c>
      <c r="G13" s="180">
        <v>59986</v>
      </c>
      <c r="H13">
        <v>1947</v>
      </c>
      <c r="I13">
        <v>2014</v>
      </c>
      <c r="J13" s="1334" t="s">
        <v>475</v>
      </c>
      <c r="K13" s="1335" t="s">
        <v>475</v>
      </c>
      <c r="L13" s="180">
        <v>1</v>
      </c>
      <c r="M13" t="s">
        <v>88</v>
      </c>
      <c r="N13" t="str">
        <f t="shared" si="2"/>
        <v>Towers Res Hall (0015)</v>
      </c>
      <c r="O13" t="s">
        <v>43</v>
      </c>
      <c r="P13" t="str">
        <f t="shared" si="3"/>
        <v>03000_0015</v>
      </c>
      <c r="Q13" s="180">
        <v>100</v>
      </c>
    </row>
    <row r="14" spans="1:17">
      <c r="A14" t="str">
        <f t="shared" si="0"/>
        <v>GIT_0016</v>
      </c>
      <c r="B14" t="str">
        <f t="shared" si="1"/>
        <v>GIT_Glenn Res Hall</v>
      </c>
      <c r="C14" t="s">
        <v>440</v>
      </c>
      <c r="D14" s="180" t="s">
        <v>28</v>
      </c>
      <c r="E14" t="s">
        <v>506</v>
      </c>
      <c r="F14" t="s">
        <v>507</v>
      </c>
      <c r="G14" s="180">
        <v>70496</v>
      </c>
      <c r="H14">
        <v>1947</v>
      </c>
      <c r="I14">
        <v>2015</v>
      </c>
      <c r="J14" s="1334" t="s">
        <v>475</v>
      </c>
      <c r="K14" s="1335" t="s">
        <v>475</v>
      </c>
      <c r="L14" s="180">
        <v>1</v>
      </c>
      <c r="M14" t="s">
        <v>88</v>
      </c>
      <c r="N14" t="str">
        <f t="shared" si="2"/>
        <v>Glenn Res Hall (0016)</v>
      </c>
      <c r="O14" t="s">
        <v>43</v>
      </c>
      <c r="P14" t="str">
        <f t="shared" si="3"/>
        <v>03000_0016</v>
      </c>
      <c r="Q14" s="180">
        <v>100</v>
      </c>
    </row>
    <row r="15" spans="1:17">
      <c r="A15" t="str">
        <f t="shared" si="0"/>
        <v>GIT_0017</v>
      </c>
      <c r="B15" t="str">
        <f t="shared" si="1"/>
        <v>GIT_Dodd Stadium</v>
      </c>
      <c r="C15" t="s">
        <v>440</v>
      </c>
      <c r="D15" s="180" t="s">
        <v>28</v>
      </c>
      <c r="E15" t="s">
        <v>680</v>
      </c>
      <c r="F15" t="s">
        <v>681</v>
      </c>
      <c r="G15" s="180">
        <v>347094</v>
      </c>
      <c r="H15">
        <v>1925</v>
      </c>
      <c r="I15">
        <v>2003</v>
      </c>
      <c r="J15" s="1334" t="s">
        <v>486</v>
      </c>
      <c r="K15" s="1335" t="s">
        <v>475</v>
      </c>
      <c r="L15" s="180">
        <v>12</v>
      </c>
      <c r="M15" t="s">
        <v>88</v>
      </c>
      <c r="N15" t="str">
        <f t="shared" si="2"/>
        <v>Dodd Stadium (0017)</v>
      </c>
      <c r="O15" t="s">
        <v>43</v>
      </c>
      <c r="P15" t="str">
        <f t="shared" si="3"/>
        <v>03000_0017</v>
      </c>
      <c r="Q15" s="180">
        <v>0</v>
      </c>
    </row>
    <row r="16" spans="1:17">
      <c r="A16" t="str">
        <f t="shared" si="0"/>
        <v>GIT_0020</v>
      </c>
      <c r="B16" t="str">
        <f t="shared" si="1"/>
        <v>GIT_WREK Transmitter</v>
      </c>
      <c r="C16" t="s">
        <v>440</v>
      </c>
      <c r="D16" s="180" t="s">
        <v>28</v>
      </c>
      <c r="E16" t="s">
        <v>529</v>
      </c>
      <c r="F16" t="s">
        <v>530</v>
      </c>
      <c r="G16" s="180">
        <v>384</v>
      </c>
      <c r="H16">
        <v>1985</v>
      </c>
      <c r="J16" s="1334" t="s">
        <v>475</v>
      </c>
      <c r="K16" s="1335" t="s">
        <v>1520</v>
      </c>
      <c r="L16" s="180">
        <v>100</v>
      </c>
      <c r="M16" t="s">
        <v>88</v>
      </c>
      <c r="N16" t="str">
        <f t="shared" si="2"/>
        <v>WREK Transmitter (0020)</v>
      </c>
      <c r="O16" t="s">
        <v>43</v>
      </c>
      <c r="P16" t="str">
        <f t="shared" si="3"/>
        <v>03000_0020</v>
      </c>
      <c r="Q16" s="180">
        <v>85</v>
      </c>
    </row>
    <row r="17" spans="1:17">
      <c r="A17" t="str">
        <f t="shared" si="0"/>
        <v>GIT_0022</v>
      </c>
      <c r="B17" t="str">
        <f t="shared" si="1"/>
        <v>GIT_Daniel Lab</v>
      </c>
      <c r="C17" t="s">
        <v>440</v>
      </c>
      <c r="D17" s="180" t="s">
        <v>28</v>
      </c>
      <c r="E17" t="s">
        <v>531</v>
      </c>
      <c r="F17" t="s">
        <v>532</v>
      </c>
      <c r="G17" s="180">
        <v>22294</v>
      </c>
      <c r="H17">
        <v>1942</v>
      </c>
      <c r="I17">
        <v>1994</v>
      </c>
      <c r="J17" s="1334" t="s">
        <v>475</v>
      </c>
      <c r="K17" s="1335" t="s">
        <v>475</v>
      </c>
      <c r="L17" s="180">
        <v>100</v>
      </c>
      <c r="M17" t="s">
        <v>88</v>
      </c>
      <c r="N17" t="str">
        <f t="shared" si="2"/>
        <v>Daniel Lab (0022)</v>
      </c>
      <c r="O17" t="s">
        <v>43</v>
      </c>
      <c r="P17" t="str">
        <f t="shared" si="3"/>
        <v>03000_0022</v>
      </c>
      <c r="Q17" s="180">
        <v>100</v>
      </c>
    </row>
    <row r="18" spans="1:17">
      <c r="A18" t="str">
        <f t="shared" si="0"/>
        <v>GIT_0024</v>
      </c>
      <c r="B18" t="str">
        <f t="shared" si="1"/>
        <v>GIT_D M Smith</v>
      </c>
      <c r="C18" t="s">
        <v>440</v>
      </c>
      <c r="D18" s="180" t="s">
        <v>28</v>
      </c>
      <c r="E18" t="s">
        <v>548</v>
      </c>
      <c r="F18" t="s">
        <v>549</v>
      </c>
      <c r="G18" s="180">
        <v>38306</v>
      </c>
      <c r="H18">
        <v>1923</v>
      </c>
      <c r="J18" s="1334" t="s">
        <v>475</v>
      </c>
      <c r="K18" s="1335" t="s">
        <v>901</v>
      </c>
      <c r="L18" s="180">
        <v>100</v>
      </c>
      <c r="M18" t="s">
        <v>88</v>
      </c>
      <c r="N18" t="str">
        <f t="shared" si="2"/>
        <v>D M Smith (0024)</v>
      </c>
      <c r="O18" t="s">
        <v>43</v>
      </c>
      <c r="P18" t="str">
        <f t="shared" si="3"/>
        <v>03000_0024</v>
      </c>
      <c r="Q18" s="180">
        <v>100</v>
      </c>
    </row>
    <row r="19" spans="1:17">
      <c r="A19" t="str">
        <f t="shared" si="0"/>
        <v>GIT_0025</v>
      </c>
      <c r="B19" t="str">
        <f t="shared" si="1"/>
        <v>GIT_Chapin</v>
      </c>
      <c r="C19" t="s">
        <v>440</v>
      </c>
      <c r="D19" s="180" t="s">
        <v>28</v>
      </c>
      <c r="E19" t="s">
        <v>682</v>
      </c>
      <c r="F19" t="s">
        <v>683</v>
      </c>
      <c r="G19" s="180">
        <v>10310</v>
      </c>
      <c r="H19">
        <v>1910</v>
      </c>
      <c r="I19">
        <v>2014</v>
      </c>
      <c r="J19" s="1334" t="s">
        <v>475</v>
      </c>
      <c r="K19" s="1335" t="s">
        <v>475</v>
      </c>
      <c r="L19" s="180">
        <v>100</v>
      </c>
      <c r="M19" t="s">
        <v>88</v>
      </c>
      <c r="N19" t="str">
        <f t="shared" si="2"/>
        <v>Chapin (0025)</v>
      </c>
      <c r="O19" t="s">
        <v>43</v>
      </c>
      <c r="P19" t="str">
        <f t="shared" si="3"/>
        <v>03000_0025</v>
      </c>
      <c r="Q19" s="180">
        <v>100</v>
      </c>
    </row>
    <row r="20" spans="1:17">
      <c r="A20" t="str">
        <f t="shared" si="0"/>
        <v>GIT_0026</v>
      </c>
      <c r="B20" t="str">
        <f t="shared" si="1"/>
        <v>GIT_Holland Plant</v>
      </c>
      <c r="C20" t="s">
        <v>440</v>
      </c>
      <c r="D20" s="180" t="s">
        <v>28</v>
      </c>
      <c r="E20" t="s">
        <v>692</v>
      </c>
      <c r="F20" t="s">
        <v>693</v>
      </c>
      <c r="G20" s="180">
        <v>35756</v>
      </c>
      <c r="H20">
        <v>1914</v>
      </c>
      <c r="I20">
        <v>1973</v>
      </c>
      <c r="J20" s="1334" t="s">
        <v>475</v>
      </c>
      <c r="K20" s="1335" t="s">
        <v>481</v>
      </c>
      <c r="L20" s="180">
        <v>100</v>
      </c>
      <c r="M20" t="s">
        <v>88</v>
      </c>
      <c r="N20" t="str">
        <f t="shared" si="2"/>
        <v>Holland Plant (0026)</v>
      </c>
      <c r="O20" t="s">
        <v>43</v>
      </c>
      <c r="P20" t="str">
        <f t="shared" si="3"/>
        <v>03000_0026</v>
      </c>
      <c r="Q20" s="180">
        <v>100</v>
      </c>
    </row>
    <row r="21" spans="1:17">
      <c r="A21" t="str">
        <f t="shared" si="0"/>
        <v>GIT_0030</v>
      </c>
      <c r="B21" t="str">
        <f t="shared" si="1"/>
        <v>GIT_A French</v>
      </c>
      <c r="C21" t="s">
        <v>440</v>
      </c>
      <c r="D21" s="180" t="s">
        <v>28</v>
      </c>
      <c r="E21" t="s">
        <v>561</v>
      </c>
      <c r="F21" t="s">
        <v>562</v>
      </c>
      <c r="G21" s="180">
        <v>33107</v>
      </c>
      <c r="H21">
        <v>1898</v>
      </c>
      <c r="I21">
        <v>1985</v>
      </c>
      <c r="J21" s="1334" t="s">
        <v>475</v>
      </c>
      <c r="K21" s="1335" t="s">
        <v>475</v>
      </c>
      <c r="L21" s="180">
        <v>100</v>
      </c>
      <c r="M21" t="s">
        <v>88</v>
      </c>
      <c r="N21" t="str">
        <f t="shared" si="2"/>
        <v>A French (0030)</v>
      </c>
      <c r="O21" t="s">
        <v>43</v>
      </c>
      <c r="P21" t="str">
        <f t="shared" si="3"/>
        <v>03000_0030</v>
      </c>
      <c r="Q21" s="180">
        <v>100</v>
      </c>
    </row>
    <row r="22" spans="1:17">
      <c r="A22" t="str">
        <f t="shared" si="0"/>
        <v>GIT_0031</v>
      </c>
      <c r="B22" t="str">
        <f t="shared" si="1"/>
        <v>GIT_Success Center</v>
      </c>
      <c r="C22" t="s">
        <v>440</v>
      </c>
      <c r="D22" s="180" t="s">
        <v>28</v>
      </c>
      <c r="E22" t="s">
        <v>892</v>
      </c>
      <c r="F22" t="s">
        <v>893</v>
      </c>
      <c r="G22" s="180">
        <v>48666</v>
      </c>
      <c r="H22">
        <v>1992</v>
      </c>
      <c r="J22" s="1334" t="s">
        <v>475</v>
      </c>
      <c r="K22" s="1335" t="s">
        <v>475</v>
      </c>
      <c r="L22" s="180">
        <v>100</v>
      </c>
      <c r="M22" t="s">
        <v>88</v>
      </c>
      <c r="N22" t="str">
        <f t="shared" si="2"/>
        <v>Success Center (0031)</v>
      </c>
      <c r="O22" t="s">
        <v>43</v>
      </c>
      <c r="P22" t="str">
        <f t="shared" si="3"/>
        <v>03000_0031</v>
      </c>
      <c r="Q22" s="180">
        <v>100</v>
      </c>
    </row>
    <row r="23" spans="1:17">
      <c r="A23" t="str">
        <f t="shared" si="0"/>
        <v>GIT_0032</v>
      </c>
      <c r="B23" t="str">
        <f t="shared" si="1"/>
        <v>GIT_ACC Network</v>
      </c>
      <c r="C23" t="s">
        <v>440</v>
      </c>
      <c r="D23" s="180" t="s">
        <v>28</v>
      </c>
      <c r="E23" t="s">
        <v>864</v>
      </c>
      <c r="F23" t="s">
        <v>865</v>
      </c>
      <c r="G23" s="180">
        <v>7591</v>
      </c>
      <c r="H23">
        <v>1988</v>
      </c>
      <c r="I23">
        <v>2019</v>
      </c>
      <c r="J23" s="1334" t="s">
        <v>475</v>
      </c>
      <c r="K23" s="1335" t="s">
        <v>475</v>
      </c>
      <c r="L23" s="180">
        <v>0</v>
      </c>
      <c r="M23" t="s">
        <v>88</v>
      </c>
      <c r="N23" t="str">
        <f t="shared" si="2"/>
        <v>ACC Network (0032)</v>
      </c>
      <c r="O23" t="s">
        <v>43</v>
      </c>
      <c r="P23" t="str">
        <f t="shared" si="3"/>
        <v>03000_0032</v>
      </c>
      <c r="Q23" s="180">
        <v>0</v>
      </c>
    </row>
    <row r="24" spans="1:17">
      <c r="A24" t="str">
        <f t="shared" si="0"/>
        <v>GIT_0033</v>
      </c>
      <c r="B24" t="str">
        <f t="shared" si="1"/>
        <v>GIT_OKeefe-Main</v>
      </c>
      <c r="C24" t="s">
        <v>440</v>
      </c>
      <c r="D24" s="180" t="s">
        <v>28</v>
      </c>
      <c r="E24" t="s">
        <v>717</v>
      </c>
      <c r="F24" t="s">
        <v>718</v>
      </c>
      <c r="G24" s="180">
        <v>111907</v>
      </c>
      <c r="H24">
        <v>1924</v>
      </c>
      <c r="J24" s="1334" t="s">
        <v>475</v>
      </c>
      <c r="K24" s="1335" t="s">
        <v>486</v>
      </c>
      <c r="L24" s="180">
        <v>100</v>
      </c>
      <c r="M24" t="s">
        <v>88</v>
      </c>
      <c r="N24" t="str">
        <f t="shared" si="2"/>
        <v>OKeefe-Main (0033)</v>
      </c>
      <c r="O24" t="s">
        <v>43</v>
      </c>
      <c r="P24" t="str">
        <f t="shared" si="3"/>
        <v>03000_0033</v>
      </c>
      <c r="Q24" s="180">
        <v>92</v>
      </c>
    </row>
    <row r="25" spans="1:17">
      <c r="A25" t="str">
        <f t="shared" si="0"/>
        <v>GIT_0035</v>
      </c>
      <c r="B25" t="str">
        <f t="shared" si="1"/>
        <v>GIT_Administration</v>
      </c>
      <c r="C25" t="s">
        <v>440</v>
      </c>
      <c r="D25" s="180" t="s">
        <v>28</v>
      </c>
      <c r="E25" t="s">
        <v>830</v>
      </c>
      <c r="F25" t="s">
        <v>831</v>
      </c>
      <c r="G25" s="180">
        <v>48713</v>
      </c>
      <c r="H25">
        <v>1888</v>
      </c>
      <c r="I25">
        <v>2017</v>
      </c>
      <c r="J25" s="1334" t="s">
        <v>475</v>
      </c>
      <c r="K25" s="1335" t="s">
        <v>475</v>
      </c>
      <c r="L25" s="180">
        <v>100</v>
      </c>
      <c r="M25" t="s">
        <v>88</v>
      </c>
      <c r="N25" t="str">
        <f t="shared" si="2"/>
        <v>Administration (0035)</v>
      </c>
      <c r="O25" t="s">
        <v>43</v>
      </c>
      <c r="P25" t="str">
        <f t="shared" si="3"/>
        <v>03000_0035</v>
      </c>
      <c r="Q25" s="180">
        <v>100</v>
      </c>
    </row>
    <row r="26" spans="1:17">
      <c r="A26" t="str">
        <f t="shared" si="0"/>
        <v>GIT_0036</v>
      </c>
      <c r="B26" t="str">
        <f t="shared" si="1"/>
        <v>GIT_Carnegie</v>
      </c>
      <c r="C26" t="s">
        <v>440</v>
      </c>
      <c r="D26" s="180" t="s">
        <v>28</v>
      </c>
      <c r="E26" t="s">
        <v>817</v>
      </c>
      <c r="F26" t="s">
        <v>818</v>
      </c>
      <c r="G26" s="180">
        <v>10231</v>
      </c>
      <c r="H26">
        <v>1906</v>
      </c>
      <c r="I26">
        <v>2007</v>
      </c>
      <c r="J26" s="1334" t="s">
        <v>475</v>
      </c>
      <c r="K26" s="1335" t="s">
        <v>475</v>
      </c>
      <c r="L26" s="180">
        <v>100</v>
      </c>
      <c r="M26" t="s">
        <v>88</v>
      </c>
      <c r="N26" t="str">
        <f t="shared" si="2"/>
        <v>Carnegie (0036)</v>
      </c>
      <c r="O26" t="s">
        <v>43</v>
      </c>
      <c r="P26" t="str">
        <f t="shared" si="3"/>
        <v>03000_0036</v>
      </c>
      <c r="Q26" s="180">
        <v>100</v>
      </c>
    </row>
    <row r="27" spans="1:17">
      <c r="A27" t="str">
        <f t="shared" si="0"/>
        <v>GIT_0038</v>
      </c>
      <c r="B27" t="str">
        <f t="shared" si="1"/>
        <v>GIT_Savant</v>
      </c>
      <c r="C27" t="s">
        <v>440</v>
      </c>
      <c r="D27" s="180" t="s">
        <v>28</v>
      </c>
      <c r="E27" t="s">
        <v>866</v>
      </c>
      <c r="F27" t="s">
        <v>867</v>
      </c>
      <c r="G27" s="180">
        <v>25855</v>
      </c>
      <c r="H27">
        <v>1901</v>
      </c>
      <c r="I27">
        <v>2018</v>
      </c>
      <c r="J27" s="1334" t="s">
        <v>475</v>
      </c>
      <c r="K27" s="1335" t="s">
        <v>475</v>
      </c>
      <c r="L27" s="180">
        <v>100</v>
      </c>
      <c r="M27" t="s">
        <v>88</v>
      </c>
      <c r="N27" t="str">
        <f t="shared" si="2"/>
        <v>Savant (0038)</v>
      </c>
      <c r="O27" t="s">
        <v>43</v>
      </c>
      <c r="P27" t="str">
        <f t="shared" si="3"/>
        <v>03000_0038</v>
      </c>
      <c r="Q27" s="180">
        <v>100</v>
      </c>
    </row>
    <row r="28" spans="1:17">
      <c r="A28" t="str">
        <f t="shared" si="0"/>
        <v>GIT_0039</v>
      </c>
      <c r="B28" t="str">
        <f t="shared" si="1"/>
        <v>GIT_Swann</v>
      </c>
      <c r="C28" t="s">
        <v>440</v>
      </c>
      <c r="D28" s="180" t="s">
        <v>28</v>
      </c>
      <c r="E28" t="s">
        <v>584</v>
      </c>
      <c r="F28" t="s">
        <v>585</v>
      </c>
      <c r="G28" s="180">
        <v>31154</v>
      </c>
      <c r="H28">
        <v>1900</v>
      </c>
      <c r="I28">
        <v>2005</v>
      </c>
      <c r="J28" s="1334" t="s">
        <v>475</v>
      </c>
      <c r="K28" s="1335" t="s">
        <v>475</v>
      </c>
      <c r="L28" s="180">
        <v>100</v>
      </c>
      <c r="M28" t="s">
        <v>88</v>
      </c>
      <c r="N28" t="str">
        <f t="shared" si="2"/>
        <v>Swann (0039)</v>
      </c>
      <c r="O28" t="s">
        <v>43</v>
      </c>
      <c r="P28" t="str">
        <f t="shared" si="3"/>
        <v>03000_0039</v>
      </c>
      <c r="Q28" s="180">
        <v>100</v>
      </c>
    </row>
    <row r="29" spans="1:17">
      <c r="A29" t="str">
        <f t="shared" si="0"/>
        <v>GIT_0040</v>
      </c>
      <c r="B29" t="str">
        <f t="shared" si="1"/>
        <v>GIT_Guggenheim (AE)</v>
      </c>
      <c r="C29" t="s">
        <v>440</v>
      </c>
      <c r="D29" s="180" t="s">
        <v>28</v>
      </c>
      <c r="E29" t="s">
        <v>724</v>
      </c>
      <c r="F29" t="s">
        <v>725</v>
      </c>
      <c r="G29" s="180">
        <v>24442</v>
      </c>
      <c r="H29">
        <v>1930</v>
      </c>
      <c r="I29">
        <v>1995</v>
      </c>
      <c r="J29" s="1334" t="s">
        <v>475</v>
      </c>
      <c r="K29" s="1335" t="s">
        <v>475</v>
      </c>
      <c r="L29" s="180">
        <v>100</v>
      </c>
      <c r="M29" t="s">
        <v>88</v>
      </c>
      <c r="N29" t="str">
        <f t="shared" si="2"/>
        <v>Guggenheim (AE) (0040)</v>
      </c>
      <c r="O29" t="s">
        <v>43</v>
      </c>
      <c r="P29" t="str">
        <f t="shared" si="3"/>
        <v>03000_0040</v>
      </c>
      <c r="Q29" s="180">
        <v>100</v>
      </c>
    </row>
    <row r="30" spans="1:17">
      <c r="A30" t="str">
        <f t="shared" si="0"/>
        <v>GIT_0041</v>
      </c>
      <c r="B30" t="str">
        <f t="shared" si="1"/>
        <v>GIT_Engr Sci &amp; Mech</v>
      </c>
      <c r="C30" t="s">
        <v>440</v>
      </c>
      <c r="D30" s="180" t="s">
        <v>28</v>
      </c>
      <c r="E30" t="s">
        <v>554</v>
      </c>
      <c r="F30" t="s">
        <v>555</v>
      </c>
      <c r="G30" s="180">
        <v>37818</v>
      </c>
      <c r="H30">
        <v>1938</v>
      </c>
      <c r="J30" s="1334" t="s">
        <v>475</v>
      </c>
      <c r="K30" s="1335" t="s">
        <v>481</v>
      </c>
      <c r="L30" s="180">
        <v>100</v>
      </c>
      <c r="M30" t="s">
        <v>88</v>
      </c>
      <c r="N30" t="str">
        <f t="shared" si="2"/>
        <v>Engr Sci &amp; Mech (0041)</v>
      </c>
      <c r="O30" t="s">
        <v>43</v>
      </c>
      <c r="P30" t="str">
        <f t="shared" si="3"/>
        <v>03000_0041</v>
      </c>
      <c r="Q30" s="180">
        <v>100</v>
      </c>
    </row>
    <row r="31" spans="1:17">
      <c r="A31" t="str">
        <f t="shared" si="0"/>
        <v>GIT_0045</v>
      </c>
      <c r="B31" t="str">
        <f t="shared" si="1"/>
        <v>GIT_J S Coon</v>
      </c>
      <c r="C31" t="s">
        <v>440</v>
      </c>
      <c r="D31" s="180" t="s">
        <v>28</v>
      </c>
      <c r="E31" t="s">
        <v>594</v>
      </c>
      <c r="F31" t="s">
        <v>595</v>
      </c>
      <c r="G31" s="180">
        <v>77867</v>
      </c>
      <c r="H31">
        <v>1920</v>
      </c>
      <c r="I31">
        <v>2003</v>
      </c>
      <c r="J31" s="1334" t="s">
        <v>475</v>
      </c>
      <c r="K31" s="1335" t="s">
        <v>475</v>
      </c>
      <c r="L31" s="180">
        <v>100</v>
      </c>
      <c r="M31" t="s">
        <v>88</v>
      </c>
      <c r="N31" t="str">
        <f t="shared" si="2"/>
        <v>J S Coon (0045)</v>
      </c>
      <c r="O31" t="s">
        <v>43</v>
      </c>
      <c r="P31" t="str">
        <f t="shared" si="3"/>
        <v>03000_0045</v>
      </c>
      <c r="Q31" s="180">
        <v>100</v>
      </c>
    </row>
    <row r="32" spans="1:17">
      <c r="A32" t="str">
        <f t="shared" si="0"/>
        <v>GIT_0047</v>
      </c>
      <c r="B32" t="str">
        <f t="shared" si="1"/>
        <v>GIT_Wardlaw Center</v>
      </c>
      <c r="C32" t="s">
        <v>440</v>
      </c>
      <c r="D32" s="180" t="s">
        <v>28</v>
      </c>
      <c r="E32" t="s">
        <v>598</v>
      </c>
      <c r="F32" t="s">
        <v>599</v>
      </c>
      <c r="G32" s="180">
        <v>120422</v>
      </c>
      <c r="H32">
        <v>1987</v>
      </c>
      <c r="J32" s="1334" t="s">
        <v>475</v>
      </c>
      <c r="K32" s="1335" t="s">
        <v>475</v>
      </c>
      <c r="L32" s="180">
        <v>3</v>
      </c>
      <c r="M32" t="s">
        <v>88</v>
      </c>
      <c r="N32" t="str">
        <f t="shared" si="2"/>
        <v>Wardlaw Center (0047)</v>
      </c>
      <c r="O32" t="s">
        <v>43</v>
      </c>
      <c r="P32" t="str">
        <f t="shared" si="3"/>
        <v>03000_0047</v>
      </c>
      <c r="Q32" s="180">
        <v>100</v>
      </c>
    </row>
    <row r="33" spans="1:17">
      <c r="A33" t="str">
        <f t="shared" si="0"/>
        <v>GIT_0050</v>
      </c>
      <c r="B33" t="str">
        <f t="shared" si="1"/>
        <v>GIT_Computing (COC)</v>
      </c>
      <c r="C33" t="s">
        <v>440</v>
      </c>
      <c r="D33" s="180" t="s">
        <v>28</v>
      </c>
      <c r="E33" t="s">
        <v>906</v>
      </c>
      <c r="F33" t="s">
        <v>907</v>
      </c>
      <c r="G33" s="180">
        <v>118217</v>
      </c>
      <c r="H33">
        <v>1989</v>
      </c>
      <c r="J33" s="1334" t="s">
        <v>475</v>
      </c>
      <c r="K33" s="1335" t="s">
        <v>475</v>
      </c>
      <c r="L33" s="180">
        <v>100</v>
      </c>
      <c r="M33" t="s">
        <v>88</v>
      </c>
      <c r="N33" t="str">
        <f t="shared" si="2"/>
        <v>Computing (COC) (0050)</v>
      </c>
      <c r="O33" t="s">
        <v>43</v>
      </c>
      <c r="P33" t="str">
        <f t="shared" si="3"/>
        <v>03000_0050</v>
      </c>
      <c r="Q33" s="180">
        <v>100</v>
      </c>
    </row>
    <row r="34" spans="1:17">
      <c r="A34" t="str">
        <f t="shared" si="0"/>
        <v>GIT_0051</v>
      </c>
      <c r="B34" t="str">
        <f t="shared" si="1"/>
        <v>GIT_Hinman</v>
      </c>
      <c r="C34" t="s">
        <v>440</v>
      </c>
      <c r="D34" s="180" t="s">
        <v>28</v>
      </c>
      <c r="E34" t="s">
        <v>600</v>
      </c>
      <c r="F34" t="s">
        <v>601</v>
      </c>
      <c r="G34" s="180">
        <v>17910</v>
      </c>
      <c r="H34">
        <v>1939</v>
      </c>
      <c r="I34">
        <v>2010</v>
      </c>
      <c r="J34" s="1334" t="s">
        <v>475</v>
      </c>
      <c r="K34" s="1335" t="s">
        <v>475</v>
      </c>
      <c r="L34" s="180">
        <v>100</v>
      </c>
      <c r="M34" t="s">
        <v>88</v>
      </c>
      <c r="N34" t="str">
        <f t="shared" si="2"/>
        <v>Hinman (0051)</v>
      </c>
      <c r="O34" t="s">
        <v>43</v>
      </c>
      <c r="P34" t="str">
        <f t="shared" si="3"/>
        <v>03000_0051</v>
      </c>
      <c r="Q34" s="180">
        <v>100</v>
      </c>
    </row>
    <row r="35" spans="1:17">
      <c r="A35" t="str">
        <f t="shared" si="0"/>
        <v>GIT_0052</v>
      </c>
      <c r="B35" t="str">
        <f t="shared" si="1"/>
        <v>GIT_Grad Living Ctr</v>
      </c>
      <c r="C35" t="s">
        <v>440</v>
      </c>
      <c r="D35" s="180" t="s">
        <v>28</v>
      </c>
      <c r="E35" t="s">
        <v>533</v>
      </c>
      <c r="F35" t="s">
        <v>534</v>
      </c>
      <c r="G35" s="180">
        <v>139558</v>
      </c>
      <c r="H35">
        <v>1992</v>
      </c>
      <c r="I35">
        <v>1998</v>
      </c>
      <c r="J35" s="1334" t="s">
        <v>475</v>
      </c>
      <c r="K35" s="1335" t="s">
        <v>475</v>
      </c>
      <c r="L35" s="180">
        <v>1</v>
      </c>
      <c r="M35" t="s">
        <v>88</v>
      </c>
      <c r="N35" t="str">
        <f t="shared" si="2"/>
        <v>Grad Living Ctr (0052)</v>
      </c>
      <c r="O35" t="s">
        <v>43</v>
      </c>
      <c r="P35" t="str">
        <f t="shared" si="3"/>
        <v>03000_0052</v>
      </c>
      <c r="Q35" s="180">
        <v>100</v>
      </c>
    </row>
    <row r="36" spans="1:17">
      <c r="A36" t="str">
        <f t="shared" si="0"/>
        <v>GIT_0054</v>
      </c>
      <c r="B36" t="str">
        <f t="shared" si="1"/>
        <v>GIT_Student Ctr Deck</v>
      </c>
      <c r="C36" t="s">
        <v>440</v>
      </c>
      <c r="D36" s="180" t="s">
        <v>28</v>
      </c>
      <c r="E36" t="s">
        <v>840</v>
      </c>
      <c r="F36" t="s">
        <v>841</v>
      </c>
      <c r="G36" s="180">
        <v>283006</v>
      </c>
      <c r="H36">
        <v>1989</v>
      </c>
      <c r="J36" s="1334" t="s">
        <v>475</v>
      </c>
      <c r="K36" s="1335" t="s">
        <v>475</v>
      </c>
      <c r="L36" s="180">
        <v>0</v>
      </c>
      <c r="M36" t="s">
        <v>88</v>
      </c>
      <c r="N36" t="str">
        <f t="shared" si="2"/>
        <v>Student Ctr Deck (0054)</v>
      </c>
      <c r="O36" t="s">
        <v>43</v>
      </c>
      <c r="P36" t="str">
        <f t="shared" si="3"/>
        <v>03000_0054</v>
      </c>
      <c r="Q36" s="180">
        <v>100</v>
      </c>
    </row>
    <row r="37" spans="1:17">
      <c r="A37" t="str">
        <f t="shared" si="0"/>
        <v>GIT_0055</v>
      </c>
      <c r="B37" t="str">
        <f t="shared" si="1"/>
        <v>GIT_Instruction Ctr</v>
      </c>
      <c r="C37" t="s">
        <v>440</v>
      </c>
      <c r="D37" s="180" t="s">
        <v>28</v>
      </c>
      <c r="E37" t="s">
        <v>761</v>
      </c>
      <c r="F37" t="s">
        <v>762</v>
      </c>
      <c r="G37" s="180">
        <v>40537</v>
      </c>
      <c r="H37">
        <v>1983</v>
      </c>
      <c r="I37">
        <v>2017</v>
      </c>
      <c r="J37" s="1334" t="s">
        <v>475</v>
      </c>
      <c r="K37" s="1335" t="s">
        <v>475</v>
      </c>
      <c r="L37" s="180">
        <v>100</v>
      </c>
      <c r="M37" t="s">
        <v>88</v>
      </c>
      <c r="N37" t="str">
        <f t="shared" si="2"/>
        <v>Instruction Ctr (0055)</v>
      </c>
      <c r="O37" t="s">
        <v>43</v>
      </c>
      <c r="P37" t="str">
        <f t="shared" si="3"/>
        <v>03000_0055</v>
      </c>
      <c r="Q37" s="180">
        <v>100</v>
      </c>
    </row>
    <row r="38" spans="1:17">
      <c r="A38" t="str">
        <f t="shared" si="0"/>
        <v>GIT_0056</v>
      </c>
      <c r="B38" t="str">
        <f t="shared" si="1"/>
        <v>GIT_Groseclose ISyE</v>
      </c>
      <c r="C38" t="s">
        <v>440</v>
      </c>
      <c r="D38" s="180" t="s">
        <v>28</v>
      </c>
      <c r="E38" t="s">
        <v>785</v>
      </c>
      <c r="F38" t="s">
        <v>786</v>
      </c>
      <c r="G38" s="180">
        <v>54585</v>
      </c>
      <c r="H38">
        <v>1983</v>
      </c>
      <c r="J38" s="1334" t="s">
        <v>475</v>
      </c>
      <c r="K38" s="1335" t="s">
        <v>475</v>
      </c>
      <c r="L38" s="180">
        <v>100</v>
      </c>
      <c r="M38" t="s">
        <v>88</v>
      </c>
      <c r="N38" t="str">
        <f t="shared" si="2"/>
        <v>Groseclose ISyE (0056)</v>
      </c>
      <c r="O38" t="s">
        <v>43</v>
      </c>
      <c r="P38" t="str">
        <f t="shared" si="3"/>
        <v>03000_0056</v>
      </c>
      <c r="Q38" s="180">
        <v>100</v>
      </c>
    </row>
    <row r="39" spans="1:17">
      <c r="A39" t="str">
        <f t="shared" si="0"/>
        <v>GIT_0057</v>
      </c>
      <c r="B39" t="str">
        <f t="shared" si="1"/>
        <v>GIT_ISyE Main</v>
      </c>
      <c r="C39" t="s">
        <v>440</v>
      </c>
      <c r="D39" s="180" t="s">
        <v>28</v>
      </c>
      <c r="E39" t="s">
        <v>857</v>
      </c>
      <c r="F39" t="s">
        <v>858</v>
      </c>
      <c r="G39" s="180">
        <v>52687</v>
      </c>
      <c r="H39">
        <v>1983</v>
      </c>
      <c r="J39" s="1334" t="s">
        <v>475</v>
      </c>
      <c r="K39" s="1335" t="s">
        <v>475</v>
      </c>
      <c r="L39" s="180">
        <v>100</v>
      </c>
      <c r="M39" t="s">
        <v>88</v>
      </c>
      <c r="N39" t="str">
        <f t="shared" si="2"/>
        <v>ISyE Main (0057)</v>
      </c>
      <c r="O39" t="s">
        <v>43</v>
      </c>
      <c r="P39" t="str">
        <f t="shared" si="3"/>
        <v>03000_0057</v>
      </c>
      <c r="Q39" s="180">
        <v>100</v>
      </c>
    </row>
    <row r="40" spans="1:17">
      <c r="A40" t="str">
        <f t="shared" si="0"/>
        <v>GIT_0058</v>
      </c>
      <c r="B40" t="str">
        <f t="shared" si="1"/>
        <v>GIT_Old Civil Eng</v>
      </c>
      <c r="C40" t="s">
        <v>440</v>
      </c>
      <c r="D40" s="180" t="s">
        <v>28</v>
      </c>
      <c r="E40" t="s">
        <v>516</v>
      </c>
      <c r="F40" t="s">
        <v>517</v>
      </c>
      <c r="G40" s="180">
        <v>33434</v>
      </c>
      <c r="H40">
        <v>1939</v>
      </c>
      <c r="I40">
        <v>2008</v>
      </c>
      <c r="J40" s="1334" t="s">
        <v>475</v>
      </c>
      <c r="K40" s="1335" t="s">
        <v>475</v>
      </c>
      <c r="L40" s="180">
        <v>100</v>
      </c>
      <c r="M40" t="s">
        <v>88</v>
      </c>
      <c r="N40" t="str">
        <f t="shared" si="2"/>
        <v>Old Civil Eng (0058)</v>
      </c>
      <c r="O40" t="s">
        <v>43</v>
      </c>
      <c r="P40" t="str">
        <f t="shared" si="3"/>
        <v>03000_0058</v>
      </c>
      <c r="Q40" s="180">
        <v>100</v>
      </c>
    </row>
    <row r="41" spans="1:17">
      <c r="A41" t="str">
        <f t="shared" si="0"/>
        <v>GIT_0059</v>
      </c>
      <c r="B41" t="str">
        <f t="shared" si="1"/>
        <v>GIT_Stephen C. Hall</v>
      </c>
      <c r="C41" t="s">
        <v>440</v>
      </c>
      <c r="D41" s="180" t="s">
        <v>28</v>
      </c>
      <c r="E41" t="s">
        <v>876</v>
      </c>
      <c r="F41" t="s">
        <v>877</v>
      </c>
      <c r="G41" s="180">
        <v>12597</v>
      </c>
      <c r="H41">
        <v>1924</v>
      </c>
      <c r="I41">
        <v>2012</v>
      </c>
      <c r="J41" s="1334" t="s">
        <v>475</v>
      </c>
      <c r="K41" s="1335" t="s">
        <v>475</v>
      </c>
      <c r="L41" s="180">
        <v>100</v>
      </c>
      <c r="M41" t="s">
        <v>88</v>
      </c>
      <c r="N41" t="str">
        <f t="shared" si="2"/>
        <v>Stephen C. Hall (0059)</v>
      </c>
      <c r="O41" t="s">
        <v>43</v>
      </c>
      <c r="P41" t="str">
        <f t="shared" si="3"/>
        <v>03000_0059</v>
      </c>
      <c r="Q41" s="180">
        <v>100</v>
      </c>
    </row>
    <row r="42" spans="1:17">
      <c r="A42" t="str">
        <f t="shared" si="0"/>
        <v>GIT_0061</v>
      </c>
      <c r="B42" t="str">
        <f t="shared" si="1"/>
        <v>GIT_430 10th St (N)</v>
      </c>
      <c r="C42" t="s">
        <v>440</v>
      </c>
      <c r="D42" s="180" t="s">
        <v>28</v>
      </c>
      <c r="E42" t="s">
        <v>694</v>
      </c>
      <c r="F42" t="s">
        <v>695</v>
      </c>
      <c r="G42" s="180">
        <v>46755</v>
      </c>
      <c r="H42">
        <v>1983</v>
      </c>
      <c r="J42" s="1334" t="s">
        <v>475</v>
      </c>
      <c r="K42" s="1335" t="s">
        <v>475</v>
      </c>
      <c r="L42" s="180">
        <v>0</v>
      </c>
      <c r="M42" t="s">
        <v>88</v>
      </c>
      <c r="N42" t="str">
        <f t="shared" si="2"/>
        <v>430 10th St (N) (0061)</v>
      </c>
      <c r="O42" t="s">
        <v>43</v>
      </c>
      <c r="P42" t="str">
        <f t="shared" si="3"/>
        <v>03000_0061</v>
      </c>
      <c r="Q42" s="180">
        <v>100</v>
      </c>
    </row>
    <row r="43" spans="1:17">
      <c r="A43" t="str">
        <f t="shared" si="0"/>
        <v>GIT_0062</v>
      </c>
      <c r="B43" t="str">
        <f t="shared" si="1"/>
        <v>GIT_Pumping Station</v>
      </c>
      <c r="C43" t="s">
        <v>440</v>
      </c>
      <c r="D43" s="180" t="s">
        <v>28</v>
      </c>
      <c r="E43" t="s">
        <v>473</v>
      </c>
      <c r="F43" t="s">
        <v>474</v>
      </c>
      <c r="G43" s="180">
        <v>252</v>
      </c>
      <c r="H43">
        <v>1948</v>
      </c>
      <c r="J43" s="1334" t="s">
        <v>475</v>
      </c>
      <c r="K43" s="1335" t="s">
        <v>475</v>
      </c>
      <c r="L43" s="180">
        <v>100</v>
      </c>
      <c r="M43" t="s">
        <v>88</v>
      </c>
      <c r="N43" t="str">
        <f t="shared" si="2"/>
        <v>Pumping Station (0062)</v>
      </c>
      <c r="O43" t="s">
        <v>43</v>
      </c>
      <c r="P43" t="str">
        <f t="shared" si="3"/>
        <v>03000_0062</v>
      </c>
      <c r="Q43" s="180">
        <v>100</v>
      </c>
    </row>
    <row r="44" spans="1:17">
      <c r="A44" t="str">
        <f t="shared" si="0"/>
        <v>GIT_0064</v>
      </c>
      <c r="B44" t="str">
        <f t="shared" si="1"/>
        <v>GIT_Ugrad Living Ctr</v>
      </c>
      <c r="C44" t="s">
        <v>440</v>
      </c>
      <c r="D44" s="180" t="s">
        <v>28</v>
      </c>
      <c r="E44" t="s">
        <v>912</v>
      </c>
      <c r="F44" t="s">
        <v>913</v>
      </c>
      <c r="G44" s="180">
        <v>191511</v>
      </c>
      <c r="H44">
        <v>1992</v>
      </c>
      <c r="I44">
        <v>2001</v>
      </c>
      <c r="J44" s="1334" t="s">
        <v>475</v>
      </c>
      <c r="K44" s="1335" t="s">
        <v>475</v>
      </c>
      <c r="L44" s="180">
        <v>1</v>
      </c>
      <c r="M44" t="s">
        <v>88</v>
      </c>
      <c r="N44" t="str">
        <f t="shared" si="2"/>
        <v>Ugrad Living Ctr (0064)</v>
      </c>
      <c r="O44" t="s">
        <v>43</v>
      </c>
      <c r="P44" t="str">
        <f t="shared" si="3"/>
        <v>03000_0064</v>
      </c>
      <c r="Q44" s="180">
        <v>100</v>
      </c>
    </row>
    <row r="45" spans="1:17">
      <c r="A45" t="str">
        <f t="shared" si="0"/>
        <v>GIT_0065</v>
      </c>
      <c r="B45" t="str">
        <f t="shared" si="1"/>
        <v>GIT_Maulding/Zbar</v>
      </c>
      <c r="C45" t="s">
        <v>440</v>
      </c>
      <c r="D45" s="180" t="s">
        <v>28</v>
      </c>
      <c r="E45" t="s">
        <v>832</v>
      </c>
      <c r="F45" t="s">
        <v>833</v>
      </c>
      <c r="G45" s="180">
        <v>211922</v>
      </c>
      <c r="H45">
        <v>1995</v>
      </c>
      <c r="J45" s="1334" t="s">
        <v>475</v>
      </c>
      <c r="K45" s="1335" t="s">
        <v>475</v>
      </c>
      <c r="L45" s="180">
        <v>1</v>
      </c>
      <c r="M45" t="s">
        <v>88</v>
      </c>
      <c r="N45" t="str">
        <f t="shared" si="2"/>
        <v>Maulding/Zbar (0065)</v>
      </c>
      <c r="O45" t="s">
        <v>43</v>
      </c>
      <c r="P45" t="str">
        <f t="shared" si="3"/>
        <v>03000_0065</v>
      </c>
      <c r="Q45" s="180">
        <v>100</v>
      </c>
    </row>
    <row r="46" spans="1:17">
      <c r="A46" t="str">
        <f t="shared" si="0"/>
        <v>GIT_0066</v>
      </c>
      <c r="B46" t="str">
        <f t="shared" si="1"/>
        <v>GIT_Cherry Emerson</v>
      </c>
      <c r="C46" t="s">
        <v>440</v>
      </c>
      <c r="D46" s="180" t="s">
        <v>28</v>
      </c>
      <c r="E46" t="s">
        <v>492</v>
      </c>
      <c r="F46" t="s">
        <v>493</v>
      </c>
      <c r="G46" s="180">
        <v>15650</v>
      </c>
      <c r="H46">
        <v>1959</v>
      </c>
      <c r="J46" s="1334" t="s">
        <v>475</v>
      </c>
      <c r="K46" s="1335" t="s">
        <v>481</v>
      </c>
      <c r="L46" s="180">
        <v>100</v>
      </c>
      <c r="M46" t="s">
        <v>88</v>
      </c>
      <c r="N46" t="str">
        <f t="shared" si="2"/>
        <v>Cherry Emerson (0066)</v>
      </c>
      <c r="O46" t="s">
        <v>43</v>
      </c>
      <c r="P46" t="str">
        <f t="shared" si="3"/>
        <v>03000_0066</v>
      </c>
      <c r="Q46" s="180">
        <v>100</v>
      </c>
    </row>
    <row r="47" spans="1:17">
      <c r="A47" t="str">
        <f t="shared" si="0"/>
        <v>GIT_0067</v>
      </c>
      <c r="B47" t="str">
        <f t="shared" si="1"/>
        <v>GIT_Garage-Warehouse</v>
      </c>
      <c r="C47" t="s">
        <v>440</v>
      </c>
      <c r="D47" s="180" t="s">
        <v>28</v>
      </c>
      <c r="E47" t="s">
        <v>696</v>
      </c>
      <c r="F47" t="s">
        <v>697</v>
      </c>
      <c r="G47" s="180">
        <v>9752</v>
      </c>
      <c r="H47">
        <v>1948</v>
      </c>
      <c r="J47" s="1334" t="s">
        <v>475</v>
      </c>
      <c r="K47" s="1335" t="s">
        <v>475</v>
      </c>
      <c r="L47" s="180">
        <v>100</v>
      </c>
      <c r="M47" t="s">
        <v>88</v>
      </c>
      <c r="N47" t="str">
        <f t="shared" si="2"/>
        <v>Garage-Warehouse (0067)</v>
      </c>
      <c r="O47" t="s">
        <v>43</v>
      </c>
      <c r="P47" t="str">
        <f t="shared" si="3"/>
        <v>03000_0067</v>
      </c>
      <c r="Q47" s="180">
        <v>100</v>
      </c>
    </row>
    <row r="48" spans="1:17">
      <c r="A48" t="str">
        <f t="shared" si="0"/>
        <v>GIT_0071</v>
      </c>
      <c r="B48" t="str">
        <f t="shared" si="1"/>
        <v>GIT_Presidents Home</v>
      </c>
      <c r="C48" t="s">
        <v>440</v>
      </c>
      <c r="D48" s="180" t="s">
        <v>28</v>
      </c>
      <c r="E48" t="s">
        <v>739</v>
      </c>
      <c r="F48" t="s">
        <v>740</v>
      </c>
      <c r="G48" s="180">
        <v>9637</v>
      </c>
      <c r="H48">
        <v>1949</v>
      </c>
      <c r="J48" s="1334" t="s">
        <v>475</v>
      </c>
      <c r="K48" s="1335" t="s">
        <v>475</v>
      </c>
      <c r="L48" s="180">
        <v>100</v>
      </c>
      <c r="M48" t="s">
        <v>88</v>
      </c>
      <c r="N48" t="str">
        <f t="shared" si="2"/>
        <v>Presidents Home (0071)</v>
      </c>
      <c r="O48" t="s">
        <v>43</v>
      </c>
      <c r="P48" t="str">
        <f t="shared" si="3"/>
        <v>03000_0071</v>
      </c>
      <c r="Q48" s="180">
        <v>100</v>
      </c>
    </row>
    <row r="49" spans="1:17">
      <c r="A49" t="str">
        <f t="shared" si="0"/>
        <v>GIT_0072</v>
      </c>
      <c r="B49" t="str">
        <f t="shared" si="1"/>
        <v>GIT_Brittain T Room</v>
      </c>
      <c r="C49" t="s">
        <v>440</v>
      </c>
      <c r="D49" s="180" t="s">
        <v>28</v>
      </c>
      <c r="E49" t="s">
        <v>819</v>
      </c>
      <c r="F49" t="s">
        <v>820</v>
      </c>
      <c r="G49" s="180">
        <v>1989</v>
      </c>
      <c r="H49">
        <v>1949</v>
      </c>
      <c r="J49" s="1334" t="s">
        <v>475</v>
      </c>
      <c r="K49" s="1335" t="s">
        <v>475</v>
      </c>
      <c r="L49" s="180">
        <v>0</v>
      </c>
      <c r="M49" t="s">
        <v>88</v>
      </c>
      <c r="N49" t="str">
        <f t="shared" si="2"/>
        <v>Brittain T Room (0072)</v>
      </c>
      <c r="O49" t="s">
        <v>43</v>
      </c>
      <c r="P49" t="str">
        <f t="shared" si="3"/>
        <v>03000_0072</v>
      </c>
      <c r="Q49" s="180">
        <v>100</v>
      </c>
    </row>
    <row r="50" spans="1:17">
      <c r="A50" t="str">
        <f t="shared" si="0"/>
        <v>GIT_0073</v>
      </c>
      <c r="B50" t="str">
        <f t="shared" si="1"/>
        <v>GIT_McCamish Pav</v>
      </c>
      <c r="C50" t="s">
        <v>440</v>
      </c>
      <c r="D50" s="180" t="s">
        <v>28</v>
      </c>
      <c r="E50" t="s">
        <v>787</v>
      </c>
      <c r="F50" t="s">
        <v>788</v>
      </c>
      <c r="G50" s="180">
        <v>203836</v>
      </c>
      <c r="H50">
        <v>1957</v>
      </c>
      <c r="I50">
        <v>2012</v>
      </c>
      <c r="J50" s="1334" t="s">
        <v>475</v>
      </c>
      <c r="K50" s="1335" t="s">
        <v>475</v>
      </c>
      <c r="L50" s="180">
        <v>50</v>
      </c>
      <c r="M50" t="s">
        <v>88</v>
      </c>
      <c r="N50" t="str">
        <f t="shared" si="2"/>
        <v>McCamish Pav (0073)</v>
      </c>
      <c r="O50" t="s">
        <v>43</v>
      </c>
      <c r="P50" t="str">
        <f t="shared" si="3"/>
        <v>03000_0073</v>
      </c>
      <c r="Q50" s="180">
        <v>100</v>
      </c>
    </row>
    <row r="51" spans="1:17">
      <c r="A51" t="str">
        <f t="shared" si="0"/>
        <v>GIT_0074</v>
      </c>
      <c r="B51" t="str">
        <f t="shared" si="1"/>
        <v>GIT_Bradley</v>
      </c>
      <c r="C51" t="s">
        <v>440</v>
      </c>
      <c r="D51" s="180" t="s">
        <v>28</v>
      </c>
      <c r="E51" t="s">
        <v>550</v>
      </c>
      <c r="F51" t="s">
        <v>551</v>
      </c>
      <c r="G51" s="180">
        <v>8442</v>
      </c>
      <c r="H51">
        <v>1951</v>
      </c>
      <c r="I51">
        <v>2013</v>
      </c>
      <c r="J51" s="1334" t="s">
        <v>475</v>
      </c>
      <c r="K51" s="1335" t="s">
        <v>475</v>
      </c>
      <c r="L51" s="180">
        <v>16</v>
      </c>
      <c r="M51" t="s">
        <v>88</v>
      </c>
      <c r="N51" t="str">
        <f t="shared" si="2"/>
        <v>Bradley (0074)</v>
      </c>
      <c r="O51" t="s">
        <v>43</v>
      </c>
      <c r="P51" t="str">
        <f t="shared" si="3"/>
        <v>03000_0074</v>
      </c>
      <c r="Q51" s="180">
        <v>100</v>
      </c>
    </row>
    <row r="52" spans="1:17">
      <c r="A52" t="str">
        <f t="shared" si="0"/>
        <v>GIT_0075</v>
      </c>
      <c r="B52" t="str">
        <f t="shared" si="1"/>
        <v>GIT_Arch (West)</v>
      </c>
      <c r="C52" t="s">
        <v>440</v>
      </c>
      <c r="D52" s="180" t="s">
        <v>28</v>
      </c>
      <c r="E52" t="s">
        <v>602</v>
      </c>
      <c r="F52" t="s">
        <v>603</v>
      </c>
      <c r="G52" s="180">
        <v>52724</v>
      </c>
      <c r="H52">
        <v>1980</v>
      </c>
      <c r="J52" s="1334" t="s">
        <v>475</v>
      </c>
      <c r="K52" s="1335" t="s">
        <v>486</v>
      </c>
      <c r="L52" s="180">
        <v>100</v>
      </c>
      <c r="M52" t="s">
        <v>88</v>
      </c>
      <c r="N52" t="str">
        <f t="shared" si="2"/>
        <v>Arch (West) (0075)</v>
      </c>
      <c r="O52" t="s">
        <v>43</v>
      </c>
      <c r="P52" t="str">
        <f t="shared" si="3"/>
        <v>03000_0075</v>
      </c>
      <c r="Q52" s="180">
        <v>100</v>
      </c>
    </row>
    <row r="53" spans="1:17">
      <c r="A53" t="str">
        <f t="shared" si="0"/>
        <v>GIT_0076</v>
      </c>
      <c r="B53" t="str">
        <f t="shared" si="1"/>
        <v>GIT_Arch (East)</v>
      </c>
      <c r="C53" t="s">
        <v>440</v>
      </c>
      <c r="D53" s="180" t="s">
        <v>28</v>
      </c>
      <c r="E53" t="s">
        <v>878</v>
      </c>
      <c r="F53" t="s">
        <v>879</v>
      </c>
      <c r="G53" s="180">
        <v>66026</v>
      </c>
      <c r="H53">
        <v>1952</v>
      </c>
      <c r="J53" s="1334" t="s">
        <v>475</v>
      </c>
      <c r="K53" s="1335" t="s">
        <v>486</v>
      </c>
      <c r="L53" s="180">
        <v>100</v>
      </c>
      <c r="M53" t="s">
        <v>88</v>
      </c>
      <c r="N53" t="str">
        <f t="shared" si="2"/>
        <v>Arch (East) (0076)</v>
      </c>
      <c r="O53" t="s">
        <v>43</v>
      </c>
      <c r="P53" t="str">
        <f t="shared" si="3"/>
        <v>03000_0076</v>
      </c>
      <c r="Q53" s="180">
        <v>100</v>
      </c>
    </row>
    <row r="54" spans="1:17">
      <c r="A54" t="str">
        <f t="shared" si="0"/>
        <v>GIT_0077</v>
      </c>
      <c r="B54" t="str">
        <f t="shared" si="1"/>
        <v>GIT_Gilbert Library</v>
      </c>
      <c r="C54" t="s">
        <v>440</v>
      </c>
      <c r="D54" s="180" t="s">
        <v>28</v>
      </c>
      <c r="E54" t="s">
        <v>512</v>
      </c>
      <c r="F54" t="s">
        <v>513</v>
      </c>
      <c r="G54" s="180">
        <v>97482</v>
      </c>
      <c r="H54">
        <v>1953</v>
      </c>
      <c r="I54">
        <v>2020</v>
      </c>
      <c r="J54" s="1334" t="s">
        <v>475</v>
      </c>
      <c r="K54" s="1335" t="s">
        <v>475</v>
      </c>
      <c r="L54" s="180">
        <v>100</v>
      </c>
      <c r="M54" t="s">
        <v>88</v>
      </c>
      <c r="N54" t="str">
        <f t="shared" si="2"/>
        <v>Gilbert Library (0077)</v>
      </c>
      <c r="O54" t="s">
        <v>43</v>
      </c>
      <c r="P54" t="str">
        <f t="shared" si="3"/>
        <v>03000_0077</v>
      </c>
      <c r="Q54" s="180">
        <v>100</v>
      </c>
    </row>
    <row r="55" spans="1:17">
      <c r="A55" t="str">
        <f t="shared" si="0"/>
        <v>GIT_0081</v>
      </c>
      <c r="B55" t="str">
        <f t="shared" si="1"/>
        <v>GIT_Howey (Physics)</v>
      </c>
      <c r="C55" t="s">
        <v>440</v>
      </c>
      <c r="D55" s="180" t="s">
        <v>28</v>
      </c>
      <c r="E55" t="s">
        <v>508</v>
      </c>
      <c r="F55" t="s">
        <v>509</v>
      </c>
      <c r="G55" s="180">
        <v>136179</v>
      </c>
      <c r="H55">
        <v>1967</v>
      </c>
      <c r="J55" s="1334" t="s">
        <v>475</v>
      </c>
      <c r="K55" s="1335" t="s">
        <v>1520</v>
      </c>
      <c r="L55" s="180">
        <v>100</v>
      </c>
      <c r="M55" t="s">
        <v>88</v>
      </c>
      <c r="N55" t="str">
        <f t="shared" si="2"/>
        <v>Howey (Physics) (0081)</v>
      </c>
      <c r="O55" t="s">
        <v>43</v>
      </c>
      <c r="P55" t="str">
        <f t="shared" si="3"/>
        <v>03000_0081</v>
      </c>
      <c r="Q55" s="180">
        <v>100</v>
      </c>
    </row>
    <row r="56" spans="1:17">
      <c r="A56" t="str">
        <f t="shared" si="0"/>
        <v>GIT_0084</v>
      </c>
      <c r="B56" t="str">
        <f t="shared" si="1"/>
        <v>GIT_Weber SST1</v>
      </c>
      <c r="C56" t="s">
        <v>440</v>
      </c>
      <c r="D56" s="180" t="s">
        <v>28</v>
      </c>
      <c r="E56" t="s">
        <v>726</v>
      </c>
      <c r="F56" t="s">
        <v>727</v>
      </c>
      <c r="G56" s="180">
        <v>51706</v>
      </c>
      <c r="H56">
        <v>1967</v>
      </c>
      <c r="I56">
        <v>2000</v>
      </c>
      <c r="J56" s="1334" t="s">
        <v>475</v>
      </c>
      <c r="K56" s="1335" t="s">
        <v>486</v>
      </c>
      <c r="L56" s="180">
        <v>100</v>
      </c>
      <c r="M56" t="s">
        <v>88</v>
      </c>
      <c r="N56" t="str">
        <f t="shared" si="2"/>
        <v>Weber SST1 (0084)</v>
      </c>
      <c r="O56" t="s">
        <v>43</v>
      </c>
      <c r="P56" t="str">
        <f t="shared" si="3"/>
        <v>03000_0084</v>
      </c>
      <c r="Q56" s="180">
        <v>100</v>
      </c>
    </row>
    <row r="57" spans="1:17">
      <c r="A57" t="str">
        <f t="shared" si="0"/>
        <v>GIT_0085</v>
      </c>
      <c r="B57" t="str">
        <f t="shared" si="1"/>
        <v>GIT_Van Leer (EE)</v>
      </c>
      <c r="C57" t="s">
        <v>440</v>
      </c>
      <c r="D57" s="180" t="s">
        <v>28</v>
      </c>
      <c r="E57" t="s">
        <v>626</v>
      </c>
      <c r="F57" t="s">
        <v>627</v>
      </c>
      <c r="G57" s="180">
        <v>165607</v>
      </c>
      <c r="H57">
        <v>1961</v>
      </c>
      <c r="J57" s="1334" t="s">
        <v>475</v>
      </c>
      <c r="K57" s="1335" t="s">
        <v>481</v>
      </c>
      <c r="L57" s="180">
        <v>100</v>
      </c>
      <c r="M57" t="s">
        <v>88</v>
      </c>
      <c r="N57" t="str">
        <f t="shared" si="2"/>
        <v>Van Leer (EE) (0085)</v>
      </c>
      <c r="O57" t="s">
        <v>43</v>
      </c>
      <c r="P57" t="str">
        <f t="shared" si="3"/>
        <v>03000_0085</v>
      </c>
      <c r="Q57" s="180">
        <v>100</v>
      </c>
    </row>
    <row r="58" spans="1:17">
      <c r="A58" t="str">
        <f t="shared" si="0"/>
        <v>GIT_0086</v>
      </c>
      <c r="B58" t="str">
        <f t="shared" si="1"/>
        <v>GIT_Bunger-Henry</v>
      </c>
      <c r="C58" t="s">
        <v>440</v>
      </c>
      <c r="D58" s="180" t="s">
        <v>28</v>
      </c>
      <c r="E58" t="s">
        <v>821</v>
      </c>
      <c r="F58" t="s">
        <v>822</v>
      </c>
      <c r="G58" s="180">
        <v>151265</v>
      </c>
      <c r="H58">
        <v>1964</v>
      </c>
      <c r="J58" s="1334" t="s">
        <v>475</v>
      </c>
      <c r="K58" s="1335" t="s">
        <v>486</v>
      </c>
      <c r="L58" s="180">
        <v>100</v>
      </c>
      <c r="M58" t="s">
        <v>88</v>
      </c>
      <c r="N58" t="str">
        <f t="shared" si="2"/>
        <v>Bunger-Henry (0086)</v>
      </c>
      <c r="O58" t="s">
        <v>43</v>
      </c>
      <c r="P58" t="str">
        <f t="shared" si="3"/>
        <v>03000_0086</v>
      </c>
      <c r="Q58" s="180">
        <v>100</v>
      </c>
    </row>
    <row r="59" spans="1:17">
      <c r="A59" t="str">
        <f t="shared" si="0"/>
        <v>GIT_0090</v>
      </c>
      <c r="B59" t="str">
        <f t="shared" si="1"/>
        <v>GIT_Field Res Hall</v>
      </c>
      <c r="C59" t="s">
        <v>440</v>
      </c>
      <c r="D59" s="180" t="s">
        <v>28</v>
      </c>
      <c r="E59" t="s">
        <v>656</v>
      </c>
      <c r="F59" t="s">
        <v>657</v>
      </c>
      <c r="G59" s="180">
        <v>26341</v>
      </c>
      <c r="H59">
        <v>1961</v>
      </c>
      <c r="I59">
        <v>1995</v>
      </c>
      <c r="J59" s="1334" t="s">
        <v>475</v>
      </c>
      <c r="K59" s="1335" t="s">
        <v>475</v>
      </c>
      <c r="L59" s="180">
        <v>1</v>
      </c>
      <c r="M59" t="s">
        <v>88</v>
      </c>
      <c r="N59" t="str">
        <f t="shared" si="2"/>
        <v>Field Res Hall (0090)</v>
      </c>
      <c r="O59" t="s">
        <v>43</v>
      </c>
      <c r="P59" t="str">
        <f t="shared" si="3"/>
        <v>03000_0090</v>
      </c>
      <c r="Q59" s="180">
        <v>100</v>
      </c>
    </row>
    <row r="60" spans="1:17">
      <c r="A60" t="str">
        <f t="shared" si="0"/>
        <v>GIT_0091</v>
      </c>
      <c r="B60" t="str">
        <f t="shared" si="1"/>
        <v>GIT_Matheson Res Hal</v>
      </c>
      <c r="C60" t="s">
        <v>440</v>
      </c>
      <c r="D60" s="180" t="s">
        <v>28</v>
      </c>
      <c r="E60" t="s">
        <v>628</v>
      </c>
      <c r="F60" t="s">
        <v>629</v>
      </c>
      <c r="G60" s="180">
        <v>33995</v>
      </c>
      <c r="H60">
        <v>1961</v>
      </c>
      <c r="I60">
        <v>1993</v>
      </c>
      <c r="J60" s="1334" t="s">
        <v>475</v>
      </c>
      <c r="K60" s="1335" t="s">
        <v>475</v>
      </c>
      <c r="L60" s="180">
        <v>1</v>
      </c>
      <c r="M60" t="s">
        <v>88</v>
      </c>
      <c r="N60" t="str">
        <f t="shared" si="2"/>
        <v>Matheson Res Hal (0091)</v>
      </c>
      <c r="O60" t="s">
        <v>43</v>
      </c>
      <c r="P60" t="str">
        <f t="shared" si="3"/>
        <v>03000_0091</v>
      </c>
      <c r="Q60" s="180">
        <v>100</v>
      </c>
    </row>
    <row r="61" spans="1:17">
      <c r="A61" t="str">
        <f t="shared" si="0"/>
        <v>GIT_0092</v>
      </c>
      <c r="B61" t="str">
        <f t="shared" si="1"/>
        <v>GIT_Perry Res Hall</v>
      </c>
      <c r="C61" t="s">
        <v>440</v>
      </c>
      <c r="D61" s="180" t="s">
        <v>28</v>
      </c>
      <c r="E61" t="s">
        <v>763</v>
      </c>
      <c r="F61" t="s">
        <v>764</v>
      </c>
      <c r="G61" s="180">
        <v>20371</v>
      </c>
      <c r="H61">
        <v>1961</v>
      </c>
      <c r="I61">
        <v>1993</v>
      </c>
      <c r="J61" s="1334" t="s">
        <v>475</v>
      </c>
      <c r="K61" s="1335" t="s">
        <v>475</v>
      </c>
      <c r="L61" s="180">
        <v>1</v>
      </c>
      <c r="M61" t="s">
        <v>88</v>
      </c>
      <c r="N61" t="str">
        <f t="shared" si="2"/>
        <v>Perry Res Hall (0092)</v>
      </c>
      <c r="O61" t="s">
        <v>43</v>
      </c>
      <c r="P61" t="str">
        <f t="shared" si="3"/>
        <v>03000_0092</v>
      </c>
      <c r="Q61" s="180">
        <v>100</v>
      </c>
    </row>
    <row r="62" spans="1:17">
      <c r="A62" t="str">
        <f t="shared" si="0"/>
        <v>GIT_0093</v>
      </c>
      <c r="B62" t="str">
        <f t="shared" si="1"/>
        <v>GIT_Hanson Res Hall</v>
      </c>
      <c r="C62" t="s">
        <v>440</v>
      </c>
      <c r="D62" s="180" t="s">
        <v>28</v>
      </c>
      <c r="E62" t="s">
        <v>590</v>
      </c>
      <c r="F62" t="s">
        <v>591</v>
      </c>
      <c r="G62" s="180">
        <v>23775</v>
      </c>
      <c r="H62">
        <v>1961</v>
      </c>
      <c r="I62">
        <v>1991</v>
      </c>
      <c r="J62" s="1334" t="s">
        <v>475</v>
      </c>
      <c r="K62" s="1335" t="s">
        <v>475</v>
      </c>
      <c r="L62" s="180">
        <v>1</v>
      </c>
      <c r="M62" t="s">
        <v>88</v>
      </c>
      <c r="N62" t="str">
        <f t="shared" si="2"/>
        <v>Hanson Res Hall (0093)</v>
      </c>
      <c r="O62" t="s">
        <v>43</v>
      </c>
      <c r="P62" t="str">
        <f t="shared" si="3"/>
        <v>03000_0093</v>
      </c>
      <c r="Q62" s="180">
        <v>100</v>
      </c>
    </row>
    <row r="63" spans="1:17">
      <c r="A63" t="str">
        <f t="shared" si="0"/>
        <v>GIT_0094</v>
      </c>
      <c r="B63" t="str">
        <f t="shared" si="1"/>
        <v>GIT_Hopkins Res Hall</v>
      </c>
      <c r="C63" t="s">
        <v>440</v>
      </c>
      <c r="D63" s="180" t="s">
        <v>28</v>
      </c>
      <c r="E63" t="s">
        <v>578</v>
      </c>
      <c r="F63" t="s">
        <v>579</v>
      </c>
      <c r="G63" s="180">
        <v>24403</v>
      </c>
      <c r="H63">
        <v>1961</v>
      </c>
      <c r="I63">
        <v>1995</v>
      </c>
      <c r="J63" s="1334" t="s">
        <v>475</v>
      </c>
      <c r="K63" s="1335" t="s">
        <v>475</v>
      </c>
      <c r="L63" s="180">
        <v>1</v>
      </c>
      <c r="M63" t="s">
        <v>88</v>
      </c>
      <c r="N63" t="str">
        <f t="shared" si="2"/>
        <v>Hopkins Res Hall (0094)</v>
      </c>
      <c r="O63" t="s">
        <v>43</v>
      </c>
      <c r="P63" t="str">
        <f t="shared" si="3"/>
        <v>03000_0094</v>
      </c>
      <c r="Q63" s="180">
        <v>100</v>
      </c>
    </row>
    <row r="64" spans="1:17">
      <c r="A64" t="str">
        <f t="shared" si="0"/>
        <v>GIT_0095</v>
      </c>
      <c r="B64" t="str">
        <f t="shared" si="1"/>
        <v>GIT_MiRC</v>
      </c>
      <c r="C64" t="s">
        <v>440</v>
      </c>
      <c r="D64" s="180" t="s">
        <v>28</v>
      </c>
      <c r="E64" t="s">
        <v>675</v>
      </c>
      <c r="F64" t="s">
        <v>676</v>
      </c>
      <c r="G64" s="180">
        <v>98420</v>
      </c>
      <c r="H64">
        <v>1988</v>
      </c>
      <c r="J64" s="1334" t="s">
        <v>475</v>
      </c>
      <c r="K64" s="1335" t="s">
        <v>475</v>
      </c>
      <c r="L64" s="180">
        <v>100</v>
      </c>
      <c r="M64" t="s">
        <v>88</v>
      </c>
      <c r="N64" t="str">
        <f t="shared" si="2"/>
        <v>MiRC (0095)</v>
      </c>
      <c r="O64" t="s">
        <v>43</v>
      </c>
      <c r="P64" t="str">
        <f t="shared" si="3"/>
        <v>03000_0095</v>
      </c>
      <c r="Q64" s="180">
        <v>100</v>
      </c>
    </row>
    <row r="65" spans="1:17">
      <c r="A65" t="str">
        <f t="shared" si="0"/>
        <v>GIT_0098</v>
      </c>
      <c r="B65" t="str">
        <f t="shared" si="1"/>
        <v>GIT_Weber Clrm SST3</v>
      </c>
      <c r="C65" t="s">
        <v>440</v>
      </c>
      <c r="D65" s="180" t="s">
        <v>28</v>
      </c>
      <c r="E65" t="s">
        <v>914</v>
      </c>
      <c r="F65" t="s">
        <v>915</v>
      </c>
      <c r="G65" s="180">
        <v>34411</v>
      </c>
      <c r="H65">
        <v>1967</v>
      </c>
      <c r="J65" s="1334" t="s">
        <v>475</v>
      </c>
      <c r="K65" s="1335" t="s">
        <v>486</v>
      </c>
      <c r="L65" s="180">
        <v>100</v>
      </c>
      <c r="M65" t="s">
        <v>88</v>
      </c>
      <c r="N65" t="str">
        <f t="shared" si="2"/>
        <v>Weber Clrm SST3 (0098)</v>
      </c>
      <c r="O65" t="s">
        <v>43</v>
      </c>
      <c r="P65" t="str">
        <f t="shared" si="3"/>
        <v>03000_0098</v>
      </c>
      <c r="Q65" s="180">
        <v>100</v>
      </c>
    </row>
    <row r="66" spans="1:17">
      <c r="A66" t="str">
        <f t="shared" si="0"/>
        <v>GIT_0099</v>
      </c>
      <c r="B66" t="str">
        <f t="shared" si="1"/>
        <v>GIT_Baker</v>
      </c>
      <c r="C66" t="s">
        <v>440</v>
      </c>
      <c r="D66" s="180" t="s">
        <v>28</v>
      </c>
      <c r="E66" t="s">
        <v>592</v>
      </c>
      <c r="F66" t="s">
        <v>593</v>
      </c>
      <c r="G66" s="180">
        <v>103074</v>
      </c>
      <c r="H66">
        <v>1969</v>
      </c>
      <c r="J66" s="1334" t="s">
        <v>475</v>
      </c>
      <c r="K66" s="1335" t="s">
        <v>486</v>
      </c>
      <c r="L66" s="180">
        <v>0</v>
      </c>
      <c r="M66" t="s">
        <v>88</v>
      </c>
      <c r="N66" t="str">
        <f t="shared" si="2"/>
        <v>Baker (0099)</v>
      </c>
      <c r="O66" t="s">
        <v>43</v>
      </c>
      <c r="P66" t="str">
        <f t="shared" si="3"/>
        <v>03000_0099</v>
      </c>
      <c r="Q66" s="180">
        <v>100</v>
      </c>
    </row>
    <row r="67" spans="1:17">
      <c r="A67" t="str">
        <f t="shared" ref="A67:A130" si="4">_xlfn.CONCAT(D67,"_",E67)</f>
        <v>GIT_0100</v>
      </c>
      <c r="B67" t="str">
        <f t="shared" ref="B67:B130" si="5">_xlfn.CONCAT(D67,"_",F67)</f>
        <v>GIT_Crosland Tower</v>
      </c>
      <c r="C67" t="s">
        <v>440</v>
      </c>
      <c r="D67" s="180" t="s">
        <v>28</v>
      </c>
      <c r="E67" t="s">
        <v>684</v>
      </c>
      <c r="F67" t="s">
        <v>685</v>
      </c>
      <c r="G67" s="180">
        <v>126823</v>
      </c>
      <c r="H67">
        <v>1968</v>
      </c>
      <c r="I67">
        <v>2018</v>
      </c>
      <c r="J67" s="1334" t="s">
        <v>475</v>
      </c>
      <c r="K67" s="1335" t="s">
        <v>475</v>
      </c>
      <c r="L67" s="180">
        <v>99</v>
      </c>
      <c r="M67" t="s">
        <v>88</v>
      </c>
      <c r="N67" t="str">
        <f t="shared" ref="N67:N130" si="6">_xlfn.CONCAT(F67," (",E67,")")</f>
        <v>Crosland Tower (0100)</v>
      </c>
      <c r="O67" t="s">
        <v>43</v>
      </c>
      <c r="P67" t="str">
        <f t="shared" ref="P67:P130" si="7">_xlfn.CONCAT(C67,"_",E67)</f>
        <v>03000_0100</v>
      </c>
      <c r="Q67" s="180">
        <v>100</v>
      </c>
    </row>
    <row r="68" spans="1:17">
      <c r="A68" t="str">
        <f t="shared" si="4"/>
        <v>GIT_0101</v>
      </c>
      <c r="B68" t="str">
        <f t="shared" si="5"/>
        <v>GIT_Knight SST2</v>
      </c>
      <c r="C68" t="s">
        <v>440</v>
      </c>
      <c r="D68" s="180" t="s">
        <v>28</v>
      </c>
      <c r="E68" t="s">
        <v>751</v>
      </c>
      <c r="F68" t="s">
        <v>752</v>
      </c>
      <c r="G68" s="180">
        <v>55402</v>
      </c>
      <c r="H68">
        <v>1968</v>
      </c>
      <c r="J68" s="1334" t="s">
        <v>475</v>
      </c>
      <c r="K68" s="1335" t="s">
        <v>481</v>
      </c>
      <c r="L68" s="180">
        <v>100</v>
      </c>
      <c r="M68" t="s">
        <v>88</v>
      </c>
      <c r="N68" t="str">
        <f t="shared" si="6"/>
        <v>Knight SST2 (0101)</v>
      </c>
      <c r="O68" t="s">
        <v>43</v>
      </c>
      <c r="P68" t="str">
        <f t="shared" si="7"/>
        <v>03000_0101</v>
      </c>
      <c r="Q68" s="180">
        <v>100</v>
      </c>
    </row>
    <row r="69" spans="1:17">
      <c r="A69" t="str">
        <f t="shared" si="4"/>
        <v>GIT_0103</v>
      </c>
      <c r="B69" t="str">
        <f t="shared" si="5"/>
        <v>GIT_Boggs</v>
      </c>
      <c r="C69" t="s">
        <v>440</v>
      </c>
      <c r="D69" s="180" t="s">
        <v>28</v>
      </c>
      <c r="E69" t="s">
        <v>535</v>
      </c>
      <c r="F69" t="s">
        <v>536</v>
      </c>
      <c r="G69" s="180">
        <v>154397</v>
      </c>
      <c r="H69">
        <v>1970</v>
      </c>
      <c r="I69">
        <v>2015</v>
      </c>
      <c r="J69" s="1334" t="s">
        <v>475</v>
      </c>
      <c r="K69" s="1335" t="s">
        <v>475</v>
      </c>
      <c r="L69" s="180">
        <v>100</v>
      </c>
      <c r="M69" t="s">
        <v>88</v>
      </c>
      <c r="N69" t="str">
        <f t="shared" si="6"/>
        <v>Boggs (0103)</v>
      </c>
      <c r="O69" t="s">
        <v>43</v>
      </c>
      <c r="P69" t="str">
        <f t="shared" si="7"/>
        <v>03000_0103</v>
      </c>
      <c r="Q69" s="180">
        <v>100</v>
      </c>
    </row>
    <row r="70" spans="1:17">
      <c r="A70" t="str">
        <f t="shared" si="4"/>
        <v>GIT_0104</v>
      </c>
      <c r="B70" t="str">
        <f t="shared" si="5"/>
        <v>GIT_Lewis Student Ctr.</v>
      </c>
      <c r="C70" t="s">
        <v>440</v>
      </c>
      <c r="D70" s="180" t="s">
        <v>28</v>
      </c>
      <c r="E70" t="s">
        <v>686</v>
      </c>
      <c r="F70" t="s">
        <v>7163</v>
      </c>
      <c r="G70" s="180">
        <v>107903</v>
      </c>
      <c r="H70">
        <v>1969</v>
      </c>
      <c r="I70">
        <v>2020</v>
      </c>
      <c r="J70" s="1334" t="s">
        <v>486</v>
      </c>
      <c r="K70" s="1335" t="s">
        <v>475</v>
      </c>
      <c r="L70" s="180">
        <v>79</v>
      </c>
      <c r="M70" t="s">
        <v>88</v>
      </c>
      <c r="N70" t="str">
        <f t="shared" si="6"/>
        <v>Lewis Student Ctr. (0104)</v>
      </c>
      <c r="O70" t="s">
        <v>43</v>
      </c>
      <c r="P70" t="str">
        <f t="shared" si="7"/>
        <v>03000_0104</v>
      </c>
      <c r="Q70" s="180">
        <v>100</v>
      </c>
    </row>
    <row r="71" spans="1:17">
      <c r="A71" t="str">
        <f t="shared" si="4"/>
        <v>GIT_0105</v>
      </c>
      <c r="B71" t="str">
        <f t="shared" si="5"/>
        <v>GIT_Commander</v>
      </c>
      <c r="C71" t="s">
        <v>440</v>
      </c>
      <c r="D71" s="180" t="s">
        <v>28</v>
      </c>
      <c r="E71" t="s">
        <v>916</v>
      </c>
      <c r="F71" t="s">
        <v>917</v>
      </c>
      <c r="G71" s="180">
        <v>7198</v>
      </c>
      <c r="H71">
        <v>1969</v>
      </c>
      <c r="I71">
        <v>1998</v>
      </c>
      <c r="J71" s="1334" t="s">
        <v>475</v>
      </c>
      <c r="K71" s="1335" t="s">
        <v>475</v>
      </c>
      <c r="L71" s="180">
        <v>0</v>
      </c>
      <c r="M71" t="s">
        <v>88</v>
      </c>
      <c r="N71" t="str">
        <f t="shared" si="6"/>
        <v>Commander (0105)</v>
      </c>
      <c r="O71" t="s">
        <v>43</v>
      </c>
      <c r="P71" t="str">
        <f t="shared" si="7"/>
        <v>03000_0105</v>
      </c>
      <c r="Q71" s="180">
        <v>100</v>
      </c>
    </row>
    <row r="72" spans="1:17">
      <c r="A72" t="str">
        <f t="shared" si="4"/>
        <v>GIT_0106</v>
      </c>
      <c r="B72" t="str">
        <f t="shared" si="5"/>
        <v>GIT_Fulmer Res Hall</v>
      </c>
      <c r="C72" t="s">
        <v>440</v>
      </c>
      <c r="D72" s="180" t="s">
        <v>28</v>
      </c>
      <c r="E72" t="s">
        <v>765</v>
      </c>
      <c r="F72" t="s">
        <v>766</v>
      </c>
      <c r="G72" s="180">
        <v>16342</v>
      </c>
      <c r="H72">
        <v>1969</v>
      </c>
      <c r="I72">
        <v>2000</v>
      </c>
      <c r="J72" s="1334" t="s">
        <v>475</v>
      </c>
      <c r="K72" s="1335" t="s">
        <v>475</v>
      </c>
      <c r="L72" s="180">
        <v>1</v>
      </c>
      <c r="M72" t="s">
        <v>88</v>
      </c>
      <c r="N72" t="str">
        <f t="shared" si="6"/>
        <v>Fulmer Res Hall (0106)</v>
      </c>
      <c r="O72" t="s">
        <v>43</v>
      </c>
      <c r="P72" t="str">
        <f t="shared" si="7"/>
        <v>03000_0106</v>
      </c>
      <c r="Q72" s="180">
        <v>100</v>
      </c>
    </row>
    <row r="73" spans="1:17">
      <c r="A73" t="str">
        <f t="shared" si="4"/>
        <v>GIT_0107</v>
      </c>
      <c r="B73" t="str">
        <f t="shared" si="5"/>
        <v>GIT_Hefner Res Hall</v>
      </c>
      <c r="C73" t="s">
        <v>440</v>
      </c>
      <c r="D73" s="180" t="s">
        <v>28</v>
      </c>
      <c r="E73" t="s">
        <v>741</v>
      </c>
      <c r="F73" t="s">
        <v>742</v>
      </c>
      <c r="G73" s="180">
        <v>24130</v>
      </c>
      <c r="H73">
        <v>1969</v>
      </c>
      <c r="I73">
        <v>2007</v>
      </c>
      <c r="J73" s="1334" t="s">
        <v>475</v>
      </c>
      <c r="K73" s="1335" t="s">
        <v>475</v>
      </c>
      <c r="L73" s="180">
        <v>1</v>
      </c>
      <c r="M73" t="s">
        <v>88</v>
      </c>
      <c r="N73" t="str">
        <f t="shared" si="6"/>
        <v>Hefner Res Hall (0107)</v>
      </c>
      <c r="O73" t="s">
        <v>43</v>
      </c>
      <c r="P73" t="str">
        <f t="shared" si="7"/>
        <v>03000_0107</v>
      </c>
      <c r="Q73" s="180">
        <v>100</v>
      </c>
    </row>
    <row r="74" spans="1:17">
      <c r="A74" t="str">
        <f t="shared" si="4"/>
        <v>GIT_0108</v>
      </c>
      <c r="B74" t="str">
        <f t="shared" si="5"/>
        <v>GIT_Armstrong Res Ha</v>
      </c>
      <c r="C74" t="s">
        <v>440</v>
      </c>
      <c r="D74" s="180" t="s">
        <v>28</v>
      </c>
      <c r="E74" t="s">
        <v>743</v>
      </c>
      <c r="F74" t="s">
        <v>744</v>
      </c>
      <c r="G74" s="180">
        <v>22460</v>
      </c>
      <c r="H74">
        <v>1969</v>
      </c>
      <c r="I74">
        <v>2007</v>
      </c>
      <c r="J74" s="1334" t="s">
        <v>475</v>
      </c>
      <c r="K74" s="1335" t="s">
        <v>475</v>
      </c>
      <c r="L74" s="180">
        <v>7</v>
      </c>
      <c r="M74" t="s">
        <v>88</v>
      </c>
      <c r="N74" t="str">
        <f t="shared" si="6"/>
        <v>Armstrong Res Ha (0108)</v>
      </c>
      <c r="O74" t="s">
        <v>43</v>
      </c>
      <c r="P74" t="str">
        <f t="shared" si="7"/>
        <v>03000_0108</v>
      </c>
      <c r="Q74" s="180">
        <v>100</v>
      </c>
    </row>
    <row r="75" spans="1:17">
      <c r="A75" t="str">
        <f t="shared" si="4"/>
        <v>GIT_0109</v>
      </c>
      <c r="B75" t="str">
        <f t="shared" si="5"/>
        <v>GIT_Caldwell Res Hal</v>
      </c>
      <c r="C75" t="s">
        <v>440</v>
      </c>
      <c r="D75" s="180" t="s">
        <v>28</v>
      </c>
      <c r="E75" t="s">
        <v>894</v>
      </c>
      <c r="F75" t="s">
        <v>895</v>
      </c>
      <c r="G75" s="180">
        <v>28974</v>
      </c>
      <c r="H75">
        <v>1969</v>
      </c>
      <c r="I75">
        <v>2002</v>
      </c>
      <c r="J75" s="1334" t="s">
        <v>475</v>
      </c>
      <c r="K75" s="1335" t="s">
        <v>475</v>
      </c>
      <c r="L75" s="180">
        <v>1</v>
      </c>
      <c r="M75" t="s">
        <v>88</v>
      </c>
      <c r="N75" t="str">
        <f t="shared" si="6"/>
        <v>Caldwell Res Hal (0109)</v>
      </c>
      <c r="O75" t="s">
        <v>43</v>
      </c>
      <c r="P75" t="str">
        <f t="shared" si="7"/>
        <v>03000_0109</v>
      </c>
      <c r="Q75" s="180">
        <v>100</v>
      </c>
    </row>
    <row r="76" spans="1:17">
      <c r="A76" t="str">
        <f t="shared" si="4"/>
        <v>GIT_0110</v>
      </c>
      <c r="B76" t="str">
        <f t="shared" si="5"/>
        <v>GIT_Folk Res Hal</v>
      </c>
      <c r="C76" t="s">
        <v>440</v>
      </c>
      <c r="D76" s="180" t="s">
        <v>28</v>
      </c>
      <c r="E76" t="s">
        <v>666</v>
      </c>
      <c r="F76" t="s">
        <v>667</v>
      </c>
      <c r="G76" s="180">
        <v>28974</v>
      </c>
      <c r="H76">
        <v>1969</v>
      </c>
      <c r="I76">
        <v>1998</v>
      </c>
      <c r="J76" s="1334" t="s">
        <v>475</v>
      </c>
      <c r="K76" s="1335" t="s">
        <v>475</v>
      </c>
      <c r="L76" s="180">
        <v>1</v>
      </c>
      <c r="M76" t="s">
        <v>88</v>
      </c>
      <c r="N76" t="str">
        <f t="shared" si="6"/>
        <v>Folk Res Hal (0110)</v>
      </c>
      <c r="O76" t="s">
        <v>43</v>
      </c>
      <c r="P76" t="str">
        <f t="shared" si="7"/>
        <v>03000_0110</v>
      </c>
      <c r="Q76" s="180">
        <v>100</v>
      </c>
    </row>
    <row r="77" spans="1:17">
      <c r="A77" t="str">
        <f t="shared" si="4"/>
        <v>GIT_0111</v>
      </c>
      <c r="B77" t="str">
        <f t="shared" si="5"/>
        <v>GIT_Mason (CE)</v>
      </c>
      <c r="C77" t="s">
        <v>440</v>
      </c>
      <c r="D77" s="180" t="s">
        <v>28</v>
      </c>
      <c r="E77" t="s">
        <v>834</v>
      </c>
      <c r="F77" t="s">
        <v>835</v>
      </c>
      <c r="G77" s="180">
        <v>97375</v>
      </c>
      <c r="H77">
        <v>1969</v>
      </c>
      <c r="I77">
        <v>2013</v>
      </c>
      <c r="J77" s="1334" t="s">
        <v>475</v>
      </c>
      <c r="K77" s="1335" t="s">
        <v>475</v>
      </c>
      <c r="L77" s="180">
        <v>100</v>
      </c>
      <c r="M77" t="s">
        <v>88</v>
      </c>
      <c r="N77" t="str">
        <f t="shared" si="6"/>
        <v>Mason (CE) (0111)</v>
      </c>
      <c r="O77" t="s">
        <v>43</v>
      </c>
      <c r="P77" t="str">
        <f t="shared" si="7"/>
        <v>03000_0111</v>
      </c>
      <c r="Q77" s="180">
        <v>100</v>
      </c>
    </row>
    <row r="78" spans="1:17">
      <c r="A78" t="str">
        <f t="shared" si="4"/>
        <v>GIT_0115</v>
      </c>
      <c r="B78" t="str">
        <f t="shared" si="5"/>
        <v>GIT_Couch</v>
      </c>
      <c r="C78" t="s">
        <v>440</v>
      </c>
      <c r="D78" s="180" t="s">
        <v>28</v>
      </c>
      <c r="E78" t="s">
        <v>789</v>
      </c>
      <c r="F78" t="s">
        <v>790</v>
      </c>
      <c r="G78" s="180">
        <v>31479</v>
      </c>
      <c r="H78">
        <v>1935</v>
      </c>
      <c r="J78" s="1334" t="s">
        <v>475</v>
      </c>
      <c r="K78" s="1335" t="s">
        <v>481</v>
      </c>
      <c r="L78" s="180">
        <v>100</v>
      </c>
      <c r="M78" t="s">
        <v>88</v>
      </c>
      <c r="N78" t="str">
        <f t="shared" si="6"/>
        <v>Couch (0115)</v>
      </c>
      <c r="O78" t="s">
        <v>43</v>
      </c>
      <c r="P78" t="str">
        <f t="shared" si="7"/>
        <v>03000_0115</v>
      </c>
      <c r="Q78" s="180">
        <v>100</v>
      </c>
    </row>
    <row r="79" spans="1:17">
      <c r="A79" t="str">
        <f t="shared" si="4"/>
        <v>GIT_0116</v>
      </c>
      <c r="B79" t="str">
        <f t="shared" si="5"/>
        <v>GIT_Woodruff Res Hal</v>
      </c>
      <c r="C79" t="s">
        <v>440</v>
      </c>
      <c r="D79" s="180" t="s">
        <v>28</v>
      </c>
      <c r="E79" t="s">
        <v>781</v>
      </c>
      <c r="F79" t="s">
        <v>782</v>
      </c>
      <c r="G79" s="180">
        <v>142209</v>
      </c>
      <c r="H79">
        <v>1984</v>
      </c>
      <c r="I79">
        <v>2000</v>
      </c>
      <c r="J79" s="1334" t="s">
        <v>475</v>
      </c>
      <c r="K79" s="1335" t="s">
        <v>475</v>
      </c>
      <c r="L79" s="180">
        <v>7</v>
      </c>
      <c r="M79" t="s">
        <v>88</v>
      </c>
      <c r="N79" t="str">
        <f t="shared" si="6"/>
        <v>Woodruff Res Hal (0116)</v>
      </c>
      <c r="O79" t="s">
        <v>43</v>
      </c>
      <c r="P79" t="str">
        <f t="shared" si="7"/>
        <v>03000_0116</v>
      </c>
      <c r="Q79" s="180">
        <v>100</v>
      </c>
    </row>
    <row r="80" spans="1:17">
      <c r="A80" t="str">
        <f t="shared" si="4"/>
        <v>GIT_0117</v>
      </c>
      <c r="B80" t="str">
        <f t="shared" si="5"/>
        <v>GIT_Freeman Res Hall</v>
      </c>
      <c r="C80" t="s">
        <v>440</v>
      </c>
      <c r="D80" s="180" t="s">
        <v>28</v>
      </c>
      <c r="E80" t="s">
        <v>604</v>
      </c>
      <c r="F80" t="s">
        <v>605</v>
      </c>
      <c r="G80" s="180">
        <v>27060</v>
      </c>
      <c r="H80">
        <v>1972</v>
      </c>
      <c r="I80">
        <v>2011</v>
      </c>
      <c r="J80" s="1334" t="s">
        <v>475</v>
      </c>
      <c r="K80" s="1335" t="s">
        <v>475</v>
      </c>
      <c r="L80" s="180">
        <v>1</v>
      </c>
      <c r="M80" t="s">
        <v>88</v>
      </c>
      <c r="N80" t="str">
        <f t="shared" si="6"/>
        <v>Freeman Res Hall (0117)</v>
      </c>
      <c r="O80" t="s">
        <v>43</v>
      </c>
      <c r="P80" t="str">
        <f t="shared" si="7"/>
        <v>03000_0117</v>
      </c>
      <c r="Q80" s="180">
        <v>100</v>
      </c>
    </row>
    <row r="81" spans="1:17">
      <c r="A81" t="str">
        <f t="shared" si="4"/>
        <v>GIT_0118</v>
      </c>
      <c r="B81" t="str">
        <f t="shared" si="5"/>
        <v>GIT_Montag Res Hall</v>
      </c>
      <c r="C81" t="s">
        <v>440</v>
      </c>
      <c r="D81" s="180" t="s">
        <v>28</v>
      </c>
      <c r="E81" t="s">
        <v>630</v>
      </c>
      <c r="F81" t="s">
        <v>631</v>
      </c>
      <c r="G81" s="180">
        <v>23926</v>
      </c>
      <c r="H81">
        <v>1972</v>
      </c>
      <c r="I81">
        <v>2011</v>
      </c>
      <c r="J81" s="1334" t="s">
        <v>475</v>
      </c>
      <c r="K81" s="1335" t="s">
        <v>475</v>
      </c>
      <c r="L81" s="180">
        <v>1</v>
      </c>
      <c r="M81" t="s">
        <v>88</v>
      </c>
      <c r="N81" t="str">
        <f t="shared" si="6"/>
        <v>Montag Res Hall (0118)</v>
      </c>
      <c r="O81" t="s">
        <v>43</v>
      </c>
      <c r="P81" t="str">
        <f t="shared" si="7"/>
        <v>03000_0118</v>
      </c>
      <c r="Q81" s="180">
        <v>0</v>
      </c>
    </row>
    <row r="82" spans="1:17">
      <c r="A82" t="str">
        <f t="shared" si="4"/>
        <v>GIT_0119</v>
      </c>
      <c r="B82" t="str">
        <f t="shared" si="5"/>
        <v>GIT_Fitten Res Hall</v>
      </c>
      <c r="C82" t="s">
        <v>440</v>
      </c>
      <c r="D82" s="180" t="s">
        <v>28</v>
      </c>
      <c r="E82" t="s">
        <v>771</v>
      </c>
      <c r="F82" t="s">
        <v>772</v>
      </c>
      <c r="G82" s="180">
        <v>31599</v>
      </c>
      <c r="H82">
        <v>1972</v>
      </c>
      <c r="I82">
        <v>2011</v>
      </c>
      <c r="J82" s="1334" t="s">
        <v>475</v>
      </c>
      <c r="K82" s="1335" t="s">
        <v>475</v>
      </c>
      <c r="L82" s="180">
        <v>1</v>
      </c>
      <c r="M82" t="s">
        <v>88</v>
      </c>
      <c r="N82" t="str">
        <f t="shared" si="6"/>
        <v>Fitten Res Hall (0119)</v>
      </c>
      <c r="O82" t="s">
        <v>43</v>
      </c>
      <c r="P82" t="str">
        <f t="shared" si="7"/>
        <v>03000_0119</v>
      </c>
      <c r="Q82" s="180">
        <v>100</v>
      </c>
    </row>
    <row r="83" spans="1:17">
      <c r="A83" t="str">
        <f t="shared" si="4"/>
        <v>GIT_0123</v>
      </c>
      <c r="B83" t="str">
        <f t="shared" si="5"/>
        <v>GIT_Student Services</v>
      </c>
      <c r="C83" t="s">
        <v>440</v>
      </c>
      <c r="D83" s="180" t="s">
        <v>28</v>
      </c>
      <c r="E83" t="s">
        <v>632</v>
      </c>
      <c r="F83" t="s">
        <v>633</v>
      </c>
      <c r="G83" s="180">
        <v>42598</v>
      </c>
      <c r="H83">
        <v>1990</v>
      </c>
      <c r="J83" s="1334" t="s">
        <v>475</v>
      </c>
      <c r="K83" s="1335" t="s">
        <v>475</v>
      </c>
      <c r="L83" s="180">
        <v>90</v>
      </c>
      <c r="M83" t="s">
        <v>88</v>
      </c>
      <c r="N83" t="str">
        <f t="shared" si="6"/>
        <v>Student Services (0123)</v>
      </c>
      <c r="O83" t="s">
        <v>43</v>
      </c>
      <c r="P83" t="str">
        <f t="shared" si="7"/>
        <v>03000_0123</v>
      </c>
      <c r="Q83" s="180">
        <v>100</v>
      </c>
    </row>
    <row r="84" spans="1:17">
      <c r="A84" t="str">
        <f t="shared" si="4"/>
        <v>GIT_0124</v>
      </c>
      <c r="B84" t="str">
        <f t="shared" si="5"/>
        <v>GIT_Ferst Theater</v>
      </c>
      <c r="C84" t="s">
        <v>440</v>
      </c>
      <c r="D84" s="180" t="s">
        <v>28</v>
      </c>
      <c r="E84" t="s">
        <v>773</v>
      </c>
      <c r="F84" t="s">
        <v>774</v>
      </c>
      <c r="G84" s="180">
        <v>40490</v>
      </c>
      <c r="H84">
        <v>1992</v>
      </c>
      <c r="J84" s="1334" t="s">
        <v>475</v>
      </c>
      <c r="K84" s="1335" t="s">
        <v>475</v>
      </c>
      <c r="L84" s="180">
        <v>50</v>
      </c>
      <c r="M84" t="s">
        <v>88</v>
      </c>
      <c r="N84" t="str">
        <f t="shared" si="6"/>
        <v>Ferst Theater (0124)</v>
      </c>
      <c r="O84" t="s">
        <v>43</v>
      </c>
      <c r="P84" t="str">
        <f t="shared" si="7"/>
        <v>03000_0124</v>
      </c>
      <c r="Q84" s="180">
        <v>100</v>
      </c>
    </row>
    <row r="85" spans="1:17">
      <c r="A85" t="str">
        <f t="shared" si="4"/>
        <v>GIT_0125</v>
      </c>
      <c r="B85" t="str">
        <f t="shared" si="5"/>
        <v>GIT_SREB</v>
      </c>
      <c r="C85" t="s">
        <v>440</v>
      </c>
      <c r="D85" s="180" t="s">
        <v>28</v>
      </c>
      <c r="E85" t="s">
        <v>687</v>
      </c>
      <c r="F85" t="s">
        <v>688</v>
      </c>
      <c r="G85" s="180">
        <v>22902</v>
      </c>
      <c r="H85">
        <v>1986</v>
      </c>
      <c r="J85" s="1334" t="s">
        <v>475</v>
      </c>
      <c r="K85" s="1335" t="s">
        <v>475</v>
      </c>
      <c r="L85" s="180">
        <v>0</v>
      </c>
      <c r="M85" t="s">
        <v>88</v>
      </c>
      <c r="N85" t="str">
        <f t="shared" si="6"/>
        <v>SREB (0125)</v>
      </c>
      <c r="O85" t="s">
        <v>43</v>
      </c>
      <c r="P85" t="str">
        <f t="shared" si="7"/>
        <v>03000_0125</v>
      </c>
      <c r="Q85" s="180">
        <v>100</v>
      </c>
    </row>
    <row r="86" spans="1:17">
      <c r="A86" t="str">
        <f t="shared" si="4"/>
        <v>GIT_0126</v>
      </c>
      <c r="B86" t="str">
        <f t="shared" si="5"/>
        <v>GIT_Callaway MaRC</v>
      </c>
      <c r="C86" t="s">
        <v>440</v>
      </c>
      <c r="D86" s="180" t="s">
        <v>28</v>
      </c>
      <c r="E86" t="s">
        <v>556</v>
      </c>
      <c r="F86" t="s">
        <v>557</v>
      </c>
      <c r="G86" s="180">
        <v>119813</v>
      </c>
      <c r="H86">
        <v>1990</v>
      </c>
      <c r="J86" s="1334" t="s">
        <v>475</v>
      </c>
      <c r="K86" s="1335" t="s">
        <v>475</v>
      </c>
      <c r="L86" s="180">
        <v>100</v>
      </c>
      <c r="M86" t="s">
        <v>88</v>
      </c>
      <c r="N86" t="str">
        <f t="shared" si="6"/>
        <v>Callaway MaRC (0126)</v>
      </c>
      <c r="O86" t="s">
        <v>43</v>
      </c>
      <c r="P86" t="str">
        <f t="shared" si="7"/>
        <v>03000_0126</v>
      </c>
      <c r="Q86" s="180">
        <v>100</v>
      </c>
    </row>
    <row r="87" spans="1:17">
      <c r="A87" t="str">
        <f t="shared" si="4"/>
        <v>GIT_0129</v>
      </c>
      <c r="B87" t="str">
        <f t="shared" si="5"/>
        <v>GIT_Paper Tricentenn</v>
      </c>
      <c r="C87" t="s">
        <v>440</v>
      </c>
      <c r="D87" s="180" t="s">
        <v>28</v>
      </c>
      <c r="E87" t="s">
        <v>823</v>
      </c>
      <c r="F87" t="s">
        <v>824</v>
      </c>
      <c r="G87" s="180">
        <v>162923</v>
      </c>
      <c r="H87">
        <v>1992</v>
      </c>
      <c r="J87" s="1334" t="s">
        <v>475</v>
      </c>
      <c r="K87" s="1335" t="s">
        <v>486</v>
      </c>
      <c r="L87" s="180">
        <v>100</v>
      </c>
      <c r="M87" t="s">
        <v>88</v>
      </c>
      <c r="N87" t="str">
        <f t="shared" si="6"/>
        <v>Paper Tricentenn (0129)</v>
      </c>
      <c r="O87" t="s">
        <v>43</v>
      </c>
      <c r="P87" t="str">
        <f t="shared" si="7"/>
        <v>03000_0129</v>
      </c>
      <c r="Q87" s="180">
        <v>100</v>
      </c>
    </row>
    <row r="88" spans="1:17">
      <c r="A88" t="str">
        <f t="shared" si="4"/>
        <v>GIT_0130</v>
      </c>
      <c r="B88" t="str">
        <f t="shared" si="5"/>
        <v>GIT_Eighth St Apts</v>
      </c>
      <c r="C88" t="s">
        <v>440</v>
      </c>
      <c r="D88" s="180" t="s">
        <v>28</v>
      </c>
      <c r="E88" t="s">
        <v>753</v>
      </c>
      <c r="F88" t="s">
        <v>754</v>
      </c>
      <c r="G88" s="180">
        <v>289933</v>
      </c>
      <c r="H88">
        <v>1995</v>
      </c>
      <c r="J88" s="1334" t="s">
        <v>475</v>
      </c>
      <c r="K88" s="1335" t="s">
        <v>475</v>
      </c>
      <c r="L88" s="180">
        <v>1</v>
      </c>
      <c r="M88" t="s">
        <v>88</v>
      </c>
      <c r="N88" t="str">
        <f t="shared" si="6"/>
        <v>Eighth St Apts (0130)</v>
      </c>
      <c r="O88" t="s">
        <v>43</v>
      </c>
      <c r="P88" t="str">
        <f t="shared" si="7"/>
        <v>03000_0130</v>
      </c>
      <c r="Q88" s="180">
        <v>100</v>
      </c>
    </row>
    <row r="89" spans="1:17">
      <c r="A89" t="str">
        <f t="shared" si="4"/>
        <v>GIT_0131</v>
      </c>
      <c r="B89" t="str">
        <f t="shared" si="5"/>
        <v>GIT_Crecine Res Hall</v>
      </c>
      <c r="C89" t="s">
        <v>440</v>
      </c>
      <c r="D89" s="180" t="s">
        <v>28</v>
      </c>
      <c r="E89" t="s">
        <v>514</v>
      </c>
      <c r="F89" t="s">
        <v>515</v>
      </c>
      <c r="G89" s="180">
        <v>132885</v>
      </c>
      <c r="H89">
        <v>1995</v>
      </c>
      <c r="J89" s="1334" t="s">
        <v>475</v>
      </c>
      <c r="K89" s="1335" t="s">
        <v>475</v>
      </c>
      <c r="L89" s="180">
        <v>1</v>
      </c>
      <c r="M89" t="s">
        <v>88</v>
      </c>
      <c r="N89" t="str">
        <f t="shared" si="6"/>
        <v>Crecine Res Hall (0131)</v>
      </c>
      <c r="O89" t="s">
        <v>43</v>
      </c>
      <c r="P89" t="str">
        <f t="shared" si="7"/>
        <v>03000_0131</v>
      </c>
      <c r="Q89" s="180">
        <v>100</v>
      </c>
    </row>
    <row r="90" spans="1:17">
      <c r="A90" t="str">
        <f t="shared" si="4"/>
        <v>GIT_0132</v>
      </c>
      <c r="B90" t="str">
        <f t="shared" si="5"/>
        <v>GIT_Center St Apts</v>
      </c>
      <c r="C90" t="s">
        <v>440</v>
      </c>
      <c r="D90" s="180" t="s">
        <v>28</v>
      </c>
      <c r="E90" t="s">
        <v>563</v>
      </c>
      <c r="F90" t="s">
        <v>564</v>
      </c>
      <c r="G90" s="180">
        <v>152789</v>
      </c>
      <c r="H90">
        <v>1995</v>
      </c>
      <c r="I90">
        <v>1999</v>
      </c>
      <c r="J90" s="1334" t="s">
        <v>475</v>
      </c>
      <c r="K90" s="1335" t="s">
        <v>475</v>
      </c>
      <c r="L90" s="180">
        <v>1</v>
      </c>
      <c r="M90" t="s">
        <v>88</v>
      </c>
      <c r="N90" t="str">
        <f t="shared" si="6"/>
        <v>Center St Apts (0132)</v>
      </c>
      <c r="O90" t="s">
        <v>43</v>
      </c>
      <c r="P90" t="str">
        <f t="shared" si="7"/>
        <v>03000_0132</v>
      </c>
      <c r="Q90" s="180">
        <v>100</v>
      </c>
    </row>
    <row r="91" spans="1:17">
      <c r="A91" t="str">
        <f t="shared" si="4"/>
        <v>GIT_0133</v>
      </c>
      <c r="B91" t="str">
        <f t="shared" si="5"/>
        <v>GIT_10th St Chiller</v>
      </c>
      <c r="C91" t="s">
        <v>440</v>
      </c>
      <c r="D91" s="180" t="s">
        <v>28</v>
      </c>
      <c r="E91" t="s">
        <v>805</v>
      </c>
      <c r="F91" t="s">
        <v>806</v>
      </c>
      <c r="G91" s="180">
        <v>8756</v>
      </c>
      <c r="H91">
        <v>1995</v>
      </c>
      <c r="J91" s="1334" t="s">
        <v>475</v>
      </c>
      <c r="K91" s="1335" t="s">
        <v>475</v>
      </c>
      <c r="L91" s="180">
        <v>100</v>
      </c>
      <c r="M91" t="s">
        <v>88</v>
      </c>
      <c r="N91" t="str">
        <f t="shared" si="6"/>
        <v>10th St Chiller (0133)</v>
      </c>
      <c r="O91" t="s">
        <v>43</v>
      </c>
      <c r="P91" t="str">
        <f t="shared" si="7"/>
        <v>03000_0133</v>
      </c>
      <c r="Q91" s="180">
        <v>100</v>
      </c>
    </row>
    <row r="92" spans="1:17">
      <c r="A92" t="str">
        <f t="shared" si="4"/>
        <v>GIT_0134</v>
      </c>
      <c r="B92" t="str">
        <f t="shared" si="5"/>
        <v>GIT_Fourth St Houses</v>
      </c>
      <c r="C92" t="s">
        <v>440</v>
      </c>
      <c r="D92" s="180" t="s">
        <v>28</v>
      </c>
      <c r="E92" t="s">
        <v>654</v>
      </c>
      <c r="F92" t="s">
        <v>655</v>
      </c>
      <c r="G92" s="180">
        <v>30843</v>
      </c>
      <c r="H92">
        <v>1995</v>
      </c>
      <c r="J92" s="1334" t="s">
        <v>475</v>
      </c>
      <c r="K92" s="1335" t="s">
        <v>475</v>
      </c>
      <c r="L92" s="180">
        <v>1</v>
      </c>
      <c r="M92" t="s">
        <v>88</v>
      </c>
      <c r="N92" t="str">
        <f t="shared" si="6"/>
        <v>Fourth St Houses (0134)</v>
      </c>
      <c r="O92" t="s">
        <v>43</v>
      </c>
      <c r="P92" t="str">
        <f t="shared" si="7"/>
        <v>03000_0134</v>
      </c>
      <c r="Q92" s="180">
        <v>100</v>
      </c>
    </row>
    <row r="93" spans="1:17">
      <c r="A93" t="str">
        <f t="shared" si="4"/>
        <v>GIT_0135</v>
      </c>
      <c r="B93" t="str">
        <f t="shared" si="5"/>
        <v>GIT_MRDC</v>
      </c>
      <c r="C93" t="s">
        <v>440</v>
      </c>
      <c r="D93" s="180" t="s">
        <v>28</v>
      </c>
      <c r="E93" t="s">
        <v>874</v>
      </c>
      <c r="F93" t="s">
        <v>875</v>
      </c>
      <c r="G93" s="180">
        <v>121973</v>
      </c>
      <c r="H93">
        <v>1995</v>
      </c>
      <c r="J93" s="1334" t="s">
        <v>475</v>
      </c>
      <c r="K93" s="1335" t="s">
        <v>475</v>
      </c>
      <c r="L93" s="180">
        <v>100</v>
      </c>
      <c r="M93" t="s">
        <v>88</v>
      </c>
      <c r="N93" t="str">
        <f t="shared" si="6"/>
        <v>MRDC (0135)</v>
      </c>
      <c r="O93" t="s">
        <v>43</v>
      </c>
      <c r="P93" t="str">
        <f t="shared" si="7"/>
        <v>03000_0135</v>
      </c>
      <c r="Q93" s="180">
        <v>100</v>
      </c>
    </row>
    <row r="94" spans="1:17">
      <c r="A94" t="str">
        <f t="shared" si="4"/>
        <v>GIT_0136</v>
      </c>
      <c r="B94" t="str">
        <f t="shared" si="5"/>
        <v>GIT_Tech Way</v>
      </c>
      <c r="C94" t="s">
        <v>440</v>
      </c>
      <c r="D94" s="180" t="s">
        <v>28</v>
      </c>
      <c r="E94" t="s">
        <v>851</v>
      </c>
      <c r="F94" t="s">
        <v>852</v>
      </c>
      <c r="G94" s="180">
        <v>30274</v>
      </c>
      <c r="H94">
        <v>1970</v>
      </c>
      <c r="J94" s="1334" t="s">
        <v>475</v>
      </c>
      <c r="K94" s="1335" t="s">
        <v>475</v>
      </c>
      <c r="L94" s="180">
        <v>100</v>
      </c>
      <c r="M94" t="s">
        <v>88</v>
      </c>
      <c r="N94" t="str">
        <f t="shared" si="6"/>
        <v>Tech Way (0136)</v>
      </c>
      <c r="O94" t="s">
        <v>43</v>
      </c>
      <c r="P94" t="str">
        <f t="shared" si="7"/>
        <v>03000_0136</v>
      </c>
      <c r="Q94" s="180">
        <v>100</v>
      </c>
    </row>
    <row r="95" spans="1:17">
      <c r="A95" t="str">
        <f t="shared" si="4"/>
        <v>GIT_0137</v>
      </c>
      <c r="B95" t="str">
        <f t="shared" si="5"/>
        <v>GIT_781 Marietta St.</v>
      </c>
      <c r="C95" t="s">
        <v>440</v>
      </c>
      <c r="D95" s="180" t="s">
        <v>28</v>
      </c>
      <c r="E95" t="s">
        <v>813</v>
      </c>
      <c r="F95" t="s">
        <v>7654</v>
      </c>
      <c r="G95" s="180">
        <v>29160</v>
      </c>
      <c r="H95">
        <v>1986</v>
      </c>
      <c r="J95" s="1334" t="s">
        <v>475</v>
      </c>
      <c r="K95" s="1335" t="s">
        <v>475</v>
      </c>
      <c r="L95" s="180">
        <v>100</v>
      </c>
      <c r="M95" t="s">
        <v>88</v>
      </c>
      <c r="N95" t="str">
        <f t="shared" si="6"/>
        <v>781 Marietta St. (0137)</v>
      </c>
      <c r="O95" t="s">
        <v>43</v>
      </c>
      <c r="P95" t="str">
        <f t="shared" si="7"/>
        <v>03000_0137</v>
      </c>
      <c r="Q95" s="180">
        <v>100</v>
      </c>
    </row>
    <row r="96" spans="1:17">
      <c r="A96" t="str">
        <f t="shared" si="4"/>
        <v>GIT_0138</v>
      </c>
      <c r="B96" t="str">
        <f t="shared" si="5"/>
        <v>GIT_811 Marietta St.</v>
      </c>
      <c r="C96" t="s">
        <v>440</v>
      </c>
      <c r="D96" s="180" t="s">
        <v>28</v>
      </c>
      <c r="E96" t="s">
        <v>537</v>
      </c>
      <c r="F96" t="s">
        <v>538</v>
      </c>
      <c r="G96" s="180">
        <v>44856</v>
      </c>
      <c r="H96">
        <v>1984</v>
      </c>
      <c r="J96" s="1334" t="s">
        <v>475</v>
      </c>
      <c r="K96" s="1335" t="s">
        <v>475</v>
      </c>
      <c r="L96" s="180">
        <v>100</v>
      </c>
      <c r="M96" t="s">
        <v>88</v>
      </c>
      <c r="N96" t="str">
        <f t="shared" si="6"/>
        <v>811 Marietta St. (0138)</v>
      </c>
      <c r="O96" t="s">
        <v>43</v>
      </c>
      <c r="P96" t="str">
        <f t="shared" si="7"/>
        <v>03000_0138</v>
      </c>
      <c r="Q96" s="180">
        <v>100</v>
      </c>
    </row>
    <row r="97" spans="1:17">
      <c r="A97" t="str">
        <f t="shared" si="4"/>
        <v>GIT_0139</v>
      </c>
      <c r="B97" t="str">
        <f t="shared" si="5"/>
        <v>GIT_Curran St Pkg Dk</v>
      </c>
      <c r="C97" t="s">
        <v>440</v>
      </c>
      <c r="D97" s="180" t="s">
        <v>28</v>
      </c>
      <c r="E97" t="s">
        <v>836</v>
      </c>
      <c r="F97" t="s">
        <v>837</v>
      </c>
      <c r="G97" s="180">
        <v>205760</v>
      </c>
      <c r="H97">
        <v>1996</v>
      </c>
      <c r="J97" s="1334" t="s">
        <v>475</v>
      </c>
      <c r="K97" s="1335" t="s">
        <v>475</v>
      </c>
      <c r="L97" s="180">
        <v>0</v>
      </c>
      <c r="M97" t="s">
        <v>88</v>
      </c>
      <c r="N97" t="str">
        <f t="shared" si="6"/>
        <v>Curran St Pkg Dk (0139)</v>
      </c>
      <c r="O97" t="s">
        <v>43</v>
      </c>
      <c r="P97" t="str">
        <f t="shared" si="7"/>
        <v>03000_0139</v>
      </c>
      <c r="Q97" s="180">
        <v>100</v>
      </c>
    </row>
    <row r="98" spans="1:17">
      <c r="A98" t="str">
        <f t="shared" si="4"/>
        <v>GIT_0140</v>
      </c>
      <c r="B98" t="str">
        <f t="shared" si="5"/>
        <v>GIT_Aquatic Ctr</v>
      </c>
      <c r="C98" t="s">
        <v>440</v>
      </c>
      <c r="D98" s="180" t="s">
        <v>28</v>
      </c>
      <c r="E98" t="s">
        <v>700</v>
      </c>
      <c r="F98" t="s">
        <v>701</v>
      </c>
      <c r="G98" s="180">
        <v>236191</v>
      </c>
      <c r="H98">
        <v>1995</v>
      </c>
      <c r="I98">
        <v>2002</v>
      </c>
      <c r="J98" s="1334" t="s">
        <v>486</v>
      </c>
      <c r="K98" s="1335" t="s">
        <v>475</v>
      </c>
      <c r="L98" s="180">
        <v>97</v>
      </c>
      <c r="M98" t="s">
        <v>88</v>
      </c>
      <c r="N98" t="str">
        <f t="shared" si="6"/>
        <v>Aquatic Ctr (0140)</v>
      </c>
      <c r="O98" t="s">
        <v>43</v>
      </c>
      <c r="P98" t="str">
        <f t="shared" si="7"/>
        <v>03000_0140</v>
      </c>
      <c r="Q98" s="180">
        <v>100</v>
      </c>
    </row>
    <row r="99" spans="1:17">
      <c r="A99" t="str">
        <f t="shared" si="4"/>
        <v>GIT_0141</v>
      </c>
      <c r="B99" t="str">
        <f t="shared" si="5"/>
        <v>GIT_GTRI HQ</v>
      </c>
      <c r="C99" t="s">
        <v>440</v>
      </c>
      <c r="D99" s="180" t="s">
        <v>28</v>
      </c>
      <c r="E99" t="s">
        <v>613</v>
      </c>
      <c r="F99" t="s">
        <v>614</v>
      </c>
      <c r="G99" s="180">
        <v>157172</v>
      </c>
      <c r="H99">
        <v>1995</v>
      </c>
      <c r="J99" s="1334" t="s">
        <v>475</v>
      </c>
      <c r="K99" s="1335" t="s">
        <v>475</v>
      </c>
      <c r="L99" s="180">
        <v>5</v>
      </c>
      <c r="M99" t="s">
        <v>88</v>
      </c>
      <c r="N99" t="str">
        <f t="shared" si="6"/>
        <v>GTRI HQ (0141)</v>
      </c>
      <c r="O99" t="s">
        <v>43</v>
      </c>
      <c r="P99" t="str">
        <f t="shared" si="7"/>
        <v>03000_0141</v>
      </c>
      <c r="Q99" s="180">
        <v>100</v>
      </c>
    </row>
    <row r="100" spans="1:17">
      <c r="A100" t="str">
        <f t="shared" si="4"/>
        <v>GIT_0142</v>
      </c>
      <c r="B100" t="str">
        <f t="shared" si="5"/>
        <v>GIT_Human Resources</v>
      </c>
      <c r="C100" t="s">
        <v>440</v>
      </c>
      <c r="D100" s="180" t="s">
        <v>28</v>
      </c>
      <c r="E100" t="s">
        <v>615</v>
      </c>
      <c r="F100" t="s">
        <v>616</v>
      </c>
      <c r="G100" s="180">
        <v>16261</v>
      </c>
      <c r="H100">
        <v>1984</v>
      </c>
      <c r="J100" s="1334" t="s">
        <v>475</v>
      </c>
      <c r="K100" s="1335" t="s">
        <v>475</v>
      </c>
      <c r="L100" s="180">
        <v>100</v>
      </c>
      <c r="M100" t="s">
        <v>88</v>
      </c>
      <c r="N100" t="str">
        <f t="shared" si="6"/>
        <v>Human Resources (0142)</v>
      </c>
      <c r="O100" t="s">
        <v>43</v>
      </c>
      <c r="P100" t="str">
        <f t="shared" si="7"/>
        <v>03000_0142</v>
      </c>
      <c r="Q100" s="180">
        <v>100</v>
      </c>
    </row>
    <row r="101" spans="1:17">
      <c r="A101" t="str">
        <f t="shared" si="4"/>
        <v>GIT_0144</v>
      </c>
      <c r="B101" t="str">
        <f t="shared" si="5"/>
        <v>GIT_Love</v>
      </c>
      <c r="C101" t="s">
        <v>440</v>
      </c>
      <c r="D101" s="180" t="s">
        <v>28</v>
      </c>
      <c r="E101" t="s">
        <v>658</v>
      </c>
      <c r="F101" t="s">
        <v>659</v>
      </c>
      <c r="G101" s="180">
        <v>158124</v>
      </c>
      <c r="H101">
        <v>2000</v>
      </c>
      <c r="J101" s="1334" t="s">
        <v>475</v>
      </c>
      <c r="K101" s="1335" t="s">
        <v>475</v>
      </c>
      <c r="L101" s="180">
        <v>100</v>
      </c>
      <c r="M101" t="s">
        <v>88</v>
      </c>
      <c r="N101" t="str">
        <f t="shared" si="6"/>
        <v>Love (0144)</v>
      </c>
      <c r="O101" t="s">
        <v>43</v>
      </c>
      <c r="P101" t="str">
        <f t="shared" si="7"/>
        <v>03000_0144</v>
      </c>
      <c r="Q101" s="180">
        <v>100</v>
      </c>
    </row>
    <row r="102" spans="1:17">
      <c r="A102" t="str">
        <f t="shared" si="4"/>
        <v>GIT_0145</v>
      </c>
      <c r="B102" t="str">
        <f t="shared" si="5"/>
        <v>GIT_SEB</v>
      </c>
      <c r="C102" t="s">
        <v>440</v>
      </c>
      <c r="D102" s="180" t="s">
        <v>28</v>
      </c>
      <c r="E102" t="s">
        <v>791</v>
      </c>
      <c r="F102" t="s">
        <v>792</v>
      </c>
      <c r="G102" s="180">
        <v>33030</v>
      </c>
      <c r="H102">
        <v>1998</v>
      </c>
      <c r="J102" s="1334" t="s">
        <v>475</v>
      </c>
      <c r="K102" s="1335" t="s">
        <v>475</v>
      </c>
      <c r="L102" s="180">
        <v>100</v>
      </c>
      <c r="M102" t="s">
        <v>88</v>
      </c>
      <c r="N102" t="str">
        <f t="shared" si="6"/>
        <v>SEB (0145)</v>
      </c>
      <c r="O102" t="s">
        <v>43</v>
      </c>
      <c r="P102" t="str">
        <f t="shared" si="7"/>
        <v>03000_0145</v>
      </c>
      <c r="Q102" s="180">
        <v>100</v>
      </c>
    </row>
    <row r="103" spans="1:17">
      <c r="A103" t="str">
        <f t="shared" si="4"/>
        <v>GIT_0146</v>
      </c>
      <c r="B103" t="str">
        <f t="shared" si="5"/>
        <v>GIT_Biotechnology</v>
      </c>
      <c r="C103" t="s">
        <v>440</v>
      </c>
      <c r="D103" s="180" t="s">
        <v>28</v>
      </c>
      <c r="E103" t="s">
        <v>918</v>
      </c>
      <c r="F103" t="s">
        <v>919</v>
      </c>
      <c r="G103" s="180">
        <v>155241</v>
      </c>
      <c r="H103">
        <v>1999</v>
      </c>
      <c r="J103" s="1334" t="s">
        <v>475</v>
      </c>
      <c r="K103" s="1335" t="s">
        <v>475</v>
      </c>
      <c r="L103" s="180">
        <v>100</v>
      </c>
      <c r="M103" t="s">
        <v>88</v>
      </c>
      <c r="N103" t="str">
        <f t="shared" si="6"/>
        <v>Biotechnology (0146)</v>
      </c>
      <c r="O103" t="s">
        <v>43</v>
      </c>
      <c r="P103" t="str">
        <f t="shared" si="7"/>
        <v>03000_0146</v>
      </c>
      <c r="Q103" s="180">
        <v>100</v>
      </c>
    </row>
    <row r="104" spans="1:17">
      <c r="A104" t="str">
        <f t="shared" si="4"/>
        <v>GIT_0147</v>
      </c>
      <c r="B104" t="str">
        <f t="shared" si="5"/>
        <v>GIT_Ford ES&amp;T</v>
      </c>
      <c r="C104" t="s">
        <v>440</v>
      </c>
      <c r="D104" s="180" t="s">
        <v>28</v>
      </c>
      <c r="E104" t="s">
        <v>570</v>
      </c>
      <c r="F104" t="s">
        <v>571</v>
      </c>
      <c r="G104" s="180">
        <v>292144</v>
      </c>
      <c r="H104">
        <v>2002</v>
      </c>
      <c r="J104" s="1334" t="s">
        <v>475</v>
      </c>
      <c r="K104" s="1335" t="s">
        <v>475</v>
      </c>
      <c r="L104" s="180">
        <v>100</v>
      </c>
      <c r="M104" t="s">
        <v>88</v>
      </c>
      <c r="N104" t="str">
        <f t="shared" si="6"/>
        <v>Ford ES&amp;T (0147)</v>
      </c>
      <c r="O104" t="s">
        <v>43</v>
      </c>
      <c r="P104" t="str">
        <f t="shared" si="7"/>
        <v>03000_0147</v>
      </c>
      <c r="Q104" s="180">
        <v>100</v>
      </c>
    </row>
    <row r="105" spans="1:17">
      <c r="A105" t="str">
        <f t="shared" si="4"/>
        <v>GIT_0148</v>
      </c>
      <c r="B105" t="str">
        <f t="shared" si="5"/>
        <v>GIT_N Campus Pkg Dk</v>
      </c>
      <c r="C105" t="s">
        <v>440</v>
      </c>
      <c r="D105" s="180" t="s">
        <v>28</v>
      </c>
      <c r="E105" t="s">
        <v>896</v>
      </c>
      <c r="F105" t="s">
        <v>897</v>
      </c>
      <c r="G105" s="180">
        <v>271122</v>
      </c>
      <c r="H105">
        <v>1999</v>
      </c>
      <c r="J105" s="1334" t="s">
        <v>475</v>
      </c>
      <c r="K105" s="1335" t="s">
        <v>475</v>
      </c>
      <c r="L105" s="180">
        <v>0</v>
      </c>
      <c r="M105" t="s">
        <v>88</v>
      </c>
      <c r="N105" t="str">
        <f t="shared" si="6"/>
        <v>N Campus Pkg Dk (0148)</v>
      </c>
      <c r="O105" t="s">
        <v>43</v>
      </c>
      <c r="P105" t="str">
        <f t="shared" si="7"/>
        <v>03000_0148</v>
      </c>
      <c r="Q105" s="180">
        <v>100</v>
      </c>
    </row>
    <row r="106" spans="1:17">
      <c r="A106" t="str">
        <f t="shared" si="4"/>
        <v>GIT_0149</v>
      </c>
      <c r="B106" t="str">
        <f t="shared" si="5"/>
        <v>GIT_Structures Lab</v>
      </c>
      <c r="C106" t="s">
        <v>440</v>
      </c>
      <c r="D106" s="180" t="s">
        <v>28</v>
      </c>
      <c r="E106" t="s">
        <v>888</v>
      </c>
      <c r="F106" t="s">
        <v>889</v>
      </c>
      <c r="G106" s="180">
        <v>31994</v>
      </c>
      <c r="H106">
        <v>1998</v>
      </c>
      <c r="J106" s="1334" t="s">
        <v>475</v>
      </c>
      <c r="K106" s="1335" t="s">
        <v>475</v>
      </c>
      <c r="L106" s="180">
        <v>100</v>
      </c>
      <c r="M106" t="s">
        <v>88</v>
      </c>
      <c r="N106" t="str">
        <f t="shared" si="6"/>
        <v>Structures Lab (0149)</v>
      </c>
      <c r="O106" t="s">
        <v>43</v>
      </c>
      <c r="P106" t="str">
        <f t="shared" si="7"/>
        <v>03000_0149</v>
      </c>
      <c r="Q106" s="180">
        <v>100</v>
      </c>
    </row>
    <row r="107" spans="1:17">
      <c r="A107" t="str">
        <f t="shared" si="4"/>
        <v>GIT_0151</v>
      </c>
      <c r="B107" t="str">
        <f t="shared" si="5"/>
        <v>GIT_Combust Lab</v>
      </c>
      <c r="C107" t="s">
        <v>440</v>
      </c>
      <c r="D107" s="180" t="s">
        <v>28</v>
      </c>
      <c r="E107" t="s">
        <v>606</v>
      </c>
      <c r="F107" t="s">
        <v>607</v>
      </c>
      <c r="G107" s="180">
        <v>21491</v>
      </c>
      <c r="H107">
        <v>2000</v>
      </c>
      <c r="J107" s="1334" t="s">
        <v>475</v>
      </c>
      <c r="K107" s="1335" t="s">
        <v>475</v>
      </c>
      <c r="L107" s="180">
        <v>100</v>
      </c>
      <c r="M107" t="s">
        <v>88</v>
      </c>
      <c r="N107" t="str">
        <f t="shared" si="6"/>
        <v>Combust Lab (0151)</v>
      </c>
      <c r="O107" t="s">
        <v>43</v>
      </c>
      <c r="P107" t="str">
        <f t="shared" si="7"/>
        <v>03000_0151</v>
      </c>
      <c r="Q107" s="180">
        <v>100</v>
      </c>
    </row>
    <row r="108" spans="1:17">
      <c r="A108" t="str">
        <f t="shared" si="4"/>
        <v>GIT_0152</v>
      </c>
      <c r="B108" t="str">
        <f t="shared" si="5"/>
        <v>GIT_Aware Home</v>
      </c>
      <c r="C108" t="s">
        <v>440</v>
      </c>
      <c r="D108" s="180" t="s">
        <v>28</v>
      </c>
      <c r="E108" t="s">
        <v>660</v>
      </c>
      <c r="F108" t="s">
        <v>661</v>
      </c>
      <c r="G108" s="180">
        <v>6401</v>
      </c>
      <c r="H108">
        <v>2000</v>
      </c>
      <c r="J108" s="1334" t="s">
        <v>475</v>
      </c>
      <c r="K108" s="1335" t="s">
        <v>475</v>
      </c>
      <c r="L108" s="180">
        <v>100</v>
      </c>
      <c r="M108" t="s">
        <v>88</v>
      </c>
      <c r="N108" t="str">
        <f t="shared" si="6"/>
        <v>Aware Home (0152)</v>
      </c>
      <c r="O108" t="s">
        <v>43</v>
      </c>
      <c r="P108" t="str">
        <f t="shared" si="7"/>
        <v>03000_0152</v>
      </c>
      <c r="Q108" s="180">
        <v>70</v>
      </c>
    </row>
    <row r="109" spans="1:17">
      <c r="A109" t="str">
        <f t="shared" si="4"/>
        <v>GIT_0153</v>
      </c>
      <c r="B109" t="str">
        <f t="shared" si="5"/>
        <v>GIT_Klaus ACB</v>
      </c>
      <c r="C109" t="s">
        <v>440</v>
      </c>
      <c r="D109" s="180" t="s">
        <v>28</v>
      </c>
      <c r="E109" t="s">
        <v>797</v>
      </c>
      <c r="F109" t="s">
        <v>798</v>
      </c>
      <c r="G109" s="180">
        <v>417422</v>
      </c>
      <c r="H109">
        <v>2006</v>
      </c>
      <c r="J109" s="1334" t="s">
        <v>520</v>
      </c>
      <c r="K109" s="1335" t="s">
        <v>475</v>
      </c>
      <c r="L109" s="180">
        <v>58</v>
      </c>
      <c r="M109" t="s">
        <v>88</v>
      </c>
      <c r="N109" t="str">
        <f t="shared" si="6"/>
        <v>Klaus ACB (0153)</v>
      </c>
      <c r="O109" t="s">
        <v>43</v>
      </c>
      <c r="P109" t="str">
        <f t="shared" si="7"/>
        <v>03000_0153</v>
      </c>
      <c r="Q109" s="180">
        <v>95</v>
      </c>
    </row>
    <row r="110" spans="1:17">
      <c r="A110" t="str">
        <f t="shared" si="4"/>
        <v>GIT_0155</v>
      </c>
      <c r="B110" t="str">
        <f t="shared" si="5"/>
        <v>GIT_505 Tenth St</v>
      </c>
      <c r="C110" t="s">
        <v>440</v>
      </c>
      <c r="D110" s="180" t="s">
        <v>28</v>
      </c>
      <c r="E110" t="s">
        <v>476</v>
      </c>
      <c r="F110" t="s">
        <v>477</v>
      </c>
      <c r="G110" s="180">
        <v>12345</v>
      </c>
      <c r="H110">
        <v>1986</v>
      </c>
      <c r="I110">
        <v>2002</v>
      </c>
      <c r="J110" s="1334" t="s">
        <v>475</v>
      </c>
      <c r="K110" s="1335" t="s">
        <v>475</v>
      </c>
      <c r="L110" s="180">
        <v>100</v>
      </c>
      <c r="M110" t="s">
        <v>88</v>
      </c>
      <c r="N110" t="str">
        <f t="shared" si="6"/>
        <v>505 Tenth St (0155)</v>
      </c>
      <c r="O110" t="s">
        <v>43</v>
      </c>
      <c r="P110" t="str">
        <f t="shared" si="7"/>
        <v>03000_0155</v>
      </c>
      <c r="Q110" s="180">
        <v>100</v>
      </c>
    </row>
    <row r="111" spans="1:17">
      <c r="A111" t="str">
        <f t="shared" si="4"/>
        <v>GIT_0156</v>
      </c>
      <c r="B111" t="str">
        <f t="shared" si="5"/>
        <v>GIT_845 Marietta St.</v>
      </c>
      <c r="C111" t="s">
        <v>440</v>
      </c>
      <c r="D111" s="180" t="s">
        <v>28</v>
      </c>
      <c r="E111" t="s">
        <v>799</v>
      </c>
      <c r="F111" t="s">
        <v>800</v>
      </c>
      <c r="G111" s="180">
        <v>13225</v>
      </c>
      <c r="H111">
        <v>1980</v>
      </c>
      <c r="J111" s="1334" t="s">
        <v>475</v>
      </c>
      <c r="K111" s="1335" t="s">
        <v>475</v>
      </c>
      <c r="L111" s="180">
        <v>0</v>
      </c>
      <c r="M111" t="s">
        <v>88</v>
      </c>
      <c r="N111" t="str">
        <f t="shared" si="6"/>
        <v>845 Marietta St. (0156)</v>
      </c>
      <c r="O111" t="s">
        <v>43</v>
      </c>
      <c r="P111" t="str">
        <f t="shared" si="7"/>
        <v>03000_0156</v>
      </c>
      <c r="Q111" s="180">
        <v>100</v>
      </c>
    </row>
    <row r="112" spans="1:17">
      <c r="A112" t="str">
        <f t="shared" si="4"/>
        <v>GIT_0158</v>
      </c>
      <c r="B112" t="str">
        <f t="shared" si="5"/>
        <v>GIT_Dig Fab Lab</v>
      </c>
      <c r="C112" t="s">
        <v>440</v>
      </c>
      <c r="D112" s="180" t="s">
        <v>28</v>
      </c>
      <c r="E112" t="s">
        <v>580</v>
      </c>
      <c r="F112" t="s">
        <v>581</v>
      </c>
      <c r="G112" s="180">
        <v>20357</v>
      </c>
      <c r="H112">
        <v>1988</v>
      </c>
      <c r="J112" s="1334" t="s">
        <v>475</v>
      </c>
      <c r="K112" s="1335" t="s">
        <v>475</v>
      </c>
      <c r="L112" s="180">
        <v>100</v>
      </c>
      <c r="M112" t="s">
        <v>88</v>
      </c>
      <c r="N112" t="str">
        <f t="shared" si="6"/>
        <v>Dig Fab Lab (0158)</v>
      </c>
      <c r="O112" t="s">
        <v>43</v>
      </c>
      <c r="P112" t="str">
        <f t="shared" si="7"/>
        <v>03000_0158</v>
      </c>
      <c r="Q112" s="180">
        <v>93</v>
      </c>
    </row>
    <row r="113" spans="1:17">
      <c r="A113" t="str">
        <f t="shared" si="4"/>
        <v>GIT_0159</v>
      </c>
      <c r="B113" t="str">
        <f t="shared" si="5"/>
        <v>GIT_Foodpac</v>
      </c>
      <c r="C113" t="s">
        <v>440</v>
      </c>
      <c r="D113" s="180" t="s">
        <v>28</v>
      </c>
      <c r="E113" t="s">
        <v>859</v>
      </c>
      <c r="F113" t="s">
        <v>860</v>
      </c>
      <c r="G113" s="180">
        <v>36918</v>
      </c>
      <c r="H113">
        <v>2004</v>
      </c>
      <c r="J113" s="1334" t="s">
        <v>475</v>
      </c>
      <c r="K113" s="1335" t="s">
        <v>475</v>
      </c>
      <c r="L113" s="180">
        <v>0</v>
      </c>
      <c r="M113" t="s">
        <v>88</v>
      </c>
      <c r="N113" t="str">
        <f t="shared" si="6"/>
        <v>Foodpac (0159)</v>
      </c>
      <c r="O113" t="s">
        <v>43</v>
      </c>
      <c r="P113" t="str">
        <f t="shared" si="7"/>
        <v>03000_0159</v>
      </c>
      <c r="Q113" s="180">
        <v>100</v>
      </c>
    </row>
    <row r="114" spans="1:17">
      <c r="A114" t="str">
        <f t="shared" si="4"/>
        <v>GIT_0160</v>
      </c>
      <c r="B114" t="str">
        <f t="shared" si="5"/>
        <v>GIT_CRC</v>
      </c>
      <c r="C114" t="s">
        <v>440</v>
      </c>
      <c r="D114" s="180" t="s">
        <v>28</v>
      </c>
      <c r="E114" t="s">
        <v>677</v>
      </c>
      <c r="F114" t="s">
        <v>678</v>
      </c>
      <c r="G114" s="180">
        <v>71317</v>
      </c>
      <c r="H114">
        <v>2001</v>
      </c>
      <c r="J114" s="1334" t="s">
        <v>486</v>
      </c>
      <c r="K114" s="1335" t="s">
        <v>475</v>
      </c>
      <c r="L114" s="180">
        <v>100</v>
      </c>
      <c r="M114" t="s">
        <v>88</v>
      </c>
      <c r="N114" t="str">
        <f t="shared" si="6"/>
        <v>CRC (0160)</v>
      </c>
      <c r="O114" t="s">
        <v>43</v>
      </c>
      <c r="P114" t="str">
        <f t="shared" si="7"/>
        <v>03000_0160</v>
      </c>
      <c r="Q114" s="180">
        <v>100</v>
      </c>
    </row>
    <row r="115" spans="1:17">
      <c r="A115" t="str">
        <f t="shared" si="4"/>
        <v>GIT_0161</v>
      </c>
      <c r="B115" t="str">
        <f t="shared" si="5"/>
        <v>GIT_Low-Speed Vehicle Garage</v>
      </c>
      <c r="C115" t="s">
        <v>440</v>
      </c>
      <c r="D115" s="180" t="s">
        <v>28</v>
      </c>
      <c r="E115" t="s">
        <v>588</v>
      </c>
      <c r="F115" t="s">
        <v>7655</v>
      </c>
      <c r="G115" s="180">
        <v>2690</v>
      </c>
      <c r="H115">
        <v>2000</v>
      </c>
      <c r="J115" s="1334" t="s">
        <v>475</v>
      </c>
      <c r="K115" s="1335" t="s">
        <v>475</v>
      </c>
      <c r="L115" s="180">
        <v>100</v>
      </c>
      <c r="M115" t="s">
        <v>88</v>
      </c>
      <c r="N115" t="str">
        <f t="shared" si="6"/>
        <v>Low-Speed Vehicle Garage (0161)</v>
      </c>
      <c r="O115" t="s">
        <v>43</v>
      </c>
      <c r="P115" t="str">
        <f t="shared" si="7"/>
        <v>03000_0161</v>
      </c>
      <c r="Q115" s="180">
        <v>100</v>
      </c>
    </row>
    <row r="116" spans="1:17">
      <c r="A116" t="str">
        <f t="shared" si="4"/>
        <v>GIT_0162</v>
      </c>
      <c r="B116" t="str">
        <f t="shared" si="5"/>
        <v>GIT_CRC Parking Dk</v>
      </c>
      <c r="C116" t="s">
        <v>440</v>
      </c>
      <c r="D116" s="180" t="s">
        <v>28</v>
      </c>
      <c r="E116" t="s">
        <v>543</v>
      </c>
      <c r="F116" t="s">
        <v>544</v>
      </c>
      <c r="G116" s="180">
        <v>163021</v>
      </c>
      <c r="H116">
        <v>2003</v>
      </c>
      <c r="J116" s="1334" t="s">
        <v>486</v>
      </c>
      <c r="K116" s="1335" t="s">
        <v>475</v>
      </c>
      <c r="L116" s="180">
        <v>0</v>
      </c>
      <c r="M116" t="s">
        <v>88</v>
      </c>
      <c r="N116" t="str">
        <f t="shared" si="6"/>
        <v>CRC Parking Dk (0162)</v>
      </c>
      <c r="O116" t="s">
        <v>43</v>
      </c>
      <c r="P116" t="str">
        <f t="shared" si="7"/>
        <v>03000_0162</v>
      </c>
      <c r="Q116" s="180">
        <v>100</v>
      </c>
    </row>
    <row r="117" spans="1:17">
      <c r="A117" t="str">
        <f t="shared" si="4"/>
        <v>GIT_0163</v>
      </c>
      <c r="B117" t="str">
        <f t="shared" si="5"/>
        <v>GIT_645 Northside Dr</v>
      </c>
      <c r="C117" t="s">
        <v>440</v>
      </c>
      <c r="D117" s="180" t="s">
        <v>28</v>
      </c>
      <c r="E117" t="s">
        <v>921</v>
      </c>
      <c r="F117" t="s">
        <v>922</v>
      </c>
      <c r="G117" s="180">
        <v>58202</v>
      </c>
      <c r="H117">
        <v>1955</v>
      </c>
      <c r="J117" s="1334" t="s">
        <v>475</v>
      </c>
      <c r="K117" s="1335" t="s">
        <v>481</v>
      </c>
      <c r="L117" s="180">
        <v>100</v>
      </c>
      <c r="M117" t="s">
        <v>88</v>
      </c>
      <c r="N117" t="str">
        <f t="shared" si="6"/>
        <v>645 Northside Dr (0163)</v>
      </c>
      <c r="O117" t="s">
        <v>43</v>
      </c>
      <c r="P117" t="str">
        <f t="shared" si="7"/>
        <v>03000_0163</v>
      </c>
      <c r="Q117" s="180">
        <v>100</v>
      </c>
    </row>
    <row r="118" spans="1:17">
      <c r="A118" t="str">
        <f t="shared" si="4"/>
        <v>GIT_0164</v>
      </c>
      <c r="B118" t="str">
        <f t="shared" si="5"/>
        <v>GIT_Business Svcs</v>
      </c>
      <c r="C118" t="s">
        <v>440</v>
      </c>
      <c r="D118" s="180" t="s">
        <v>28</v>
      </c>
      <c r="E118" t="s">
        <v>775</v>
      </c>
      <c r="F118" t="s">
        <v>776</v>
      </c>
      <c r="G118" s="180">
        <v>28074</v>
      </c>
      <c r="H118">
        <v>1975</v>
      </c>
      <c r="I118">
        <v>2001</v>
      </c>
      <c r="J118" s="1334" t="s">
        <v>475</v>
      </c>
      <c r="K118" s="1335" t="s">
        <v>475</v>
      </c>
      <c r="L118" s="180">
        <v>100</v>
      </c>
      <c r="M118" t="s">
        <v>88</v>
      </c>
      <c r="N118" t="str">
        <f t="shared" si="6"/>
        <v>Business Svcs (0164)</v>
      </c>
      <c r="O118" t="s">
        <v>43</v>
      </c>
      <c r="P118" t="str">
        <f t="shared" si="7"/>
        <v>03000_0164</v>
      </c>
      <c r="Q118" s="180">
        <v>100</v>
      </c>
    </row>
    <row r="119" spans="1:17">
      <c r="A119" t="str">
        <f t="shared" si="4"/>
        <v>GIT_0165</v>
      </c>
      <c r="B119" t="str">
        <f t="shared" si="5"/>
        <v>GIT_U.A. Whitaker</v>
      </c>
      <c r="C119" t="s">
        <v>440</v>
      </c>
      <c r="D119" s="180" t="s">
        <v>28</v>
      </c>
      <c r="E119" t="s">
        <v>539</v>
      </c>
      <c r="F119" t="s">
        <v>540</v>
      </c>
      <c r="G119" s="180">
        <v>99822</v>
      </c>
      <c r="H119">
        <v>2002</v>
      </c>
      <c r="J119" s="1334" t="s">
        <v>475</v>
      </c>
      <c r="K119" s="1335" t="s">
        <v>475</v>
      </c>
      <c r="L119" s="180">
        <v>100</v>
      </c>
      <c r="M119" t="s">
        <v>88</v>
      </c>
      <c r="N119" t="str">
        <f t="shared" si="6"/>
        <v>U.A. Whitaker (0165)</v>
      </c>
      <c r="O119" t="s">
        <v>43</v>
      </c>
      <c r="P119" t="str">
        <f t="shared" si="7"/>
        <v>03000_0165</v>
      </c>
      <c r="Q119" s="180">
        <v>100</v>
      </c>
    </row>
    <row r="120" spans="1:17">
      <c r="A120" t="str">
        <f t="shared" si="4"/>
        <v>GIT_0166</v>
      </c>
      <c r="B120" t="str">
        <f t="shared" si="5"/>
        <v>GIT_Clough</v>
      </c>
      <c r="C120" t="s">
        <v>440</v>
      </c>
      <c r="D120" s="180" t="s">
        <v>28</v>
      </c>
      <c r="E120" t="s">
        <v>734</v>
      </c>
      <c r="F120" t="s">
        <v>735</v>
      </c>
      <c r="G120" s="180">
        <v>229919</v>
      </c>
      <c r="H120">
        <v>2011</v>
      </c>
      <c r="J120" s="1334" t="s">
        <v>520</v>
      </c>
      <c r="K120" s="1335" t="s">
        <v>475</v>
      </c>
      <c r="L120" s="180">
        <v>100</v>
      </c>
      <c r="M120" t="s">
        <v>88</v>
      </c>
      <c r="N120" t="str">
        <f t="shared" si="6"/>
        <v>Clough (0166)</v>
      </c>
      <c r="O120" t="s">
        <v>43</v>
      </c>
      <c r="P120" t="str">
        <f t="shared" si="7"/>
        <v>03000_0166</v>
      </c>
      <c r="Q120" s="180">
        <v>100</v>
      </c>
    </row>
    <row r="121" spans="1:17">
      <c r="A121" t="str">
        <f t="shared" si="4"/>
        <v>GIT_0167</v>
      </c>
      <c r="B121" t="str">
        <f t="shared" si="5"/>
        <v>GIT_MS&amp;E</v>
      </c>
      <c r="C121" t="s">
        <v>440</v>
      </c>
      <c r="D121" s="180" t="s">
        <v>28</v>
      </c>
      <c r="E121" t="s">
        <v>807</v>
      </c>
      <c r="F121" t="s">
        <v>808</v>
      </c>
      <c r="G121" s="180">
        <v>294799</v>
      </c>
      <c r="H121">
        <v>2006</v>
      </c>
      <c r="J121" s="1334" t="s">
        <v>486</v>
      </c>
      <c r="K121" s="1335" t="s">
        <v>475</v>
      </c>
      <c r="L121" s="180">
        <v>100</v>
      </c>
      <c r="M121" t="s">
        <v>88</v>
      </c>
      <c r="N121" t="str">
        <f t="shared" si="6"/>
        <v>MS&amp;E (0167)</v>
      </c>
      <c r="O121" t="s">
        <v>43</v>
      </c>
      <c r="P121" t="str">
        <f t="shared" si="7"/>
        <v>03000_0167</v>
      </c>
      <c r="Q121" s="180">
        <v>100</v>
      </c>
    </row>
    <row r="122" spans="1:17">
      <c r="A122" t="str">
        <f t="shared" si="4"/>
        <v>GIT_0168</v>
      </c>
      <c r="B122" t="str">
        <f t="shared" si="5"/>
        <v>GIT_Chandler Stadium</v>
      </c>
      <c r="C122" t="s">
        <v>440</v>
      </c>
      <c r="D122" s="180" t="s">
        <v>28</v>
      </c>
      <c r="E122" t="s">
        <v>484</v>
      </c>
      <c r="F122" t="s">
        <v>485</v>
      </c>
      <c r="G122" s="180">
        <v>40624</v>
      </c>
      <c r="H122">
        <v>2001</v>
      </c>
      <c r="I122">
        <v>2021</v>
      </c>
      <c r="J122" s="1334" t="s">
        <v>486</v>
      </c>
      <c r="K122" s="1335" t="s">
        <v>475</v>
      </c>
      <c r="L122" s="180">
        <v>0</v>
      </c>
      <c r="M122" t="s">
        <v>88</v>
      </c>
      <c r="N122" t="str">
        <f t="shared" si="6"/>
        <v>Chandler Stadium (0168)</v>
      </c>
      <c r="O122" t="s">
        <v>43</v>
      </c>
      <c r="P122" t="str">
        <f t="shared" si="7"/>
        <v>03000_0168</v>
      </c>
      <c r="Q122" s="180">
        <v>100</v>
      </c>
    </row>
    <row r="123" spans="1:17">
      <c r="A123" t="str">
        <f t="shared" si="4"/>
        <v>GIT_016A</v>
      </c>
      <c r="B123" t="str">
        <f t="shared" si="5"/>
        <v>GIT_GT Connector</v>
      </c>
      <c r="C123" t="s">
        <v>440</v>
      </c>
      <c r="D123" s="180" t="s">
        <v>28</v>
      </c>
      <c r="E123" t="s">
        <v>777</v>
      </c>
      <c r="F123" t="s">
        <v>778</v>
      </c>
      <c r="G123" s="180">
        <v>8591</v>
      </c>
      <c r="H123">
        <v>2015</v>
      </c>
      <c r="J123" s="1334" t="s">
        <v>475</v>
      </c>
      <c r="K123" s="1335" t="s">
        <v>475</v>
      </c>
      <c r="L123" s="180">
        <v>0</v>
      </c>
      <c r="M123" t="s">
        <v>88</v>
      </c>
      <c r="N123" t="str">
        <f t="shared" si="6"/>
        <v>GT Connector (016A)</v>
      </c>
      <c r="O123" t="s">
        <v>43</v>
      </c>
      <c r="P123" t="str">
        <f t="shared" si="7"/>
        <v>03000_016A</v>
      </c>
      <c r="Q123" s="180">
        <v>100</v>
      </c>
    </row>
    <row r="124" spans="1:17">
      <c r="A124" t="str">
        <f t="shared" si="4"/>
        <v>GIT_0170</v>
      </c>
      <c r="B124" t="str">
        <f t="shared" si="5"/>
        <v>GIT_Global Lrn Ctr</v>
      </c>
      <c r="C124" t="s">
        <v>440</v>
      </c>
      <c r="D124" s="180" t="s">
        <v>28</v>
      </c>
      <c r="E124" t="s">
        <v>884</v>
      </c>
      <c r="F124" t="s">
        <v>885</v>
      </c>
      <c r="G124" s="180">
        <v>143669</v>
      </c>
      <c r="H124">
        <v>2001</v>
      </c>
      <c r="J124" s="1334" t="s">
        <v>486</v>
      </c>
      <c r="K124" s="1335" t="s">
        <v>475</v>
      </c>
      <c r="L124" s="180">
        <v>95</v>
      </c>
      <c r="M124" t="s">
        <v>88</v>
      </c>
      <c r="N124" t="str">
        <f t="shared" si="6"/>
        <v>Global Lrn Ctr (0170)</v>
      </c>
      <c r="O124" t="s">
        <v>43</v>
      </c>
      <c r="P124" t="str">
        <f t="shared" si="7"/>
        <v>03000_0170</v>
      </c>
      <c r="Q124" s="180">
        <v>100</v>
      </c>
    </row>
    <row r="125" spans="1:17">
      <c r="A125" t="str">
        <f t="shared" si="4"/>
        <v>GIT_0171</v>
      </c>
      <c r="B125" t="str">
        <f t="shared" si="5"/>
        <v>GIT_Hotel Retail</v>
      </c>
      <c r="C125" t="s">
        <v>440</v>
      </c>
      <c r="D125" s="180" t="s">
        <v>28</v>
      </c>
      <c r="E125" t="s">
        <v>758</v>
      </c>
      <c r="F125" t="s">
        <v>759</v>
      </c>
      <c r="G125" s="180">
        <v>6862</v>
      </c>
      <c r="H125">
        <v>2003</v>
      </c>
      <c r="J125" s="1334" t="s">
        <v>486</v>
      </c>
      <c r="K125" s="1335" t="s">
        <v>475</v>
      </c>
      <c r="L125" s="180">
        <v>0</v>
      </c>
      <c r="M125" t="s">
        <v>88</v>
      </c>
      <c r="N125" t="str">
        <f t="shared" si="6"/>
        <v>Hotel Retail (0171)</v>
      </c>
      <c r="O125" t="s">
        <v>43</v>
      </c>
      <c r="P125" t="str">
        <f t="shared" si="7"/>
        <v>03000_0171</v>
      </c>
      <c r="Q125" s="180">
        <v>100</v>
      </c>
    </row>
    <row r="126" spans="1:17">
      <c r="A126" t="str">
        <f t="shared" si="4"/>
        <v>GIT_0172</v>
      </c>
      <c r="B126" t="str">
        <f t="shared" si="5"/>
        <v>GIT_Coll of Business</v>
      </c>
      <c r="C126" t="s">
        <v>440</v>
      </c>
      <c r="D126" s="180" t="s">
        <v>28</v>
      </c>
      <c r="E126" t="s">
        <v>608</v>
      </c>
      <c r="F126" t="s">
        <v>609</v>
      </c>
      <c r="G126" s="180">
        <v>264432</v>
      </c>
      <c r="H126">
        <v>2001</v>
      </c>
      <c r="J126" s="1334" t="s">
        <v>486</v>
      </c>
      <c r="K126" s="1335" t="s">
        <v>475</v>
      </c>
      <c r="L126" s="180">
        <v>75</v>
      </c>
      <c r="M126" t="s">
        <v>88</v>
      </c>
      <c r="N126" t="str">
        <f t="shared" si="6"/>
        <v>Coll of Business (0172)</v>
      </c>
      <c r="O126" t="s">
        <v>43</v>
      </c>
      <c r="P126" t="str">
        <f t="shared" si="7"/>
        <v>03000_0172</v>
      </c>
      <c r="Q126" s="180">
        <v>100</v>
      </c>
    </row>
    <row r="127" spans="1:17">
      <c r="A127" t="str">
        <f t="shared" si="4"/>
        <v>GIT_0173</v>
      </c>
      <c r="B127" t="str">
        <f t="shared" si="5"/>
        <v>GIT_760 Spring St</v>
      </c>
      <c r="C127" t="s">
        <v>440</v>
      </c>
      <c r="D127" s="180" t="s">
        <v>28</v>
      </c>
      <c r="E127" t="s">
        <v>552</v>
      </c>
      <c r="F127" t="s">
        <v>553</v>
      </c>
      <c r="G127" s="180">
        <v>54333</v>
      </c>
      <c r="H127">
        <v>2001</v>
      </c>
      <c r="J127" s="1334" t="s">
        <v>486</v>
      </c>
      <c r="K127" s="1335" t="s">
        <v>475</v>
      </c>
      <c r="L127" s="180">
        <v>100</v>
      </c>
      <c r="M127" t="s">
        <v>88</v>
      </c>
      <c r="N127" t="str">
        <f t="shared" si="6"/>
        <v>760 Spring St (0173)</v>
      </c>
      <c r="O127" t="s">
        <v>43</v>
      </c>
      <c r="P127" t="str">
        <f t="shared" si="7"/>
        <v>03000_0173</v>
      </c>
      <c r="Q127" s="180">
        <v>0</v>
      </c>
    </row>
    <row r="128" spans="1:17">
      <c r="A128" t="str">
        <f t="shared" si="4"/>
        <v>GIT_0174</v>
      </c>
      <c r="B128" t="str">
        <f t="shared" si="5"/>
        <v>GIT_Tech Sq Pkg Dk</v>
      </c>
      <c r="C128" t="s">
        <v>440</v>
      </c>
      <c r="D128" s="180" t="s">
        <v>28</v>
      </c>
      <c r="E128" t="s">
        <v>644</v>
      </c>
      <c r="F128" t="s">
        <v>645</v>
      </c>
      <c r="G128" s="180">
        <v>475679</v>
      </c>
      <c r="H128">
        <v>2002</v>
      </c>
      <c r="J128" s="1334" t="s">
        <v>486</v>
      </c>
      <c r="K128" s="1335" t="s">
        <v>475</v>
      </c>
      <c r="L128" s="180">
        <v>0</v>
      </c>
      <c r="M128" t="s">
        <v>88</v>
      </c>
      <c r="N128" t="str">
        <f t="shared" si="6"/>
        <v>Tech Sq Pkg Dk (0174)</v>
      </c>
      <c r="O128" t="s">
        <v>43</v>
      </c>
      <c r="P128" t="str">
        <f t="shared" si="7"/>
        <v>03000_0174</v>
      </c>
      <c r="Q128" s="180">
        <v>0</v>
      </c>
    </row>
    <row r="129" spans="1:17">
      <c r="A129" t="str">
        <f t="shared" si="4"/>
        <v>GIT_0175</v>
      </c>
      <c r="B129" t="str">
        <f t="shared" si="5"/>
        <v>GIT_Tech Sq Research</v>
      </c>
      <c r="C129" t="s">
        <v>440</v>
      </c>
      <c r="D129" s="180" t="s">
        <v>28</v>
      </c>
      <c r="E129" t="s">
        <v>634</v>
      </c>
      <c r="F129" t="s">
        <v>635</v>
      </c>
      <c r="G129" s="180">
        <v>215248</v>
      </c>
      <c r="H129">
        <v>2001</v>
      </c>
      <c r="J129" s="1334" t="s">
        <v>486</v>
      </c>
      <c r="K129" s="1335" t="s">
        <v>475</v>
      </c>
      <c r="L129" s="180">
        <v>100</v>
      </c>
      <c r="M129" t="s">
        <v>88</v>
      </c>
      <c r="N129" t="str">
        <f t="shared" si="6"/>
        <v>Tech Sq Research (0175)</v>
      </c>
      <c r="O129" t="s">
        <v>43</v>
      </c>
      <c r="P129" t="str">
        <f t="shared" si="7"/>
        <v>03000_0175</v>
      </c>
      <c r="Q129" s="180">
        <v>100</v>
      </c>
    </row>
    <row r="130" spans="1:17">
      <c r="A130" t="str">
        <f t="shared" si="4"/>
        <v>GIT_0177</v>
      </c>
      <c r="B130" t="str">
        <f t="shared" si="5"/>
        <v>GIT_Stu Health Ctr</v>
      </c>
      <c r="C130" t="s">
        <v>440</v>
      </c>
      <c r="D130" s="180" t="s">
        <v>28</v>
      </c>
      <c r="E130" t="s">
        <v>636</v>
      </c>
      <c r="F130" t="s">
        <v>637</v>
      </c>
      <c r="G130" s="180">
        <v>38750</v>
      </c>
      <c r="H130">
        <v>2002</v>
      </c>
      <c r="J130" s="1334" t="s">
        <v>475</v>
      </c>
      <c r="K130" s="1335" t="s">
        <v>475</v>
      </c>
      <c r="L130" s="180">
        <v>0</v>
      </c>
      <c r="M130" t="s">
        <v>88</v>
      </c>
      <c r="N130" t="str">
        <f t="shared" si="6"/>
        <v>Stu Health Ctr (0177)</v>
      </c>
      <c r="O130" t="s">
        <v>43</v>
      </c>
      <c r="P130" t="str">
        <f t="shared" si="7"/>
        <v>03000_0177</v>
      </c>
      <c r="Q130" s="180">
        <v>0</v>
      </c>
    </row>
    <row r="131" spans="1:17">
      <c r="A131" t="str">
        <f t="shared" ref="A131:A194" si="8">_xlfn.CONCAT(D131,"_",E131)</f>
        <v>GIT_0180</v>
      </c>
      <c r="B131" t="str">
        <f t="shared" ref="B131:B194" si="9">_xlfn.CONCAT(D131,"_",F131)</f>
        <v>GIT_Family Apts</v>
      </c>
      <c r="C131" t="s">
        <v>440</v>
      </c>
      <c r="D131" s="180" t="s">
        <v>28</v>
      </c>
      <c r="E131" t="s">
        <v>669</v>
      </c>
      <c r="F131" t="s">
        <v>670</v>
      </c>
      <c r="G131" s="180">
        <v>394386</v>
      </c>
      <c r="H131">
        <v>2004</v>
      </c>
      <c r="J131" s="1334" t="s">
        <v>486</v>
      </c>
      <c r="K131" s="1335" t="s">
        <v>475</v>
      </c>
      <c r="L131" s="180">
        <v>1</v>
      </c>
      <c r="M131" t="s">
        <v>88</v>
      </c>
      <c r="N131" t="str">
        <f t="shared" ref="N131:N194" si="10">_xlfn.CONCAT(F131," (",E131,")")</f>
        <v>Family Apts (0180)</v>
      </c>
      <c r="O131" t="s">
        <v>43</v>
      </c>
      <c r="P131" t="str">
        <f t="shared" ref="P131:P194" si="11">_xlfn.CONCAT(C131,"_",E131)</f>
        <v>03000_0180</v>
      </c>
      <c r="Q131" s="180">
        <v>0</v>
      </c>
    </row>
    <row r="132" spans="1:17">
      <c r="A132" t="str">
        <f t="shared" si="8"/>
        <v>GIT_0181</v>
      </c>
      <c r="B132" t="str">
        <f t="shared" si="9"/>
        <v>GIT_Nanotech Res</v>
      </c>
      <c r="C132" t="s">
        <v>440</v>
      </c>
      <c r="D132" s="180" t="s">
        <v>28</v>
      </c>
      <c r="E132" t="s">
        <v>518</v>
      </c>
      <c r="F132" t="s">
        <v>519</v>
      </c>
      <c r="G132" s="180">
        <v>194852</v>
      </c>
      <c r="H132">
        <v>2008</v>
      </c>
      <c r="J132" s="1334" t="s">
        <v>520</v>
      </c>
      <c r="K132" s="1335" t="s">
        <v>475</v>
      </c>
      <c r="L132" s="180">
        <v>100</v>
      </c>
      <c r="M132" t="s">
        <v>88</v>
      </c>
      <c r="N132" t="str">
        <f t="shared" si="10"/>
        <v>Nanotech Res (0181)</v>
      </c>
      <c r="O132" t="s">
        <v>43</v>
      </c>
      <c r="P132" t="str">
        <f t="shared" si="11"/>
        <v>03000_0181</v>
      </c>
      <c r="Q132" s="180">
        <v>0</v>
      </c>
    </row>
    <row r="133" spans="1:17">
      <c r="A133" t="str">
        <f t="shared" si="8"/>
        <v>GIT_0182</v>
      </c>
      <c r="B133" t="str">
        <f t="shared" si="9"/>
        <v>GIT_Fam Apts Pkg Dk</v>
      </c>
      <c r="C133" t="s">
        <v>440</v>
      </c>
      <c r="D133" s="180" t="s">
        <v>28</v>
      </c>
      <c r="E133" t="s">
        <v>886</v>
      </c>
      <c r="F133" t="s">
        <v>887</v>
      </c>
      <c r="G133" s="180">
        <v>214903</v>
      </c>
      <c r="H133">
        <v>2004</v>
      </c>
      <c r="J133" s="1334" t="s">
        <v>486</v>
      </c>
      <c r="K133" s="1335" t="s">
        <v>475</v>
      </c>
      <c r="L133" s="180">
        <v>0</v>
      </c>
      <c r="M133" t="s">
        <v>88</v>
      </c>
      <c r="N133" t="str">
        <f t="shared" si="10"/>
        <v>Fam Apts Pkg Dk (0182)</v>
      </c>
      <c r="O133" t="s">
        <v>43</v>
      </c>
      <c r="P133" t="str">
        <f t="shared" si="11"/>
        <v>03000_0182</v>
      </c>
      <c r="Q133" s="180">
        <v>0</v>
      </c>
    </row>
    <row r="134" spans="1:17">
      <c r="A134" t="str">
        <f t="shared" si="8"/>
        <v>GIT_0184</v>
      </c>
      <c r="B134" t="str">
        <f t="shared" si="9"/>
        <v>GIT_831 Marietta St.</v>
      </c>
      <c r="C134" t="s">
        <v>440</v>
      </c>
      <c r="D134" s="180" t="s">
        <v>28</v>
      </c>
      <c r="E134" t="s">
        <v>638</v>
      </c>
      <c r="F134" t="s">
        <v>639</v>
      </c>
      <c r="G134" s="180">
        <v>23300</v>
      </c>
      <c r="H134">
        <v>1987</v>
      </c>
      <c r="I134">
        <v>2008</v>
      </c>
      <c r="J134" s="1334" t="s">
        <v>475</v>
      </c>
      <c r="K134" s="1335" t="s">
        <v>475</v>
      </c>
      <c r="L134" s="180">
        <v>80</v>
      </c>
      <c r="M134" t="s">
        <v>88</v>
      </c>
      <c r="N134" t="str">
        <f t="shared" si="10"/>
        <v>831 Marietta St. (0184)</v>
      </c>
      <c r="O134" t="s">
        <v>43</v>
      </c>
      <c r="P134" t="str">
        <f t="shared" si="11"/>
        <v>03000_0184</v>
      </c>
      <c r="Q134" s="180">
        <v>100</v>
      </c>
    </row>
    <row r="135" spans="1:17">
      <c r="A135" t="str">
        <f t="shared" si="8"/>
        <v>GIT_0185</v>
      </c>
      <c r="B135" t="str">
        <f t="shared" si="9"/>
        <v>GIT_Strng St Gatehse</v>
      </c>
      <c r="C135" t="s">
        <v>440</v>
      </c>
      <c r="D135" s="180" t="s">
        <v>28</v>
      </c>
      <c r="E135" t="s">
        <v>719</v>
      </c>
      <c r="F135" t="s">
        <v>720</v>
      </c>
      <c r="G135" s="180">
        <v>291</v>
      </c>
      <c r="H135">
        <v>2006</v>
      </c>
      <c r="J135" s="1334" t="s">
        <v>475</v>
      </c>
      <c r="K135" s="1335" t="s">
        <v>475</v>
      </c>
      <c r="L135" s="180">
        <v>0</v>
      </c>
      <c r="M135" t="s">
        <v>88</v>
      </c>
      <c r="N135" t="str">
        <f t="shared" si="10"/>
        <v>Strng St Gatehse (0185)</v>
      </c>
      <c r="O135" t="s">
        <v>43</v>
      </c>
      <c r="P135" t="str">
        <f t="shared" si="11"/>
        <v>03000_0185</v>
      </c>
      <c r="Q135" s="180">
        <v>100</v>
      </c>
    </row>
    <row r="136" spans="1:17">
      <c r="A136" t="str">
        <f t="shared" si="8"/>
        <v>GIT_0186</v>
      </c>
      <c r="B136" t="str">
        <f t="shared" si="9"/>
        <v>GIT_755 Marietta St.</v>
      </c>
      <c r="C136" t="s">
        <v>440</v>
      </c>
      <c r="D136" s="180" t="s">
        <v>28</v>
      </c>
      <c r="E136" t="s">
        <v>646</v>
      </c>
      <c r="F136" t="s">
        <v>647</v>
      </c>
      <c r="G136" s="180">
        <v>12420</v>
      </c>
      <c r="H136">
        <v>1979</v>
      </c>
      <c r="I136">
        <v>2017</v>
      </c>
      <c r="J136" s="1334" t="s">
        <v>475</v>
      </c>
      <c r="K136" s="1335" t="s">
        <v>475</v>
      </c>
      <c r="L136" s="180">
        <v>100</v>
      </c>
      <c r="M136" t="s">
        <v>88</v>
      </c>
      <c r="N136" t="str">
        <f t="shared" si="10"/>
        <v>755 Marietta St. (0186)</v>
      </c>
      <c r="O136" t="s">
        <v>43</v>
      </c>
      <c r="P136" t="str">
        <f t="shared" si="11"/>
        <v>03000_0186</v>
      </c>
      <c r="Q136" s="180">
        <v>100</v>
      </c>
    </row>
    <row r="137" spans="1:17">
      <c r="A137" t="str">
        <f t="shared" si="8"/>
        <v>GIT_0187</v>
      </c>
      <c r="B137" t="str">
        <f t="shared" si="9"/>
        <v>GIT_793 Marietta St.</v>
      </c>
      <c r="C137" t="s">
        <v>440</v>
      </c>
      <c r="D137" s="180" t="s">
        <v>28</v>
      </c>
      <c r="E137" t="s">
        <v>809</v>
      </c>
      <c r="F137" t="s">
        <v>810</v>
      </c>
      <c r="G137" s="180">
        <v>18917</v>
      </c>
      <c r="H137">
        <v>1985</v>
      </c>
      <c r="I137">
        <v>2016</v>
      </c>
      <c r="J137" s="1334" t="s">
        <v>475</v>
      </c>
      <c r="K137" s="1335" t="s">
        <v>475</v>
      </c>
      <c r="L137" s="180">
        <v>100</v>
      </c>
      <c r="M137" t="s">
        <v>88</v>
      </c>
      <c r="N137" t="str">
        <f t="shared" si="10"/>
        <v>793 Marietta St. (0187)</v>
      </c>
      <c r="O137" t="s">
        <v>43</v>
      </c>
      <c r="P137" t="str">
        <f t="shared" si="11"/>
        <v>03000_0187</v>
      </c>
      <c r="Q137" s="180">
        <v>100</v>
      </c>
    </row>
    <row r="138" spans="1:17">
      <c r="A138" t="str">
        <f t="shared" si="8"/>
        <v>GIT_0189</v>
      </c>
      <c r="B138" t="str">
        <f t="shared" si="9"/>
        <v>GIT_Sub Ctl Hse</v>
      </c>
      <c r="C138" t="s">
        <v>440</v>
      </c>
      <c r="D138" s="180" t="s">
        <v>28</v>
      </c>
      <c r="E138" t="s">
        <v>671</v>
      </c>
      <c r="F138" t="s">
        <v>672</v>
      </c>
      <c r="G138" s="180">
        <v>624</v>
      </c>
      <c r="H138">
        <v>2006</v>
      </c>
      <c r="J138" s="1334" t="s">
        <v>486</v>
      </c>
      <c r="K138" s="1335" t="s">
        <v>475</v>
      </c>
      <c r="L138" s="180">
        <v>100</v>
      </c>
      <c r="M138" t="s">
        <v>88</v>
      </c>
      <c r="N138" t="str">
        <f t="shared" si="10"/>
        <v>Sub Ctl Hse (0189)</v>
      </c>
      <c r="O138" t="s">
        <v>43</v>
      </c>
      <c r="P138" t="str">
        <f t="shared" si="11"/>
        <v>03000_0189</v>
      </c>
      <c r="Q138" s="180">
        <v>100</v>
      </c>
    </row>
    <row r="139" spans="1:17">
      <c r="A139" t="str">
        <f t="shared" si="8"/>
        <v>GIT_0190</v>
      </c>
      <c r="B139" t="str">
        <f t="shared" si="9"/>
        <v>GIT_NAA South Pkg Dk</v>
      </c>
      <c r="C139" t="s">
        <v>440</v>
      </c>
      <c r="D139" s="180" t="s">
        <v>28</v>
      </c>
      <c r="E139" t="s">
        <v>767</v>
      </c>
      <c r="F139" t="s">
        <v>768</v>
      </c>
      <c r="G139" s="180">
        <v>116604</v>
      </c>
      <c r="H139">
        <v>1995</v>
      </c>
      <c r="J139" s="1334" t="s">
        <v>486</v>
      </c>
      <c r="K139" s="1335" t="s">
        <v>475</v>
      </c>
      <c r="L139" s="180">
        <v>0</v>
      </c>
      <c r="M139" t="s">
        <v>88</v>
      </c>
      <c r="N139" t="str">
        <f t="shared" si="10"/>
        <v>NAA South Pkg Dk (0190)</v>
      </c>
      <c r="O139" t="s">
        <v>43</v>
      </c>
      <c r="P139" t="str">
        <f t="shared" si="11"/>
        <v>03000_0190</v>
      </c>
      <c r="Q139" s="180">
        <v>100</v>
      </c>
    </row>
    <row r="140" spans="1:17">
      <c r="A140" t="str">
        <f t="shared" si="8"/>
        <v>GIT_0191</v>
      </c>
      <c r="B140" t="str">
        <f t="shared" si="9"/>
        <v>GIT_North Ave Apts</v>
      </c>
      <c r="C140" t="s">
        <v>440</v>
      </c>
      <c r="D140" s="180" t="s">
        <v>28</v>
      </c>
      <c r="E140" t="s">
        <v>702</v>
      </c>
      <c r="F140" t="s">
        <v>703</v>
      </c>
      <c r="G140" s="180">
        <v>966203</v>
      </c>
      <c r="H140">
        <v>1995</v>
      </c>
      <c r="J140" s="1334" t="s">
        <v>486</v>
      </c>
      <c r="K140" s="1335" t="s">
        <v>475</v>
      </c>
      <c r="L140" s="180">
        <v>1</v>
      </c>
      <c r="M140" t="s">
        <v>88</v>
      </c>
      <c r="N140" t="str">
        <f t="shared" si="10"/>
        <v>North Ave Apts (0191)</v>
      </c>
      <c r="O140" t="s">
        <v>43</v>
      </c>
      <c r="P140" t="str">
        <f t="shared" si="11"/>
        <v>03000_0191</v>
      </c>
      <c r="Q140" s="180">
        <v>100</v>
      </c>
    </row>
    <row r="141" spans="1:17">
      <c r="A141" t="str">
        <f t="shared" si="8"/>
        <v>GIT_0195</v>
      </c>
      <c r="B141" t="str">
        <f t="shared" si="9"/>
        <v>GIT_Krone EBB</v>
      </c>
      <c r="C141" t="s">
        <v>440</v>
      </c>
      <c r="D141" s="180" t="s">
        <v>28</v>
      </c>
      <c r="E141" t="s">
        <v>828</v>
      </c>
      <c r="F141" t="s">
        <v>829</v>
      </c>
      <c r="G141" s="180">
        <v>224925</v>
      </c>
      <c r="H141">
        <v>2015</v>
      </c>
      <c r="J141" s="1334" t="s">
        <v>475</v>
      </c>
      <c r="K141" s="1335" t="s">
        <v>475</v>
      </c>
      <c r="L141" s="180">
        <v>100</v>
      </c>
      <c r="M141" t="s">
        <v>88</v>
      </c>
      <c r="N141" t="str">
        <f t="shared" si="10"/>
        <v>Krone EBB (0195)</v>
      </c>
      <c r="O141" t="s">
        <v>43</v>
      </c>
      <c r="P141" t="str">
        <f t="shared" si="11"/>
        <v>03000_0195</v>
      </c>
      <c r="Q141" s="180">
        <v>100</v>
      </c>
    </row>
    <row r="142" spans="1:17">
      <c r="A142" t="str">
        <f t="shared" si="8"/>
        <v>GIT_0196</v>
      </c>
      <c r="B142" t="str">
        <f t="shared" si="9"/>
        <v>GIT_Softball Stadium</v>
      </c>
      <c r="C142" t="s">
        <v>440</v>
      </c>
      <c r="D142" s="180" t="s">
        <v>28</v>
      </c>
      <c r="E142" t="s">
        <v>745</v>
      </c>
      <c r="F142" t="s">
        <v>746</v>
      </c>
      <c r="G142" s="180">
        <v>7094</v>
      </c>
      <c r="H142">
        <v>2008</v>
      </c>
      <c r="J142" s="1334" t="s">
        <v>475</v>
      </c>
      <c r="K142" s="1335" t="s">
        <v>475</v>
      </c>
      <c r="L142" s="180">
        <v>0</v>
      </c>
      <c r="M142" t="s">
        <v>88</v>
      </c>
      <c r="N142" t="str">
        <f t="shared" si="10"/>
        <v>Softball Stadium (0196)</v>
      </c>
      <c r="O142" t="s">
        <v>43</v>
      </c>
      <c r="P142" t="str">
        <f t="shared" si="11"/>
        <v>03000_0196</v>
      </c>
      <c r="Q142" s="180">
        <v>100</v>
      </c>
    </row>
    <row r="143" spans="1:17">
      <c r="A143" t="str">
        <f t="shared" si="8"/>
        <v>GIT_0198</v>
      </c>
      <c r="B143" t="str">
        <f t="shared" si="9"/>
        <v>GIT_Acad of Medicine</v>
      </c>
      <c r="C143" t="s">
        <v>440</v>
      </c>
      <c r="D143" s="180" t="s">
        <v>28</v>
      </c>
      <c r="E143" t="s">
        <v>689</v>
      </c>
      <c r="F143" t="s">
        <v>690</v>
      </c>
      <c r="G143" s="180">
        <v>20030</v>
      </c>
      <c r="H143">
        <v>1941</v>
      </c>
      <c r="I143">
        <v>2012</v>
      </c>
      <c r="J143" s="1334" t="s">
        <v>475</v>
      </c>
      <c r="K143" s="1335" t="s">
        <v>475</v>
      </c>
      <c r="L143" s="180">
        <v>100</v>
      </c>
      <c r="M143" t="s">
        <v>88</v>
      </c>
      <c r="N143" t="str">
        <f t="shared" si="10"/>
        <v>Acad of Medicine (0198)</v>
      </c>
      <c r="O143" t="s">
        <v>43</v>
      </c>
      <c r="P143" t="str">
        <f t="shared" si="11"/>
        <v>03000_0198</v>
      </c>
      <c r="Q143" s="180">
        <v>100</v>
      </c>
    </row>
    <row r="144" spans="1:17">
      <c r="A144" t="str">
        <f t="shared" si="8"/>
        <v>GIT_0199</v>
      </c>
      <c r="B144" t="str">
        <f t="shared" si="9"/>
        <v>GIT_C-NES Lab</v>
      </c>
      <c r="C144" t="s">
        <v>440</v>
      </c>
      <c r="D144" s="180" t="s">
        <v>28</v>
      </c>
      <c r="E144" t="s">
        <v>648</v>
      </c>
      <c r="F144" t="s">
        <v>649</v>
      </c>
      <c r="G144" s="180">
        <v>46888</v>
      </c>
      <c r="H144">
        <v>2012</v>
      </c>
      <c r="J144" s="1334" t="s">
        <v>475</v>
      </c>
      <c r="K144" s="1335" t="s">
        <v>475</v>
      </c>
      <c r="L144" s="180">
        <v>100</v>
      </c>
      <c r="M144" t="s">
        <v>88</v>
      </c>
      <c r="N144" t="str">
        <f t="shared" si="10"/>
        <v>C-NES Lab (0199)</v>
      </c>
      <c r="O144" t="s">
        <v>43</v>
      </c>
      <c r="P144" t="str">
        <f t="shared" si="11"/>
        <v>03000_0199</v>
      </c>
      <c r="Q144" s="180">
        <v>100</v>
      </c>
    </row>
    <row r="145" spans="1:17">
      <c r="A145" t="str">
        <f t="shared" si="8"/>
        <v>GIT_0200</v>
      </c>
      <c r="B145" t="str">
        <f t="shared" si="9"/>
        <v>GIT_FB Practice Fac</v>
      </c>
      <c r="C145" t="s">
        <v>440</v>
      </c>
      <c r="D145" s="180" t="s">
        <v>28</v>
      </c>
      <c r="E145" t="s">
        <v>500</v>
      </c>
      <c r="F145" t="s">
        <v>501</v>
      </c>
      <c r="G145" s="180">
        <v>82144</v>
      </c>
      <c r="H145">
        <v>2011</v>
      </c>
      <c r="J145" s="1334" t="s">
        <v>475</v>
      </c>
      <c r="K145" s="1335" t="s">
        <v>475</v>
      </c>
      <c r="L145" s="180">
        <v>0</v>
      </c>
      <c r="M145" t="s">
        <v>88</v>
      </c>
      <c r="N145" t="str">
        <f t="shared" si="10"/>
        <v>FB Practice Fac (0200)</v>
      </c>
      <c r="O145" t="s">
        <v>43</v>
      </c>
      <c r="P145" t="str">
        <f t="shared" si="11"/>
        <v>03000_0200</v>
      </c>
      <c r="Q145" s="180">
        <v>100</v>
      </c>
    </row>
    <row r="146" spans="1:17">
      <c r="A146" t="str">
        <f t="shared" si="8"/>
        <v>GIT_0201</v>
      </c>
      <c r="B146" t="str">
        <f t="shared" si="9"/>
        <v>GIT_Challnge Crs Pav</v>
      </c>
      <c r="C146" t="s">
        <v>440</v>
      </c>
      <c r="D146" s="180" t="s">
        <v>28</v>
      </c>
      <c r="E146" t="s">
        <v>714</v>
      </c>
      <c r="F146" t="s">
        <v>715</v>
      </c>
      <c r="G146" s="180">
        <v>3885</v>
      </c>
      <c r="H146">
        <v>2011</v>
      </c>
      <c r="J146" s="1334" t="s">
        <v>475</v>
      </c>
      <c r="K146" s="1335" t="s">
        <v>475</v>
      </c>
      <c r="L146" s="180">
        <v>0</v>
      </c>
      <c r="M146" t="s">
        <v>88</v>
      </c>
      <c r="N146" t="str">
        <f t="shared" si="10"/>
        <v>Challnge Crs Pav (0201)</v>
      </c>
      <c r="O146" t="s">
        <v>43</v>
      </c>
      <c r="P146" t="str">
        <f t="shared" si="11"/>
        <v>03000_0201</v>
      </c>
      <c r="Q146" s="180">
        <v>100</v>
      </c>
    </row>
    <row r="147" spans="1:17">
      <c r="A147" t="str">
        <f t="shared" si="8"/>
        <v>GIT_0203</v>
      </c>
      <c r="B147" t="str">
        <f t="shared" si="9"/>
        <v>GIT_Byers Tennis</v>
      </c>
      <c r="C147" t="s">
        <v>440</v>
      </c>
      <c r="D147" s="180" t="s">
        <v>28</v>
      </c>
      <c r="E147" t="s">
        <v>755</v>
      </c>
      <c r="F147" t="s">
        <v>756</v>
      </c>
      <c r="G147" s="180">
        <v>50935</v>
      </c>
      <c r="H147">
        <v>2013</v>
      </c>
      <c r="J147" s="1334" t="s">
        <v>475</v>
      </c>
      <c r="K147" s="1335" t="s">
        <v>475</v>
      </c>
      <c r="L147" s="180">
        <v>0</v>
      </c>
      <c r="M147" t="s">
        <v>88</v>
      </c>
      <c r="N147" t="str">
        <f t="shared" si="10"/>
        <v>Byers Tennis (0203)</v>
      </c>
      <c r="O147" t="s">
        <v>43</v>
      </c>
      <c r="P147" t="str">
        <f t="shared" si="11"/>
        <v>03000_0203</v>
      </c>
      <c r="Q147" s="180">
        <v>100</v>
      </c>
    </row>
    <row r="148" spans="1:17">
      <c r="A148" t="str">
        <f t="shared" si="8"/>
        <v>GIT_0204</v>
      </c>
      <c r="B148" t="str">
        <f t="shared" si="9"/>
        <v>GIT_Dalney Office</v>
      </c>
      <c r="C148" t="s">
        <v>440</v>
      </c>
      <c r="D148" s="180" t="s">
        <v>28</v>
      </c>
      <c r="E148" t="s">
        <v>640</v>
      </c>
      <c r="F148" t="s">
        <v>641</v>
      </c>
      <c r="G148" s="180">
        <v>56641</v>
      </c>
      <c r="H148">
        <v>2019</v>
      </c>
      <c r="J148" s="1334" t="s">
        <v>486</v>
      </c>
      <c r="K148" s="1335" t="s">
        <v>475</v>
      </c>
      <c r="L148" s="180">
        <v>100</v>
      </c>
      <c r="M148" t="s">
        <v>88</v>
      </c>
      <c r="N148" t="str">
        <f t="shared" si="10"/>
        <v>Dalney Office (0204)</v>
      </c>
      <c r="O148" t="s">
        <v>43</v>
      </c>
      <c r="P148" t="str">
        <f t="shared" si="11"/>
        <v>03000_0204</v>
      </c>
      <c r="Q148" s="180">
        <v>100</v>
      </c>
    </row>
    <row r="149" spans="1:17">
      <c r="A149" t="str">
        <f t="shared" si="8"/>
        <v>GIT_0205</v>
      </c>
      <c r="B149" t="str">
        <f t="shared" si="9"/>
        <v>GIT_Dalney Parking</v>
      </c>
      <c r="C149" t="s">
        <v>440</v>
      </c>
      <c r="D149" s="180" t="s">
        <v>28</v>
      </c>
      <c r="E149" t="s">
        <v>908</v>
      </c>
      <c r="F149" t="s">
        <v>909</v>
      </c>
      <c r="G149" s="180">
        <v>246945</v>
      </c>
      <c r="H149">
        <v>2019</v>
      </c>
      <c r="J149" s="1334" t="s">
        <v>486</v>
      </c>
      <c r="K149" s="1335" t="s">
        <v>475</v>
      </c>
      <c r="L149" s="180">
        <v>0</v>
      </c>
      <c r="M149" t="s">
        <v>88</v>
      </c>
      <c r="N149" t="str">
        <f t="shared" si="10"/>
        <v>Dalney Parking (0205)</v>
      </c>
      <c r="O149" t="s">
        <v>43</v>
      </c>
      <c r="P149" t="str">
        <f t="shared" si="11"/>
        <v>03000_0205</v>
      </c>
      <c r="Q149" s="180">
        <v>100</v>
      </c>
    </row>
    <row r="150" spans="1:17">
      <c r="A150" t="str">
        <f t="shared" si="8"/>
        <v>GIT_0209</v>
      </c>
      <c r="B150" t="str">
        <f t="shared" si="9"/>
        <v>GIT_W Village Dining</v>
      </c>
      <c r="C150" t="s">
        <v>440</v>
      </c>
      <c r="D150" s="180" t="s">
        <v>28</v>
      </c>
      <c r="E150" t="s">
        <v>869</v>
      </c>
      <c r="F150" t="s">
        <v>870</v>
      </c>
      <c r="G150" s="180">
        <v>60120</v>
      </c>
      <c r="H150">
        <v>2017</v>
      </c>
      <c r="J150" s="1334" t="s">
        <v>475</v>
      </c>
      <c r="K150" s="1335" t="s">
        <v>475</v>
      </c>
      <c r="L150" s="180">
        <v>46</v>
      </c>
      <c r="M150" t="s">
        <v>88</v>
      </c>
      <c r="N150" t="str">
        <f t="shared" si="10"/>
        <v>W Village Dining (0209)</v>
      </c>
      <c r="O150" t="s">
        <v>43</v>
      </c>
      <c r="P150" t="str">
        <f t="shared" si="11"/>
        <v>03000_0209</v>
      </c>
      <c r="Q150" s="180">
        <v>0</v>
      </c>
    </row>
    <row r="151" spans="1:17">
      <c r="A151" t="str">
        <f t="shared" si="8"/>
        <v>GIT_0210</v>
      </c>
      <c r="B151" t="str">
        <f t="shared" si="9"/>
        <v>GIT_KENDEDA</v>
      </c>
      <c r="C151" t="s">
        <v>440</v>
      </c>
      <c r="D151" s="180" t="s">
        <v>28</v>
      </c>
      <c r="E151" t="s">
        <v>521</v>
      </c>
      <c r="F151" t="s">
        <v>522</v>
      </c>
      <c r="G151" s="180">
        <v>39691</v>
      </c>
      <c r="H151">
        <v>2019</v>
      </c>
      <c r="J151" s="1334" t="s">
        <v>475</v>
      </c>
      <c r="K151" s="1335" t="s">
        <v>475</v>
      </c>
      <c r="L151" s="180">
        <v>100</v>
      </c>
      <c r="M151" t="s">
        <v>88</v>
      </c>
      <c r="N151" t="str">
        <f t="shared" si="10"/>
        <v>KENDEDA (0210)</v>
      </c>
      <c r="O151" t="s">
        <v>43</v>
      </c>
      <c r="P151" t="str">
        <f t="shared" si="11"/>
        <v>03000_0210</v>
      </c>
      <c r="Q151" s="180">
        <v>100</v>
      </c>
    </row>
    <row r="152" spans="1:17">
      <c r="A152" t="str">
        <f t="shared" si="8"/>
        <v>GIT_0211</v>
      </c>
      <c r="B152" t="str">
        <f t="shared" si="9"/>
        <v>GIT_GTPD</v>
      </c>
      <c r="C152" t="s">
        <v>440</v>
      </c>
      <c r="D152" s="180" t="s">
        <v>28</v>
      </c>
      <c r="E152" t="s">
        <v>779</v>
      </c>
      <c r="F152" t="s">
        <v>780</v>
      </c>
      <c r="G152" s="180">
        <v>31686</v>
      </c>
      <c r="H152">
        <v>2019</v>
      </c>
      <c r="J152" s="1334" t="s">
        <v>475</v>
      </c>
      <c r="K152" s="1335" t="s">
        <v>475</v>
      </c>
      <c r="L152" s="180">
        <v>100</v>
      </c>
      <c r="M152" t="s">
        <v>88</v>
      </c>
      <c r="N152" t="str">
        <f t="shared" si="10"/>
        <v>GTPD (0211)</v>
      </c>
      <c r="O152" t="s">
        <v>43</v>
      </c>
      <c r="P152" t="str">
        <f t="shared" si="11"/>
        <v>03000_0211</v>
      </c>
      <c r="Q152" s="180">
        <v>100</v>
      </c>
    </row>
    <row r="153" spans="1:17">
      <c r="A153" t="str">
        <f t="shared" si="8"/>
        <v>GIT_0212</v>
      </c>
      <c r="B153" t="str">
        <f t="shared" si="9"/>
        <v>GIT_CRC Storage Bldg</v>
      </c>
      <c r="C153" t="s">
        <v>440</v>
      </c>
      <c r="D153" s="180" t="s">
        <v>28</v>
      </c>
      <c r="E153" t="s">
        <v>825</v>
      </c>
      <c r="F153" t="s">
        <v>826</v>
      </c>
      <c r="G153" s="180">
        <v>2304</v>
      </c>
      <c r="H153">
        <v>2017</v>
      </c>
      <c r="J153" s="1334" t="s">
        <v>475</v>
      </c>
      <c r="K153" s="1335" t="s">
        <v>475</v>
      </c>
      <c r="L153" s="180">
        <v>100</v>
      </c>
      <c r="M153" t="s">
        <v>88</v>
      </c>
      <c r="N153" t="str">
        <f t="shared" si="10"/>
        <v>CRC Storage Bldg (0212)</v>
      </c>
      <c r="O153" t="s">
        <v>43</v>
      </c>
      <c r="P153" t="str">
        <f t="shared" si="11"/>
        <v>03000_0212</v>
      </c>
      <c r="Q153" s="180">
        <v>100</v>
      </c>
    </row>
    <row r="154" spans="1:17">
      <c r="A154" t="str">
        <f t="shared" si="8"/>
        <v>GIT_0213</v>
      </c>
      <c r="B154" t="str">
        <f t="shared" si="9"/>
        <v>GIT_Reck Garage</v>
      </c>
      <c r="C154" t="s">
        <v>440</v>
      </c>
      <c r="D154" s="180" t="s">
        <v>28</v>
      </c>
      <c r="E154" t="s">
        <v>4891</v>
      </c>
      <c r="F154" t="s">
        <v>7656</v>
      </c>
      <c r="G154" s="180">
        <v>1973</v>
      </c>
      <c r="H154">
        <v>2022</v>
      </c>
      <c r="J154" s="1334" t="s">
        <v>475</v>
      </c>
      <c r="K154" s="1335" t="s">
        <v>475</v>
      </c>
      <c r="L154" s="180">
        <v>100</v>
      </c>
      <c r="M154" t="s">
        <v>88</v>
      </c>
      <c r="N154" t="str">
        <f t="shared" si="10"/>
        <v>Reck Garage (0213)</v>
      </c>
      <c r="O154" t="s">
        <v>43</v>
      </c>
      <c r="P154" t="str">
        <f t="shared" si="11"/>
        <v>03000_0213</v>
      </c>
      <c r="Q154" s="180">
        <v>100</v>
      </c>
    </row>
    <row r="155" spans="1:17">
      <c r="A155" t="str">
        <f t="shared" si="8"/>
        <v>GIT_0214</v>
      </c>
      <c r="B155" t="str">
        <f t="shared" si="9"/>
        <v>GIT_Stamps Commons</v>
      </c>
      <c r="C155" t="s">
        <v>440</v>
      </c>
      <c r="D155" s="180" t="s">
        <v>28</v>
      </c>
      <c r="E155" t="s">
        <v>6535</v>
      </c>
      <c r="F155" t="s">
        <v>7657</v>
      </c>
      <c r="G155" s="180">
        <v>57002</v>
      </c>
      <c r="H155">
        <v>2021</v>
      </c>
      <c r="J155" s="1334" t="s">
        <v>486</v>
      </c>
      <c r="K155" s="1335" t="s">
        <v>475</v>
      </c>
      <c r="L155" s="180">
        <v>88</v>
      </c>
      <c r="M155" t="s">
        <v>88</v>
      </c>
      <c r="N155" t="str">
        <f t="shared" si="10"/>
        <v>Stamps Commons (0214)</v>
      </c>
      <c r="O155" t="s">
        <v>43</v>
      </c>
      <c r="P155" t="str">
        <f t="shared" si="11"/>
        <v>03000_0214</v>
      </c>
      <c r="Q155" s="180">
        <v>100</v>
      </c>
    </row>
    <row r="156" spans="1:17">
      <c r="A156" t="str">
        <f t="shared" si="8"/>
        <v>GIT_0215</v>
      </c>
      <c r="B156" t="str">
        <f t="shared" si="9"/>
        <v>GIT_CAFE</v>
      </c>
      <c r="C156" t="s">
        <v>440</v>
      </c>
      <c r="D156" s="180" t="s">
        <v>28</v>
      </c>
      <c r="E156" t="s">
        <v>523</v>
      </c>
      <c r="F156" t="s">
        <v>7658</v>
      </c>
      <c r="G156" s="180">
        <v>3498</v>
      </c>
      <c r="H156">
        <v>2020</v>
      </c>
      <c r="J156" s="1334" t="s">
        <v>486</v>
      </c>
      <c r="K156" s="1335" t="s">
        <v>475</v>
      </c>
      <c r="L156" s="180">
        <v>0</v>
      </c>
      <c r="M156" t="s">
        <v>88</v>
      </c>
      <c r="N156" t="str">
        <f t="shared" si="10"/>
        <v>CAFE (0215)</v>
      </c>
      <c r="O156" t="s">
        <v>43</v>
      </c>
      <c r="P156" t="str">
        <f t="shared" si="11"/>
        <v>03000_0215</v>
      </c>
      <c r="Q156" s="180">
        <v>100</v>
      </c>
    </row>
    <row r="157" spans="1:17">
      <c r="A157" t="str">
        <f t="shared" si="8"/>
        <v>GIT_0216</v>
      </c>
      <c r="B157" t="str">
        <f t="shared" si="9"/>
        <v>GIT_PAVILION</v>
      </c>
      <c r="C157" t="s">
        <v>440</v>
      </c>
      <c r="D157" s="180" t="s">
        <v>28</v>
      </c>
      <c r="E157" t="s">
        <v>736</v>
      </c>
      <c r="F157" t="s">
        <v>1511</v>
      </c>
      <c r="G157" s="180">
        <v>11696</v>
      </c>
      <c r="H157">
        <v>2020</v>
      </c>
      <c r="J157" s="1334" t="s">
        <v>486</v>
      </c>
      <c r="K157" s="1335" t="s">
        <v>475</v>
      </c>
      <c r="L157" s="180">
        <v>65</v>
      </c>
      <c r="M157" t="s">
        <v>88</v>
      </c>
      <c r="N157" t="str">
        <f t="shared" si="10"/>
        <v>PAVILION (0216)</v>
      </c>
      <c r="O157" t="s">
        <v>43</v>
      </c>
      <c r="P157" t="str">
        <f t="shared" si="11"/>
        <v>03000_0216</v>
      </c>
      <c r="Q157" s="180">
        <v>100</v>
      </c>
    </row>
    <row r="158" spans="1:17">
      <c r="A158" t="str">
        <f t="shared" si="8"/>
        <v>GIT_0217</v>
      </c>
      <c r="B158" t="str">
        <f t="shared" si="9"/>
        <v>GIT_EXHIBIT HALL</v>
      </c>
      <c r="C158" t="s">
        <v>440</v>
      </c>
      <c r="D158" s="180" t="s">
        <v>28</v>
      </c>
      <c r="E158" t="s">
        <v>575</v>
      </c>
      <c r="F158" t="s">
        <v>7659</v>
      </c>
      <c r="G158" s="180">
        <v>57877</v>
      </c>
      <c r="H158">
        <v>2020</v>
      </c>
      <c r="J158" s="1334" t="s">
        <v>486</v>
      </c>
      <c r="K158" s="1335" t="s">
        <v>475</v>
      </c>
      <c r="L158" s="180">
        <v>76</v>
      </c>
      <c r="M158" t="s">
        <v>88</v>
      </c>
      <c r="N158" t="str">
        <f t="shared" si="10"/>
        <v>EXHIBIT HALL (0217)</v>
      </c>
      <c r="O158" t="s">
        <v>43</v>
      </c>
      <c r="P158" t="str">
        <f t="shared" si="11"/>
        <v>03000_0217</v>
      </c>
      <c r="Q158" s="180">
        <v>100</v>
      </c>
    </row>
    <row r="159" spans="1:17">
      <c r="A159" t="str">
        <f t="shared" si="8"/>
        <v>GIT_022A</v>
      </c>
      <c r="B159" t="str">
        <f t="shared" si="9"/>
        <v>GIT_Daniel Lab Addn</v>
      </c>
      <c r="C159" t="s">
        <v>440</v>
      </c>
      <c r="D159" s="180" t="s">
        <v>28</v>
      </c>
      <c r="E159" t="s">
        <v>793</v>
      </c>
      <c r="F159" t="s">
        <v>794</v>
      </c>
      <c r="G159" s="180">
        <v>4152</v>
      </c>
      <c r="H159">
        <v>1994</v>
      </c>
      <c r="J159" s="1334" t="s">
        <v>475</v>
      </c>
      <c r="K159" s="1335" t="s">
        <v>475</v>
      </c>
      <c r="L159" s="180">
        <v>100</v>
      </c>
      <c r="M159" t="s">
        <v>88</v>
      </c>
      <c r="N159" t="str">
        <f t="shared" si="10"/>
        <v>Daniel Lab Addn (022A)</v>
      </c>
      <c r="O159" t="s">
        <v>43</v>
      </c>
      <c r="P159" t="str">
        <f t="shared" si="11"/>
        <v>03000_022A</v>
      </c>
      <c r="Q159" s="180">
        <v>100</v>
      </c>
    </row>
    <row r="160" spans="1:17">
      <c r="A160" t="str">
        <f t="shared" si="8"/>
        <v>GIT_0236</v>
      </c>
      <c r="B160" t="str">
        <f t="shared" si="9"/>
        <v>GIT_600 Means St</v>
      </c>
      <c r="C160" t="s">
        <v>440</v>
      </c>
      <c r="D160" s="180" t="s">
        <v>28</v>
      </c>
      <c r="E160" t="s">
        <v>5533</v>
      </c>
      <c r="F160" t="s">
        <v>7660</v>
      </c>
      <c r="G160" s="180">
        <v>42287</v>
      </c>
      <c r="H160">
        <v>1967</v>
      </c>
      <c r="J160" s="1334" t="s">
        <v>475</v>
      </c>
      <c r="K160" s="1335" t="s">
        <v>475</v>
      </c>
      <c r="L160" s="180">
        <v>100</v>
      </c>
      <c r="M160" t="s">
        <v>88</v>
      </c>
      <c r="N160" t="str">
        <f t="shared" si="10"/>
        <v>600 Means St (0236)</v>
      </c>
      <c r="O160" t="s">
        <v>43</v>
      </c>
      <c r="P160" t="str">
        <f t="shared" si="11"/>
        <v>03000_0236</v>
      </c>
      <c r="Q160" s="180">
        <v>100</v>
      </c>
    </row>
    <row r="161" spans="1:17">
      <c r="A161" t="str">
        <f t="shared" si="8"/>
        <v>GIT_023A</v>
      </c>
      <c r="B161" t="str">
        <f t="shared" si="9"/>
        <v>GIT_220 Bobby Dodd Way</v>
      </c>
      <c r="C161" t="s">
        <v>440</v>
      </c>
      <c r="D161" s="180" t="s">
        <v>28</v>
      </c>
      <c r="E161" t="s">
        <v>642</v>
      </c>
      <c r="F161" t="s">
        <v>643</v>
      </c>
      <c r="G161" s="180">
        <v>2375</v>
      </c>
      <c r="H161">
        <v>1927</v>
      </c>
      <c r="J161" s="1334" t="s">
        <v>475</v>
      </c>
      <c r="K161" s="1335" t="s">
        <v>475</v>
      </c>
      <c r="L161" s="180">
        <v>100</v>
      </c>
      <c r="M161" t="s">
        <v>88</v>
      </c>
      <c r="N161" t="str">
        <f t="shared" si="10"/>
        <v>220 Bobby Dodd Way (023A)</v>
      </c>
      <c r="O161" t="s">
        <v>43</v>
      </c>
      <c r="P161" t="str">
        <f t="shared" si="11"/>
        <v>03000_023A</v>
      </c>
      <c r="Q161" s="180">
        <v>100</v>
      </c>
    </row>
    <row r="162" spans="1:17">
      <c r="A162" t="str">
        <f t="shared" si="8"/>
        <v>GIT_029A</v>
      </c>
      <c r="B162" t="str">
        <f t="shared" si="9"/>
        <v>GIT_Lyman Hall</v>
      </c>
      <c r="C162" t="s">
        <v>440</v>
      </c>
      <c r="D162" s="180" t="s">
        <v>28</v>
      </c>
      <c r="E162" t="s">
        <v>898</v>
      </c>
      <c r="F162" t="s">
        <v>899</v>
      </c>
      <c r="G162" s="180">
        <v>18445</v>
      </c>
      <c r="H162">
        <v>1906</v>
      </c>
      <c r="I162">
        <v>1991</v>
      </c>
      <c r="J162" s="1334" t="s">
        <v>475</v>
      </c>
      <c r="K162" s="1335" t="s">
        <v>475</v>
      </c>
      <c r="L162" s="180">
        <v>100</v>
      </c>
      <c r="M162" t="s">
        <v>88</v>
      </c>
      <c r="N162" t="str">
        <f t="shared" si="10"/>
        <v>Lyman Hall (029A)</v>
      </c>
      <c r="O162" t="s">
        <v>43</v>
      </c>
      <c r="P162" t="str">
        <f t="shared" si="11"/>
        <v>03000_029A</v>
      </c>
      <c r="Q162" s="180">
        <v>100</v>
      </c>
    </row>
    <row r="163" spans="1:17">
      <c r="A163" t="str">
        <f t="shared" si="8"/>
        <v>GIT_029B</v>
      </c>
      <c r="B163" t="str">
        <f t="shared" si="9"/>
        <v>GIT_Emerson</v>
      </c>
      <c r="C163" t="s">
        <v>440</v>
      </c>
      <c r="D163" s="180" t="s">
        <v>28</v>
      </c>
      <c r="E163" t="s">
        <v>596</v>
      </c>
      <c r="F163" t="s">
        <v>597</v>
      </c>
      <c r="G163" s="180">
        <v>16366</v>
      </c>
      <c r="H163">
        <v>1925</v>
      </c>
      <c r="I163">
        <v>1991</v>
      </c>
      <c r="J163" s="1334" t="s">
        <v>475</v>
      </c>
      <c r="K163" s="1335" t="s">
        <v>475</v>
      </c>
      <c r="L163" s="180">
        <v>100</v>
      </c>
      <c r="M163" t="s">
        <v>88</v>
      </c>
      <c r="N163" t="str">
        <f t="shared" si="10"/>
        <v>Emerson (029B)</v>
      </c>
      <c r="O163" t="s">
        <v>43</v>
      </c>
      <c r="P163" t="str">
        <f t="shared" si="11"/>
        <v>03000_029B</v>
      </c>
      <c r="Q163" s="180">
        <v>100</v>
      </c>
    </row>
    <row r="164" spans="1:17">
      <c r="A164" t="str">
        <f t="shared" si="8"/>
        <v>GIT_029C</v>
      </c>
      <c r="B164" t="str">
        <f t="shared" si="9"/>
        <v>GIT_Lyman/Emers Addn</v>
      </c>
      <c r="C164" t="s">
        <v>440</v>
      </c>
      <c r="D164" s="180" t="s">
        <v>28</v>
      </c>
      <c r="E164" t="s">
        <v>795</v>
      </c>
      <c r="F164" t="s">
        <v>796</v>
      </c>
      <c r="G164" s="180">
        <v>7720</v>
      </c>
      <c r="H164">
        <v>1991</v>
      </c>
      <c r="J164" s="1334" t="s">
        <v>475</v>
      </c>
      <c r="K164" s="1335" t="s">
        <v>475</v>
      </c>
      <c r="L164" s="180">
        <v>100</v>
      </c>
      <c r="M164" t="s">
        <v>88</v>
      </c>
      <c r="N164" t="str">
        <f t="shared" si="10"/>
        <v>Lyman/Emers Addn (029C)</v>
      </c>
      <c r="O164" t="s">
        <v>43</v>
      </c>
      <c r="P164" t="str">
        <f t="shared" si="11"/>
        <v>03000_029C</v>
      </c>
      <c r="Q164" s="180">
        <v>100</v>
      </c>
    </row>
    <row r="165" spans="1:17">
      <c r="A165" t="str">
        <f t="shared" si="8"/>
        <v>GIT_033A</v>
      </c>
      <c r="B165" t="str">
        <f t="shared" si="9"/>
        <v>GIT_OKeefe-Gym</v>
      </c>
      <c r="C165" t="s">
        <v>440</v>
      </c>
      <c r="D165" s="180" t="s">
        <v>28</v>
      </c>
      <c r="E165" t="s">
        <v>572</v>
      </c>
      <c r="F165" t="s">
        <v>573</v>
      </c>
      <c r="G165" s="180">
        <v>34953</v>
      </c>
      <c r="H165">
        <v>1924</v>
      </c>
      <c r="J165" s="1334" t="s">
        <v>475</v>
      </c>
      <c r="K165" s="1335" t="s">
        <v>1520</v>
      </c>
      <c r="L165" s="180">
        <v>32</v>
      </c>
      <c r="M165" t="s">
        <v>88</v>
      </c>
      <c r="N165" t="str">
        <f t="shared" si="10"/>
        <v>OKeefe-Gym (033A)</v>
      </c>
      <c r="O165" t="s">
        <v>43</v>
      </c>
      <c r="P165" t="str">
        <f t="shared" si="11"/>
        <v>03000_033A</v>
      </c>
      <c r="Q165" s="180">
        <v>88</v>
      </c>
    </row>
    <row r="166" spans="1:17">
      <c r="A166" t="str">
        <f t="shared" si="8"/>
        <v>GIT_033B</v>
      </c>
      <c r="B166" t="str">
        <f t="shared" si="9"/>
        <v>GIT_Women's Locker</v>
      </c>
      <c r="C166" t="s">
        <v>440</v>
      </c>
      <c r="D166" s="180" t="s">
        <v>28</v>
      </c>
      <c r="E166" t="s">
        <v>728</v>
      </c>
      <c r="F166" t="s">
        <v>729</v>
      </c>
      <c r="G166" s="180">
        <v>6478</v>
      </c>
      <c r="H166">
        <v>1924</v>
      </c>
      <c r="I166">
        <v>2011</v>
      </c>
      <c r="J166" s="1334" t="s">
        <v>475</v>
      </c>
      <c r="K166" s="1335" t="s">
        <v>475</v>
      </c>
      <c r="L166" s="180">
        <v>0</v>
      </c>
      <c r="M166" t="s">
        <v>88</v>
      </c>
      <c r="N166" t="str">
        <f t="shared" si="10"/>
        <v>Women's Locker (033B)</v>
      </c>
      <c r="O166" t="s">
        <v>43</v>
      </c>
      <c r="P166" t="str">
        <f t="shared" si="11"/>
        <v>03000_033B</v>
      </c>
      <c r="Q166" s="180">
        <v>100</v>
      </c>
    </row>
    <row r="167" spans="1:17">
      <c r="A167" t="str">
        <f t="shared" si="8"/>
        <v>GIT_033C</v>
      </c>
      <c r="B167" t="str">
        <f t="shared" si="9"/>
        <v>GIT_O'Keefe Storage</v>
      </c>
      <c r="C167" t="s">
        <v>440</v>
      </c>
      <c r="D167" s="180" t="s">
        <v>28</v>
      </c>
      <c r="E167" t="s">
        <v>617</v>
      </c>
      <c r="F167" t="s">
        <v>618</v>
      </c>
      <c r="G167" s="180">
        <v>834</v>
      </c>
      <c r="H167">
        <v>1980</v>
      </c>
      <c r="J167" s="1334" t="s">
        <v>475</v>
      </c>
      <c r="K167" s="1335" t="s">
        <v>475</v>
      </c>
      <c r="L167" s="180">
        <v>100</v>
      </c>
      <c r="M167" t="s">
        <v>88</v>
      </c>
      <c r="N167" t="str">
        <f t="shared" si="10"/>
        <v>O'Keefe Storage (033C)</v>
      </c>
      <c r="O167" t="s">
        <v>43</v>
      </c>
      <c r="P167" t="str">
        <f t="shared" si="11"/>
        <v>03000_033C</v>
      </c>
      <c r="Q167" s="180">
        <v>100</v>
      </c>
    </row>
    <row r="168" spans="1:17">
      <c r="A168" t="str">
        <f t="shared" si="8"/>
        <v>GIT_051A</v>
      </c>
      <c r="B168" t="str">
        <f t="shared" si="9"/>
        <v>GIT_Hinman Add</v>
      </c>
      <c r="C168" t="s">
        <v>440</v>
      </c>
      <c r="D168" s="180" t="s">
        <v>28</v>
      </c>
      <c r="E168" t="s">
        <v>582</v>
      </c>
      <c r="F168" t="s">
        <v>583</v>
      </c>
      <c r="G168" s="180">
        <v>18875</v>
      </c>
      <c r="H168">
        <v>1951</v>
      </c>
      <c r="I168">
        <v>2010</v>
      </c>
      <c r="J168" s="1334" t="s">
        <v>475</v>
      </c>
      <c r="K168" s="1335" t="s">
        <v>475</v>
      </c>
      <c r="L168" s="180">
        <v>100</v>
      </c>
      <c r="M168" t="s">
        <v>88</v>
      </c>
      <c r="N168" t="str">
        <f t="shared" si="10"/>
        <v>Hinman Add (051A)</v>
      </c>
      <c r="O168" t="s">
        <v>43</v>
      </c>
      <c r="P168" t="str">
        <f t="shared" si="11"/>
        <v>03000_051A</v>
      </c>
      <c r="Q168" s="180">
        <v>100</v>
      </c>
    </row>
    <row r="169" spans="1:17">
      <c r="A169" t="str">
        <f t="shared" si="8"/>
        <v>GIT_051B</v>
      </c>
      <c r="B169" t="str">
        <f t="shared" si="9"/>
        <v>GIT_Calculator</v>
      </c>
      <c r="C169" t="s">
        <v>440</v>
      </c>
      <c r="D169" s="180" t="s">
        <v>28</v>
      </c>
      <c r="E169" t="s">
        <v>853</v>
      </c>
      <c r="F169" t="s">
        <v>854</v>
      </c>
      <c r="G169" s="180">
        <v>7026</v>
      </c>
      <c r="H169">
        <v>1947</v>
      </c>
      <c r="J169" s="1334" t="s">
        <v>475</v>
      </c>
      <c r="K169" s="1335" t="s">
        <v>481</v>
      </c>
      <c r="L169" s="180">
        <v>100</v>
      </c>
      <c r="M169" t="s">
        <v>88</v>
      </c>
      <c r="N169" t="str">
        <f t="shared" si="10"/>
        <v>Calculator (051B)</v>
      </c>
      <c r="O169" t="s">
        <v>43</v>
      </c>
      <c r="P169" t="str">
        <f t="shared" si="11"/>
        <v>03000_051B</v>
      </c>
      <c r="Q169" s="180">
        <v>100</v>
      </c>
    </row>
    <row r="170" spans="1:17">
      <c r="A170" t="str">
        <f t="shared" si="8"/>
        <v>GIT_051C</v>
      </c>
      <c r="B170" t="str">
        <f t="shared" si="9"/>
        <v>GIT_Rich (Old)</v>
      </c>
      <c r="C170" t="s">
        <v>440</v>
      </c>
      <c r="D170" s="180" t="s">
        <v>28</v>
      </c>
      <c r="E170" t="s">
        <v>910</v>
      </c>
      <c r="F170" t="s">
        <v>911</v>
      </c>
      <c r="G170" s="180">
        <v>7063</v>
      </c>
      <c r="H170">
        <v>1955</v>
      </c>
      <c r="J170" s="1334" t="s">
        <v>475</v>
      </c>
      <c r="K170" s="1335" t="s">
        <v>1520</v>
      </c>
      <c r="L170" s="180">
        <v>100</v>
      </c>
      <c r="M170" t="s">
        <v>88</v>
      </c>
      <c r="N170" t="str">
        <f t="shared" si="10"/>
        <v>Rich (Old) (051C)</v>
      </c>
      <c r="O170" t="s">
        <v>43</v>
      </c>
      <c r="P170" t="str">
        <f t="shared" si="11"/>
        <v>03000_051C</v>
      </c>
      <c r="Q170" s="180">
        <v>95</v>
      </c>
    </row>
    <row r="171" spans="1:17">
      <c r="A171" t="str">
        <f t="shared" si="8"/>
        <v>GIT_051D</v>
      </c>
      <c r="B171" t="str">
        <f t="shared" si="9"/>
        <v>GIT_Rich (Comp Ctr)</v>
      </c>
      <c r="C171" t="s">
        <v>440</v>
      </c>
      <c r="D171" s="180" t="s">
        <v>28</v>
      </c>
      <c r="E171" t="s">
        <v>487</v>
      </c>
      <c r="F171" t="s">
        <v>488</v>
      </c>
      <c r="G171" s="180">
        <v>41522</v>
      </c>
      <c r="H171">
        <v>1973</v>
      </c>
      <c r="J171" s="1334" t="s">
        <v>475</v>
      </c>
      <c r="K171" s="1335" t="s">
        <v>486</v>
      </c>
      <c r="L171" s="180">
        <v>100</v>
      </c>
      <c r="M171" t="s">
        <v>88</v>
      </c>
      <c r="N171" t="str">
        <f t="shared" si="10"/>
        <v>Rich (Comp Ctr) (051D)</v>
      </c>
      <c r="O171" t="s">
        <v>43</v>
      </c>
      <c r="P171" t="str">
        <f t="shared" si="11"/>
        <v>03000_051D</v>
      </c>
      <c r="Q171" s="180">
        <v>100</v>
      </c>
    </row>
    <row r="172" spans="1:17">
      <c r="A172" t="str">
        <f t="shared" si="8"/>
        <v>GIT_051F</v>
      </c>
      <c r="B172" t="str">
        <f t="shared" si="9"/>
        <v>GIT_Rich Chiller</v>
      </c>
      <c r="C172" t="s">
        <v>440</v>
      </c>
      <c r="D172" s="180" t="s">
        <v>28</v>
      </c>
      <c r="E172" t="s">
        <v>747</v>
      </c>
      <c r="F172" t="s">
        <v>748</v>
      </c>
      <c r="G172" s="180">
        <v>4388</v>
      </c>
      <c r="H172">
        <v>1986</v>
      </c>
      <c r="J172" s="1334" t="s">
        <v>475</v>
      </c>
      <c r="K172" s="1335" t="s">
        <v>475</v>
      </c>
      <c r="L172" s="180">
        <v>100</v>
      </c>
      <c r="M172" t="s">
        <v>88</v>
      </c>
      <c r="N172" t="str">
        <f t="shared" si="10"/>
        <v>Rich Chiller (051F)</v>
      </c>
      <c r="O172" t="s">
        <v>43</v>
      </c>
      <c r="P172" t="str">
        <f t="shared" si="11"/>
        <v>03000_051F</v>
      </c>
      <c r="Q172" s="180">
        <v>100</v>
      </c>
    </row>
    <row r="173" spans="1:17">
      <c r="A173" t="str">
        <f t="shared" si="8"/>
        <v>GIT_0601</v>
      </c>
      <c r="B173" t="str">
        <f t="shared" si="9"/>
        <v>GIT_GT-Sav ELAB</v>
      </c>
      <c r="C173" t="s">
        <v>440</v>
      </c>
      <c r="D173" s="180" t="s">
        <v>28</v>
      </c>
      <c r="E173" t="s">
        <v>880</v>
      </c>
      <c r="F173" t="s">
        <v>881</v>
      </c>
      <c r="G173" s="180">
        <v>18920</v>
      </c>
      <c r="H173">
        <v>2003</v>
      </c>
      <c r="J173" s="1334" t="s">
        <v>475</v>
      </c>
      <c r="K173" s="1335" t="s">
        <v>475</v>
      </c>
      <c r="L173" s="180">
        <v>100</v>
      </c>
      <c r="M173" t="s">
        <v>7815</v>
      </c>
      <c r="N173" t="str">
        <f t="shared" si="10"/>
        <v>GT-Sav ELAB (0601)</v>
      </c>
      <c r="O173" t="s">
        <v>43</v>
      </c>
      <c r="P173" t="str">
        <f t="shared" si="11"/>
        <v>03000_0601</v>
      </c>
      <c r="Q173" s="180">
        <v>0</v>
      </c>
    </row>
    <row r="174" spans="1:17">
      <c r="A174" t="str">
        <f t="shared" si="8"/>
        <v>GIT_0602</v>
      </c>
      <c r="B174" t="str">
        <f t="shared" si="9"/>
        <v>GIT_GT-Sav PARB</v>
      </c>
      <c r="C174" t="s">
        <v>440</v>
      </c>
      <c r="D174" s="180" t="s">
        <v>28</v>
      </c>
      <c r="E174" t="s">
        <v>586</v>
      </c>
      <c r="F174" t="s">
        <v>587</v>
      </c>
      <c r="G174" s="180">
        <v>41999</v>
      </c>
      <c r="H174">
        <v>2003</v>
      </c>
      <c r="J174" s="1334" t="s">
        <v>486</v>
      </c>
      <c r="K174" s="1335" t="s">
        <v>475</v>
      </c>
      <c r="L174" s="180">
        <v>100</v>
      </c>
      <c r="M174" t="s">
        <v>7815</v>
      </c>
      <c r="N174" t="str">
        <f t="shared" si="10"/>
        <v>GT-Sav PARB (0602)</v>
      </c>
      <c r="O174" t="s">
        <v>43</v>
      </c>
      <c r="P174" t="str">
        <f t="shared" si="11"/>
        <v>03000_0602</v>
      </c>
      <c r="Q174" s="180">
        <v>100</v>
      </c>
    </row>
    <row r="175" spans="1:17">
      <c r="A175" t="str">
        <f t="shared" si="8"/>
        <v>GIT_0603</v>
      </c>
      <c r="B175" t="str">
        <f t="shared" si="9"/>
        <v>GIT_GT-Sav EDRB</v>
      </c>
      <c r="C175" t="s">
        <v>440</v>
      </c>
      <c r="D175" s="180" t="s">
        <v>28</v>
      </c>
      <c r="E175" t="s">
        <v>704</v>
      </c>
      <c r="F175" t="s">
        <v>705</v>
      </c>
      <c r="G175" s="180">
        <v>55617</v>
      </c>
      <c r="H175">
        <v>2003</v>
      </c>
      <c r="J175" s="1334" t="s">
        <v>486</v>
      </c>
      <c r="K175" s="1335" t="s">
        <v>475</v>
      </c>
      <c r="L175" s="180">
        <v>50</v>
      </c>
      <c r="M175" t="s">
        <v>7815</v>
      </c>
      <c r="N175" t="str">
        <f t="shared" si="10"/>
        <v>GT-Sav EDRB (0603)</v>
      </c>
      <c r="O175" t="s">
        <v>43</v>
      </c>
      <c r="P175" t="str">
        <f t="shared" si="11"/>
        <v>03000_0603</v>
      </c>
      <c r="Q175" s="180">
        <v>100</v>
      </c>
    </row>
    <row r="176" spans="1:17">
      <c r="A176" t="str">
        <f t="shared" si="8"/>
        <v>GIT_060A</v>
      </c>
      <c r="B176" t="str">
        <f t="shared" si="9"/>
        <v>GIT_Caddell</v>
      </c>
      <c r="C176" t="s">
        <v>440</v>
      </c>
      <c r="D176" s="180" t="s">
        <v>28</v>
      </c>
      <c r="E176" t="s">
        <v>650</v>
      </c>
      <c r="F176" t="s">
        <v>651</v>
      </c>
      <c r="G176" s="180">
        <v>11181</v>
      </c>
      <c r="H176">
        <v>1955</v>
      </c>
      <c r="I176">
        <v>2015</v>
      </c>
      <c r="J176" s="1334" t="s">
        <v>475</v>
      </c>
      <c r="K176" s="1335" t="s">
        <v>475</v>
      </c>
      <c r="L176" s="180">
        <v>100</v>
      </c>
      <c r="M176" t="s">
        <v>88</v>
      </c>
      <c r="N176" t="str">
        <f t="shared" si="10"/>
        <v>Caddell (060A)</v>
      </c>
      <c r="O176" t="s">
        <v>43</v>
      </c>
      <c r="P176" t="str">
        <f t="shared" si="11"/>
        <v>03000_060A</v>
      </c>
      <c r="Q176" s="180">
        <v>100</v>
      </c>
    </row>
    <row r="177" spans="1:17">
      <c r="A177" t="str">
        <f t="shared" si="8"/>
        <v>GIT_061A</v>
      </c>
      <c r="B177" t="str">
        <f t="shared" si="9"/>
        <v>GIT_430 10th St (S)</v>
      </c>
      <c r="C177" t="s">
        <v>440</v>
      </c>
      <c r="D177" s="180" t="s">
        <v>28</v>
      </c>
      <c r="E177" t="s">
        <v>619</v>
      </c>
      <c r="F177" t="s">
        <v>620</v>
      </c>
      <c r="G177" s="180">
        <v>39490</v>
      </c>
      <c r="H177">
        <v>1984</v>
      </c>
      <c r="J177" s="1334" t="s">
        <v>475</v>
      </c>
      <c r="K177" s="1335" t="s">
        <v>475</v>
      </c>
      <c r="L177" s="180">
        <v>0</v>
      </c>
      <c r="M177" t="s">
        <v>88</v>
      </c>
      <c r="N177" t="str">
        <f t="shared" si="10"/>
        <v>430 10th St (S) (061A)</v>
      </c>
      <c r="O177" t="s">
        <v>43</v>
      </c>
      <c r="P177" t="str">
        <f t="shared" si="11"/>
        <v>03000_061A</v>
      </c>
      <c r="Q177" s="180">
        <v>100</v>
      </c>
    </row>
    <row r="178" spans="1:17">
      <c r="A178" t="str">
        <f t="shared" si="8"/>
        <v>GIT_066A</v>
      </c>
      <c r="B178" t="str">
        <f t="shared" si="9"/>
        <v>GIT_C Emerson Addn</v>
      </c>
      <c r="C178" t="s">
        <v>440</v>
      </c>
      <c r="D178" s="180" t="s">
        <v>28</v>
      </c>
      <c r="E178" t="s">
        <v>847</v>
      </c>
      <c r="F178" t="s">
        <v>848</v>
      </c>
      <c r="G178" s="180">
        <v>45056</v>
      </c>
      <c r="H178">
        <v>1968</v>
      </c>
      <c r="J178" s="1334" t="s">
        <v>475</v>
      </c>
      <c r="K178" s="1335" t="s">
        <v>481</v>
      </c>
      <c r="L178" s="180">
        <v>100</v>
      </c>
      <c r="M178" t="s">
        <v>88</v>
      </c>
      <c r="N178" t="str">
        <f t="shared" si="10"/>
        <v>C Emerson Addn (066A)</v>
      </c>
      <c r="O178" t="s">
        <v>43</v>
      </c>
      <c r="P178" t="str">
        <f t="shared" si="11"/>
        <v>03000_066A</v>
      </c>
      <c r="Q178" s="180">
        <v>100</v>
      </c>
    </row>
    <row r="179" spans="1:17">
      <c r="A179" t="str">
        <f t="shared" si="8"/>
        <v>GIT_067A</v>
      </c>
      <c r="B179" t="str">
        <f t="shared" si="9"/>
        <v>GIT_Fac Storage</v>
      </c>
      <c r="C179" t="s">
        <v>440</v>
      </c>
      <c r="D179" s="180" t="s">
        <v>28</v>
      </c>
      <c r="E179" t="s">
        <v>621</v>
      </c>
      <c r="F179" t="s">
        <v>622</v>
      </c>
      <c r="G179" s="180">
        <v>6943</v>
      </c>
      <c r="H179">
        <v>1989</v>
      </c>
      <c r="J179" s="1334" t="s">
        <v>475</v>
      </c>
      <c r="K179" s="1335" t="s">
        <v>475</v>
      </c>
      <c r="L179" s="180">
        <v>100</v>
      </c>
      <c r="M179" t="s">
        <v>88</v>
      </c>
      <c r="N179" t="str">
        <f t="shared" si="10"/>
        <v>Fac Storage (067A)</v>
      </c>
      <c r="O179" t="s">
        <v>43</v>
      </c>
      <c r="P179" t="str">
        <f t="shared" si="11"/>
        <v>03000_067A</v>
      </c>
      <c r="Q179" s="180">
        <v>100</v>
      </c>
    </row>
    <row r="180" spans="1:17">
      <c r="A180" t="str">
        <f t="shared" si="8"/>
        <v>GIT_0709</v>
      </c>
      <c r="B180" t="str">
        <f t="shared" si="9"/>
        <v>GIT_162 Fourth St.</v>
      </c>
      <c r="C180" t="s">
        <v>440</v>
      </c>
      <c r="D180" s="180" t="s">
        <v>28</v>
      </c>
      <c r="E180" t="s">
        <v>565</v>
      </c>
      <c r="F180" t="s">
        <v>566</v>
      </c>
      <c r="G180" s="180">
        <v>4303</v>
      </c>
      <c r="H180">
        <v>1930</v>
      </c>
      <c r="J180" s="1334" t="s">
        <v>475</v>
      </c>
      <c r="K180" s="1335" t="s">
        <v>475</v>
      </c>
      <c r="L180" s="180">
        <v>0</v>
      </c>
      <c r="M180" t="s">
        <v>88</v>
      </c>
      <c r="N180" t="str">
        <f t="shared" si="10"/>
        <v>162 Fourth St. (0709)</v>
      </c>
      <c r="O180" t="s">
        <v>43</v>
      </c>
      <c r="P180" t="str">
        <f t="shared" si="11"/>
        <v>03000_0709</v>
      </c>
      <c r="Q180" s="180">
        <v>100</v>
      </c>
    </row>
    <row r="181" spans="1:17">
      <c r="A181" t="str">
        <f t="shared" si="8"/>
        <v>GIT_071A</v>
      </c>
      <c r="B181" t="str">
        <f t="shared" si="9"/>
        <v>GIT_Grounds-Pres Hm</v>
      </c>
      <c r="C181" t="s">
        <v>440</v>
      </c>
      <c r="D181" s="180" t="s">
        <v>28</v>
      </c>
      <c r="E181" t="s">
        <v>730</v>
      </c>
      <c r="F181" t="s">
        <v>731</v>
      </c>
      <c r="G181" s="180">
        <v>1601</v>
      </c>
      <c r="H181">
        <v>1985</v>
      </c>
      <c r="J181" s="1334" t="s">
        <v>475</v>
      </c>
      <c r="K181" s="1335" t="s">
        <v>475</v>
      </c>
      <c r="L181" s="180">
        <v>100</v>
      </c>
      <c r="M181" t="s">
        <v>88</v>
      </c>
      <c r="N181" t="str">
        <f t="shared" si="10"/>
        <v>Grounds-Pres Hm (071A)</v>
      </c>
      <c r="O181" t="s">
        <v>43</v>
      </c>
      <c r="P181" t="str">
        <f t="shared" si="11"/>
        <v>03000_071A</v>
      </c>
      <c r="Q181" s="180">
        <v>100</v>
      </c>
    </row>
    <row r="182" spans="1:17">
      <c r="A182" t="str">
        <f t="shared" si="8"/>
        <v>GIT_0720</v>
      </c>
      <c r="B182" t="str">
        <f t="shared" si="9"/>
        <v>GIT_Heffernan House</v>
      </c>
      <c r="C182" t="s">
        <v>440</v>
      </c>
      <c r="D182" s="180" t="s">
        <v>28</v>
      </c>
      <c r="E182" t="s">
        <v>849</v>
      </c>
      <c r="F182" t="s">
        <v>850</v>
      </c>
      <c r="G182" s="180">
        <v>4375</v>
      </c>
      <c r="H182">
        <v>1927</v>
      </c>
      <c r="J182" s="1334" t="s">
        <v>475</v>
      </c>
      <c r="K182" s="1335" t="s">
        <v>475</v>
      </c>
      <c r="L182" s="180">
        <v>100</v>
      </c>
      <c r="M182" t="s">
        <v>88</v>
      </c>
      <c r="N182" t="str">
        <f t="shared" si="10"/>
        <v>Heffernan House (0720)</v>
      </c>
      <c r="O182" t="s">
        <v>43</v>
      </c>
      <c r="P182" t="str">
        <f t="shared" si="11"/>
        <v>03000_0720</v>
      </c>
      <c r="Q182" s="180">
        <v>100</v>
      </c>
    </row>
    <row r="183" spans="1:17">
      <c r="A183" t="str">
        <f t="shared" si="8"/>
        <v>GIT_073A</v>
      </c>
      <c r="B183" t="str">
        <f t="shared" si="9"/>
        <v>GIT_Luck</v>
      </c>
      <c r="C183" t="s">
        <v>440</v>
      </c>
      <c r="D183" s="180" t="s">
        <v>28</v>
      </c>
      <c r="E183" t="s">
        <v>611</v>
      </c>
      <c r="F183" t="s">
        <v>612</v>
      </c>
      <c r="G183" s="180">
        <v>12516</v>
      </c>
      <c r="H183">
        <v>1987</v>
      </c>
      <c r="J183" s="1334" t="s">
        <v>475</v>
      </c>
      <c r="K183" s="1335" t="s">
        <v>475</v>
      </c>
      <c r="L183" s="180">
        <v>0</v>
      </c>
      <c r="M183" t="s">
        <v>88</v>
      </c>
      <c r="N183" t="str">
        <f t="shared" si="10"/>
        <v>Luck (073A)</v>
      </c>
      <c r="O183" t="s">
        <v>43</v>
      </c>
      <c r="P183" t="str">
        <f t="shared" si="11"/>
        <v>03000_073A</v>
      </c>
      <c r="Q183" s="180">
        <v>100</v>
      </c>
    </row>
    <row r="184" spans="1:17">
      <c r="A184" t="str">
        <f t="shared" si="8"/>
        <v>GIT_073B</v>
      </c>
      <c r="B184" t="str">
        <f t="shared" si="9"/>
        <v>GIT_Zelnak BB Ctr</v>
      </c>
      <c r="C184" t="s">
        <v>440</v>
      </c>
      <c r="D184" s="180" t="s">
        <v>28</v>
      </c>
      <c r="E184" t="s">
        <v>706</v>
      </c>
      <c r="F184" t="s">
        <v>707</v>
      </c>
      <c r="G184" s="180">
        <v>19825</v>
      </c>
      <c r="H184">
        <v>2009</v>
      </c>
      <c r="J184" s="1334" t="s">
        <v>475</v>
      </c>
      <c r="K184" s="1335" t="s">
        <v>475</v>
      </c>
      <c r="L184" s="180">
        <v>0</v>
      </c>
      <c r="M184" t="s">
        <v>88</v>
      </c>
      <c r="N184" t="str">
        <f t="shared" si="10"/>
        <v>Zelnak BB Ctr (073B)</v>
      </c>
      <c r="O184" t="s">
        <v>43</v>
      </c>
      <c r="P184" t="str">
        <f t="shared" si="11"/>
        <v>03000_073B</v>
      </c>
      <c r="Q184" s="180">
        <v>100</v>
      </c>
    </row>
    <row r="185" spans="1:17">
      <c r="A185" t="str">
        <f t="shared" si="8"/>
        <v>GIT_0761</v>
      </c>
      <c r="B185" t="str">
        <f t="shared" si="9"/>
        <v>GIT_CCRF Bldg B10</v>
      </c>
      <c r="C185" t="s">
        <v>440</v>
      </c>
      <c r="D185" s="180" t="s">
        <v>28</v>
      </c>
      <c r="E185" t="s">
        <v>842</v>
      </c>
      <c r="F185" t="s">
        <v>843</v>
      </c>
      <c r="G185" s="180">
        <v>14751</v>
      </c>
      <c r="H185">
        <v>1982</v>
      </c>
      <c r="J185" s="1334" t="s">
        <v>486</v>
      </c>
      <c r="K185" s="1335" t="s">
        <v>475</v>
      </c>
      <c r="L185" s="180">
        <v>0</v>
      </c>
      <c r="M185" t="s">
        <v>4</v>
      </c>
      <c r="N185" t="str">
        <f t="shared" si="10"/>
        <v>CCRF Bldg B10 (0761)</v>
      </c>
      <c r="O185" t="s">
        <v>43</v>
      </c>
      <c r="P185" t="str">
        <f t="shared" si="11"/>
        <v>03000_0761</v>
      </c>
      <c r="Q185" s="180">
        <v>100</v>
      </c>
    </row>
    <row r="186" spans="1:17">
      <c r="A186" t="str">
        <f t="shared" si="8"/>
        <v>GIT_0762</v>
      </c>
      <c r="B186" t="str">
        <f t="shared" si="9"/>
        <v>GIT_CCRF Bldg B11</v>
      </c>
      <c r="C186" t="s">
        <v>440</v>
      </c>
      <c r="D186" s="180" t="s">
        <v>28</v>
      </c>
      <c r="E186" t="s">
        <v>861</v>
      </c>
      <c r="F186" t="s">
        <v>862</v>
      </c>
      <c r="G186" s="180">
        <v>220499</v>
      </c>
      <c r="H186">
        <v>1993</v>
      </c>
      <c r="J186" s="1334" t="s">
        <v>486</v>
      </c>
      <c r="K186" s="1335" t="s">
        <v>475</v>
      </c>
      <c r="L186" s="180">
        <v>0</v>
      </c>
      <c r="M186" t="s">
        <v>4</v>
      </c>
      <c r="N186" t="str">
        <f t="shared" si="10"/>
        <v>CCRF Bldg B11 (0762)</v>
      </c>
      <c r="O186" t="s">
        <v>43</v>
      </c>
      <c r="P186" t="str">
        <f t="shared" si="11"/>
        <v>03000_0762</v>
      </c>
      <c r="Q186" s="180">
        <v>100</v>
      </c>
    </row>
    <row r="187" spans="1:17">
      <c r="A187" t="str">
        <f t="shared" si="8"/>
        <v>GIT_0763</v>
      </c>
      <c r="B187" t="str">
        <f t="shared" si="9"/>
        <v>GIT_CCRF Bldg B12</v>
      </c>
      <c r="C187" t="s">
        <v>440</v>
      </c>
      <c r="D187" s="180" t="s">
        <v>28</v>
      </c>
      <c r="E187" t="s">
        <v>567</v>
      </c>
      <c r="F187" t="s">
        <v>568</v>
      </c>
      <c r="G187" s="180">
        <v>415940</v>
      </c>
      <c r="H187">
        <v>1967</v>
      </c>
      <c r="J187" s="1334" t="s">
        <v>486</v>
      </c>
      <c r="K187" s="1335" t="s">
        <v>475</v>
      </c>
      <c r="L187" s="180">
        <v>0</v>
      </c>
      <c r="M187" t="s">
        <v>4</v>
      </c>
      <c r="N187" t="str">
        <f t="shared" si="10"/>
        <v>CCRF Bldg B12 (0763)</v>
      </c>
      <c r="O187" t="s">
        <v>43</v>
      </c>
      <c r="P187" t="str">
        <f t="shared" si="11"/>
        <v>03000_0763</v>
      </c>
      <c r="Q187" s="180">
        <v>100</v>
      </c>
    </row>
    <row r="188" spans="1:17">
      <c r="A188" t="str">
        <f t="shared" si="8"/>
        <v>GIT_0764</v>
      </c>
      <c r="B188" t="str">
        <f t="shared" si="9"/>
        <v>GIT_CCRF Bldg B13</v>
      </c>
      <c r="C188" t="s">
        <v>440</v>
      </c>
      <c r="D188" s="180" t="s">
        <v>28</v>
      </c>
      <c r="E188" t="s">
        <v>576</v>
      </c>
      <c r="F188" t="s">
        <v>577</v>
      </c>
      <c r="G188" s="180">
        <v>135551</v>
      </c>
      <c r="H188">
        <v>1968</v>
      </c>
      <c r="J188" s="1334" t="s">
        <v>486</v>
      </c>
      <c r="K188" s="1335" t="s">
        <v>475</v>
      </c>
      <c r="L188" s="180">
        <v>0</v>
      </c>
      <c r="M188" t="s">
        <v>4</v>
      </c>
      <c r="N188" t="str">
        <f t="shared" si="10"/>
        <v>CCRF Bldg B13 (0764)</v>
      </c>
      <c r="O188" t="s">
        <v>43</v>
      </c>
      <c r="P188" t="str">
        <f t="shared" si="11"/>
        <v>03000_0764</v>
      </c>
      <c r="Q188" s="180">
        <v>0</v>
      </c>
    </row>
    <row r="189" spans="1:17">
      <c r="A189" t="str">
        <f t="shared" si="8"/>
        <v>GIT_0771</v>
      </c>
      <c r="B189" t="str">
        <f t="shared" si="9"/>
        <v>GIT_NEETRAC Hi Volt</v>
      </c>
      <c r="C189" t="s">
        <v>440</v>
      </c>
      <c r="D189" s="180" t="s">
        <v>28</v>
      </c>
      <c r="E189" t="s">
        <v>811</v>
      </c>
      <c r="F189" t="s">
        <v>812</v>
      </c>
      <c r="G189" s="180">
        <v>16379</v>
      </c>
      <c r="H189">
        <v>1983</v>
      </c>
      <c r="J189" s="1334" t="s">
        <v>475</v>
      </c>
      <c r="K189" s="1335" t="s">
        <v>475</v>
      </c>
      <c r="L189" s="180">
        <v>100</v>
      </c>
      <c r="M189" t="s">
        <v>4</v>
      </c>
      <c r="N189" t="str">
        <f t="shared" si="10"/>
        <v>NEETRAC Hi Volt (0771)</v>
      </c>
      <c r="O189" t="s">
        <v>43</v>
      </c>
      <c r="P189" t="str">
        <f t="shared" si="11"/>
        <v>03000_0771</v>
      </c>
      <c r="Q189" s="180">
        <v>100</v>
      </c>
    </row>
    <row r="190" spans="1:17">
      <c r="A190" t="str">
        <f t="shared" si="8"/>
        <v>GIT_0772</v>
      </c>
      <c r="B190" t="str">
        <f t="shared" si="9"/>
        <v>GIT_NEETRAC MG</v>
      </c>
      <c r="C190" t="s">
        <v>440</v>
      </c>
      <c r="D190" s="180" t="s">
        <v>28</v>
      </c>
      <c r="E190" t="s">
        <v>478</v>
      </c>
      <c r="F190" t="s">
        <v>479</v>
      </c>
      <c r="G190" s="180">
        <v>4653</v>
      </c>
      <c r="H190">
        <v>1983</v>
      </c>
      <c r="J190" s="1334" t="s">
        <v>475</v>
      </c>
      <c r="K190" s="1335" t="s">
        <v>475</v>
      </c>
      <c r="L190" s="180">
        <v>100</v>
      </c>
      <c r="M190" t="s">
        <v>4</v>
      </c>
      <c r="N190" t="str">
        <f t="shared" si="10"/>
        <v>NEETRAC MG (0772)</v>
      </c>
      <c r="O190" t="s">
        <v>43</v>
      </c>
      <c r="P190" t="str">
        <f t="shared" si="11"/>
        <v>03000_0772</v>
      </c>
      <c r="Q190" s="180">
        <v>100</v>
      </c>
    </row>
    <row r="191" spans="1:17">
      <c r="A191" t="str">
        <f t="shared" si="8"/>
        <v>GIT_0773</v>
      </c>
      <c r="B191" t="str">
        <f t="shared" si="9"/>
        <v>GIT_NEETRAC Forensics</v>
      </c>
      <c r="C191" t="s">
        <v>440</v>
      </c>
      <c r="D191" s="180" t="s">
        <v>28</v>
      </c>
      <c r="E191" t="s">
        <v>844</v>
      </c>
      <c r="F191" t="s">
        <v>845</v>
      </c>
      <c r="G191" s="180">
        <v>3423</v>
      </c>
      <c r="H191">
        <v>1983</v>
      </c>
      <c r="J191" s="1334" t="s">
        <v>475</v>
      </c>
      <c r="K191" s="1335" t="s">
        <v>475</v>
      </c>
      <c r="L191" s="180">
        <v>100</v>
      </c>
      <c r="M191" t="s">
        <v>4</v>
      </c>
      <c r="N191" t="str">
        <f t="shared" si="10"/>
        <v>NEETRAC Forensics (0773)</v>
      </c>
      <c r="O191" t="s">
        <v>43</v>
      </c>
      <c r="P191" t="str">
        <f t="shared" si="11"/>
        <v>03000_0773</v>
      </c>
      <c r="Q191" s="180">
        <v>3</v>
      </c>
    </row>
    <row r="192" spans="1:17">
      <c r="A192" t="str">
        <f t="shared" si="8"/>
        <v>GIT_0775</v>
      </c>
      <c r="B192" t="str">
        <f t="shared" si="9"/>
        <v>GIT_NEETRAC MVL</v>
      </c>
      <c r="C192" t="s">
        <v>440</v>
      </c>
      <c r="D192" s="180" t="s">
        <v>28</v>
      </c>
      <c r="E192" t="s">
        <v>541</v>
      </c>
      <c r="F192" t="s">
        <v>542</v>
      </c>
      <c r="G192" s="180">
        <v>6014</v>
      </c>
      <c r="H192">
        <v>1999</v>
      </c>
      <c r="J192" s="1334" t="s">
        <v>475</v>
      </c>
      <c r="K192" s="1335" t="s">
        <v>475</v>
      </c>
      <c r="L192" s="180">
        <v>100</v>
      </c>
      <c r="M192" t="s">
        <v>4</v>
      </c>
      <c r="N192" t="str">
        <f t="shared" si="10"/>
        <v>NEETRAC MVL (0775)</v>
      </c>
      <c r="O192" t="s">
        <v>43</v>
      </c>
      <c r="P192" t="str">
        <f t="shared" si="11"/>
        <v>03000_0775</v>
      </c>
      <c r="Q192" s="180">
        <v>35</v>
      </c>
    </row>
    <row r="193" spans="1:17">
      <c r="A193" t="str">
        <f t="shared" si="8"/>
        <v>GIT_0776</v>
      </c>
      <c r="B193" t="str">
        <f t="shared" si="9"/>
        <v>GIT_Sample Prep Bldg</v>
      </c>
      <c r="C193" t="s">
        <v>440</v>
      </c>
      <c r="D193" s="180" t="s">
        <v>28</v>
      </c>
      <c r="E193" t="s">
        <v>545</v>
      </c>
      <c r="F193" t="s">
        <v>546</v>
      </c>
      <c r="G193" s="180">
        <v>800</v>
      </c>
      <c r="H193">
        <v>2009</v>
      </c>
      <c r="J193" s="1334" t="s">
        <v>475</v>
      </c>
      <c r="K193" s="1335" t="s">
        <v>475</v>
      </c>
      <c r="L193" s="180">
        <v>100</v>
      </c>
      <c r="M193" t="s">
        <v>4</v>
      </c>
      <c r="N193" t="str">
        <f t="shared" si="10"/>
        <v>Sample Prep Bldg (0776)</v>
      </c>
      <c r="O193" t="s">
        <v>43</v>
      </c>
      <c r="P193" t="str">
        <f t="shared" si="11"/>
        <v>03000_0776</v>
      </c>
      <c r="Q193" s="180">
        <v>100</v>
      </c>
    </row>
    <row r="194" spans="1:17">
      <c r="A194" t="str">
        <f t="shared" si="8"/>
        <v>GIT_0777</v>
      </c>
      <c r="B194" t="str">
        <f t="shared" si="9"/>
        <v>GIT_NEETRAC MDL</v>
      </c>
      <c r="C194" t="s">
        <v>440</v>
      </c>
      <c r="D194" s="180" t="s">
        <v>28</v>
      </c>
      <c r="E194" t="s">
        <v>558</v>
      </c>
      <c r="F194" t="s">
        <v>559</v>
      </c>
      <c r="G194" s="180">
        <v>9504</v>
      </c>
      <c r="H194">
        <v>2019</v>
      </c>
      <c r="J194" s="1334" t="s">
        <v>475</v>
      </c>
      <c r="K194" s="1335" t="s">
        <v>475</v>
      </c>
      <c r="L194" s="180">
        <v>100</v>
      </c>
      <c r="M194" t="s">
        <v>4</v>
      </c>
      <c r="N194" t="str">
        <f t="shared" si="10"/>
        <v>NEETRAC MDL (0777)</v>
      </c>
      <c r="O194" t="s">
        <v>43</v>
      </c>
      <c r="P194" t="str">
        <f t="shared" si="11"/>
        <v>03000_0777</v>
      </c>
      <c r="Q194" s="180">
        <v>100</v>
      </c>
    </row>
    <row r="195" spans="1:17">
      <c r="A195" t="str">
        <f t="shared" ref="A195:A258" si="12">_xlfn.CONCAT(D195,"_",E195)</f>
        <v>GIT_083C</v>
      </c>
      <c r="B195" t="str">
        <f t="shared" ref="B195:B258" si="13">_xlfn.CONCAT(D195,"_",F195)</f>
        <v>GIT_Storerm Annex</v>
      </c>
      <c r="C195" t="s">
        <v>440</v>
      </c>
      <c r="D195" s="180" t="s">
        <v>28</v>
      </c>
      <c r="E195" t="s">
        <v>482</v>
      </c>
      <c r="F195" t="s">
        <v>483</v>
      </c>
      <c r="G195" s="180">
        <v>9415</v>
      </c>
      <c r="H195">
        <v>1988</v>
      </c>
      <c r="J195" s="1334" t="s">
        <v>475</v>
      </c>
      <c r="K195" s="1335" t="s">
        <v>475</v>
      </c>
      <c r="L195" s="180">
        <v>100</v>
      </c>
      <c r="M195" t="s">
        <v>88</v>
      </c>
      <c r="N195" t="str">
        <f t="shared" ref="N195:N258" si="14">_xlfn.CONCAT(F195," (",E195,")")</f>
        <v>Storerm Annex (083C)</v>
      </c>
      <c r="O195" t="s">
        <v>43</v>
      </c>
      <c r="P195" t="str">
        <f t="shared" ref="P195:P258" si="15">_xlfn.CONCAT(C195,"_",E195)</f>
        <v>03000_083C</v>
      </c>
      <c r="Q195" s="180">
        <v>7</v>
      </c>
    </row>
    <row r="196" spans="1:17">
      <c r="A196" t="str">
        <f t="shared" si="12"/>
        <v>GIT_0881</v>
      </c>
      <c r="B196" t="str">
        <f t="shared" si="13"/>
        <v>GIT_Lib Service Ctr</v>
      </c>
      <c r="C196" t="s">
        <v>440</v>
      </c>
      <c r="D196" s="180" t="s">
        <v>28</v>
      </c>
      <c r="E196" t="s">
        <v>709</v>
      </c>
      <c r="F196" t="s">
        <v>710</v>
      </c>
      <c r="G196" s="180">
        <v>27650</v>
      </c>
      <c r="H196">
        <v>2016</v>
      </c>
      <c r="J196" s="1334" t="s">
        <v>486</v>
      </c>
      <c r="K196" s="1335" t="s">
        <v>475</v>
      </c>
      <c r="L196" s="180">
        <v>100</v>
      </c>
      <c r="M196" t="s">
        <v>4</v>
      </c>
      <c r="N196" t="str">
        <f t="shared" si="14"/>
        <v>Lib Service Ctr (0881)</v>
      </c>
      <c r="O196" t="s">
        <v>43</v>
      </c>
      <c r="P196" t="str">
        <f t="shared" si="15"/>
        <v>03000_0881</v>
      </c>
      <c r="Q196" s="180">
        <v>0</v>
      </c>
    </row>
    <row r="197" spans="1:17">
      <c r="A197" t="str">
        <f t="shared" si="12"/>
        <v>GIT_0882</v>
      </c>
      <c r="B197" t="str">
        <f t="shared" si="13"/>
        <v>GIT_818 J Lowery Blv</v>
      </c>
      <c r="C197" t="s">
        <v>440</v>
      </c>
      <c r="D197" s="180" t="s">
        <v>28</v>
      </c>
      <c r="E197" t="s">
        <v>510</v>
      </c>
      <c r="F197" t="s">
        <v>511</v>
      </c>
      <c r="G197" s="180">
        <v>60235</v>
      </c>
      <c r="H197">
        <v>1950</v>
      </c>
      <c r="J197" s="1334" t="s">
        <v>475</v>
      </c>
      <c r="K197" s="1335" t="s">
        <v>475</v>
      </c>
      <c r="L197" s="180">
        <v>33</v>
      </c>
      <c r="M197" t="s">
        <v>88</v>
      </c>
      <c r="N197" t="str">
        <f t="shared" si="14"/>
        <v>818 J Lowery Blv (0882)</v>
      </c>
      <c r="O197" t="s">
        <v>43</v>
      </c>
      <c r="P197" t="str">
        <f t="shared" si="15"/>
        <v>03000_0882</v>
      </c>
      <c r="Q197" s="180">
        <v>0</v>
      </c>
    </row>
    <row r="198" spans="1:17">
      <c r="A198" t="str">
        <f t="shared" si="12"/>
        <v>GIT_103A</v>
      </c>
      <c r="B198" t="str">
        <f t="shared" si="13"/>
        <v>GIT_Boggs Storage</v>
      </c>
      <c r="C198" t="s">
        <v>440</v>
      </c>
      <c r="D198" s="180" t="s">
        <v>28</v>
      </c>
      <c r="E198" t="s">
        <v>495</v>
      </c>
      <c r="F198" t="s">
        <v>496</v>
      </c>
      <c r="G198" s="180">
        <v>434</v>
      </c>
      <c r="H198">
        <v>1971</v>
      </c>
      <c r="J198" s="1334" t="s">
        <v>475</v>
      </c>
      <c r="K198" s="1335" t="s">
        <v>475</v>
      </c>
      <c r="L198" s="180">
        <v>100</v>
      </c>
      <c r="M198" t="s">
        <v>88</v>
      </c>
      <c r="N198" t="str">
        <f t="shared" si="14"/>
        <v>Boggs Storage (103A)</v>
      </c>
      <c r="O198" t="s">
        <v>43</v>
      </c>
      <c r="P198" t="str">
        <f t="shared" si="15"/>
        <v>03000_103A</v>
      </c>
      <c r="Q198" s="180">
        <v>20</v>
      </c>
    </row>
    <row r="199" spans="1:17">
      <c r="A199" t="str">
        <f t="shared" si="12"/>
        <v>GIT_133A</v>
      </c>
      <c r="B199" t="str">
        <f t="shared" si="13"/>
        <v>GIT_10th St Chlr Add</v>
      </c>
      <c r="C199" t="s">
        <v>440</v>
      </c>
      <c r="D199" s="180" t="s">
        <v>28</v>
      </c>
      <c r="E199" t="s">
        <v>838</v>
      </c>
      <c r="F199" t="s">
        <v>839</v>
      </c>
      <c r="G199" s="180">
        <v>7861</v>
      </c>
      <c r="H199">
        <v>2001</v>
      </c>
      <c r="J199" s="1334" t="s">
        <v>475</v>
      </c>
      <c r="K199" s="1335" t="s">
        <v>475</v>
      </c>
      <c r="L199" s="180">
        <v>100</v>
      </c>
      <c r="M199" t="s">
        <v>88</v>
      </c>
      <c r="N199" t="str">
        <f t="shared" si="14"/>
        <v>10th St Chlr Add (133A)</v>
      </c>
      <c r="O199" t="s">
        <v>43</v>
      </c>
      <c r="P199" t="str">
        <f t="shared" si="15"/>
        <v>03000_133A</v>
      </c>
      <c r="Q199" s="180">
        <v>90</v>
      </c>
    </row>
    <row r="200" spans="1:17">
      <c r="A200" t="str">
        <f t="shared" si="12"/>
        <v>GIT_141B</v>
      </c>
      <c r="B200" t="str">
        <f t="shared" si="13"/>
        <v>GIT_14th St Pkg Deck</v>
      </c>
      <c r="C200" t="s">
        <v>440</v>
      </c>
      <c r="D200" s="180" t="s">
        <v>28</v>
      </c>
      <c r="E200" t="s">
        <v>803</v>
      </c>
      <c r="F200" t="s">
        <v>804</v>
      </c>
      <c r="G200" s="180">
        <v>289317</v>
      </c>
      <c r="H200">
        <v>1995</v>
      </c>
      <c r="J200" s="1334" t="s">
        <v>475</v>
      </c>
      <c r="K200" s="1335" t="s">
        <v>475</v>
      </c>
      <c r="L200" s="180">
        <v>0</v>
      </c>
      <c r="M200" t="s">
        <v>88</v>
      </c>
      <c r="N200" t="str">
        <f t="shared" si="14"/>
        <v>14th St Pkg Deck (141B)</v>
      </c>
      <c r="O200" t="s">
        <v>43</v>
      </c>
      <c r="P200" t="str">
        <f t="shared" si="15"/>
        <v>03000_141B</v>
      </c>
      <c r="Q200" s="180">
        <v>11</v>
      </c>
    </row>
    <row r="201" spans="1:17">
      <c r="A201" t="str">
        <f t="shared" si="12"/>
        <v>GIT_155B</v>
      </c>
      <c r="B201" t="str">
        <f t="shared" si="13"/>
        <v>GIT_505 Tenth St Addn</v>
      </c>
      <c r="C201" t="s">
        <v>440</v>
      </c>
      <c r="D201" s="180" t="s">
        <v>28</v>
      </c>
      <c r="E201" t="s">
        <v>890</v>
      </c>
      <c r="F201" t="s">
        <v>891</v>
      </c>
      <c r="G201" s="180">
        <v>22975</v>
      </c>
      <c r="H201">
        <v>2002</v>
      </c>
      <c r="J201" s="1334" t="s">
        <v>475</v>
      </c>
      <c r="K201" s="1335" t="s">
        <v>475</v>
      </c>
      <c r="L201" s="180">
        <v>100</v>
      </c>
      <c r="M201" t="s">
        <v>88</v>
      </c>
      <c r="N201" t="str">
        <f t="shared" si="14"/>
        <v>505 Tenth St Addn (155B)</v>
      </c>
      <c r="O201" t="s">
        <v>43</v>
      </c>
      <c r="P201" t="str">
        <f t="shared" si="15"/>
        <v>03000_155B</v>
      </c>
      <c r="Q201" s="180">
        <v>12</v>
      </c>
    </row>
    <row r="202" spans="1:17">
      <c r="A202" t="str">
        <f t="shared" si="12"/>
        <v>GIT_158A</v>
      </c>
      <c r="B202" t="str">
        <f t="shared" si="13"/>
        <v>GIT_GTRI MS</v>
      </c>
      <c r="C202" t="s">
        <v>440</v>
      </c>
      <c r="D202" s="180" t="s">
        <v>28</v>
      </c>
      <c r="E202" t="s">
        <v>664</v>
      </c>
      <c r="F202" t="s">
        <v>665</v>
      </c>
      <c r="G202" s="180">
        <v>8875</v>
      </c>
      <c r="H202">
        <v>2010</v>
      </c>
      <c r="J202" s="1334" t="s">
        <v>475</v>
      </c>
      <c r="K202" s="1335" t="s">
        <v>475</v>
      </c>
      <c r="L202" s="180">
        <v>0</v>
      </c>
      <c r="M202" t="s">
        <v>4</v>
      </c>
      <c r="N202" t="str">
        <f t="shared" si="14"/>
        <v>GTRI MS (158A)</v>
      </c>
      <c r="O202" t="s">
        <v>43</v>
      </c>
      <c r="P202" t="str">
        <f t="shared" si="15"/>
        <v>03000_158A</v>
      </c>
      <c r="Q202" s="180">
        <v>53</v>
      </c>
    </row>
    <row r="203" spans="1:17">
      <c r="A203" t="str">
        <f t="shared" si="12"/>
        <v>GIT_771A</v>
      </c>
      <c r="B203" t="str">
        <f t="shared" si="13"/>
        <v>GIT_NEETRAC Admin&amp;MVL</v>
      </c>
      <c r="C203" t="s">
        <v>440</v>
      </c>
      <c r="D203" s="180" t="s">
        <v>28</v>
      </c>
      <c r="E203" t="s">
        <v>722</v>
      </c>
      <c r="F203" t="s">
        <v>723</v>
      </c>
      <c r="G203" s="180">
        <v>8750</v>
      </c>
      <c r="H203">
        <v>2012</v>
      </c>
      <c r="J203" s="1334" t="s">
        <v>475</v>
      </c>
      <c r="K203" s="1335" t="s">
        <v>475</v>
      </c>
      <c r="L203" s="180">
        <v>100</v>
      </c>
      <c r="M203" t="s">
        <v>4</v>
      </c>
      <c r="N203" t="str">
        <f t="shared" si="14"/>
        <v>NEETRAC Admin&amp;MVL (771A)</v>
      </c>
      <c r="O203" t="s">
        <v>43</v>
      </c>
      <c r="P203" t="str">
        <f t="shared" si="15"/>
        <v>03000_771A</v>
      </c>
      <c r="Q203" s="180">
        <v>98</v>
      </c>
    </row>
    <row r="204" spans="1:17">
      <c r="A204" t="str">
        <f t="shared" si="12"/>
        <v>GSU_0002</v>
      </c>
      <c r="B204" t="str">
        <f t="shared" si="13"/>
        <v>GSU_SPARKS HALL</v>
      </c>
      <c r="C204" t="s">
        <v>441</v>
      </c>
      <c r="D204" s="180" t="s">
        <v>29</v>
      </c>
      <c r="E204" t="s">
        <v>769</v>
      </c>
      <c r="F204" t="s">
        <v>955</v>
      </c>
      <c r="G204" s="180">
        <v>130548</v>
      </c>
      <c r="H204">
        <v>1955</v>
      </c>
      <c r="J204" s="1334" t="s">
        <v>475</v>
      </c>
      <c r="K204" s="1335" t="s">
        <v>475</v>
      </c>
      <c r="L204" s="180">
        <v>100</v>
      </c>
      <c r="M204" t="s">
        <v>88</v>
      </c>
      <c r="N204" t="str">
        <f t="shared" si="14"/>
        <v>SPARKS HALL (0002)</v>
      </c>
      <c r="O204" t="s">
        <v>46</v>
      </c>
      <c r="P204" t="str">
        <f t="shared" si="15"/>
        <v>09000_0002</v>
      </c>
      <c r="Q204" s="180">
        <v>60</v>
      </c>
    </row>
    <row r="205" spans="1:17">
      <c r="A205" t="str">
        <f t="shared" si="12"/>
        <v>GSU_0003</v>
      </c>
      <c r="B205" t="str">
        <f t="shared" si="13"/>
        <v>GSU_STUDENT CENTER WEST</v>
      </c>
      <c r="C205" t="s">
        <v>441</v>
      </c>
      <c r="D205" s="180" t="s">
        <v>29</v>
      </c>
      <c r="E205" t="s">
        <v>524</v>
      </c>
      <c r="F205" t="s">
        <v>1042</v>
      </c>
      <c r="G205" s="180">
        <v>118955</v>
      </c>
      <c r="H205">
        <v>1963</v>
      </c>
      <c r="I205">
        <v>2024</v>
      </c>
      <c r="J205" s="1334" t="s">
        <v>475</v>
      </c>
      <c r="K205" s="1335" t="s">
        <v>475</v>
      </c>
      <c r="L205" s="180">
        <v>93</v>
      </c>
      <c r="M205" t="s">
        <v>88</v>
      </c>
      <c r="N205" t="str">
        <f t="shared" si="14"/>
        <v>STUDENT CENTER WEST (0003)</v>
      </c>
      <c r="O205" t="s">
        <v>46</v>
      </c>
      <c r="P205" t="str">
        <f t="shared" si="15"/>
        <v>09000_0003</v>
      </c>
      <c r="Q205" s="180">
        <v>9</v>
      </c>
    </row>
    <row r="206" spans="1:17">
      <c r="A206" t="str">
        <f t="shared" si="12"/>
        <v>GSU_0004</v>
      </c>
      <c r="B206" t="str">
        <f t="shared" si="13"/>
        <v>GSU_LIBRARY NORTH</v>
      </c>
      <c r="C206" t="s">
        <v>441</v>
      </c>
      <c r="D206" s="180" t="s">
        <v>29</v>
      </c>
      <c r="E206" t="s">
        <v>1059</v>
      </c>
      <c r="F206" t="s">
        <v>1060</v>
      </c>
      <c r="G206" s="180">
        <v>182518</v>
      </c>
      <c r="H206">
        <v>1966</v>
      </c>
      <c r="I206">
        <v>2024</v>
      </c>
      <c r="J206" s="1334" t="s">
        <v>475</v>
      </c>
      <c r="K206" s="1335" t="s">
        <v>475</v>
      </c>
      <c r="L206" s="180">
        <v>99</v>
      </c>
      <c r="M206" t="s">
        <v>88</v>
      </c>
      <c r="N206" t="str">
        <f t="shared" si="14"/>
        <v>LIBRARY NORTH (0004)</v>
      </c>
      <c r="O206" t="s">
        <v>46</v>
      </c>
      <c r="P206" t="str">
        <f t="shared" si="15"/>
        <v>09000_0004</v>
      </c>
      <c r="Q206" s="180">
        <v>4</v>
      </c>
    </row>
    <row r="207" spans="1:17">
      <c r="A207" t="str">
        <f t="shared" si="12"/>
        <v>GSU_0005</v>
      </c>
      <c r="B207" t="str">
        <f t="shared" si="13"/>
        <v>GSU_CLASSROOM SOUTH</v>
      </c>
      <c r="C207" t="s">
        <v>441</v>
      </c>
      <c r="D207" s="180" t="s">
        <v>29</v>
      </c>
      <c r="E207" t="s">
        <v>1139</v>
      </c>
      <c r="F207" t="s">
        <v>1140</v>
      </c>
      <c r="G207" s="180">
        <v>166722</v>
      </c>
      <c r="H207">
        <v>1968</v>
      </c>
      <c r="I207">
        <v>2017</v>
      </c>
      <c r="J207" s="1334" t="s">
        <v>475</v>
      </c>
      <c r="K207" s="1335" t="s">
        <v>475</v>
      </c>
      <c r="L207" s="180">
        <v>100</v>
      </c>
      <c r="M207" t="s">
        <v>88</v>
      </c>
      <c r="N207" t="str">
        <f t="shared" si="14"/>
        <v>CLASSROOM SOUTH (0005)</v>
      </c>
      <c r="O207" t="s">
        <v>46</v>
      </c>
      <c r="P207" t="str">
        <f t="shared" si="15"/>
        <v>09000_0005</v>
      </c>
      <c r="Q207" s="180">
        <v>80</v>
      </c>
    </row>
    <row r="208" spans="1:17">
      <c r="A208" t="str">
        <f t="shared" si="12"/>
        <v>GSU_0006</v>
      </c>
      <c r="B208" t="str">
        <f t="shared" si="13"/>
        <v>GSU_ART &amp; HUMANITIES B</v>
      </c>
      <c r="C208" t="s">
        <v>441</v>
      </c>
      <c r="D208" s="180" t="s">
        <v>29</v>
      </c>
      <c r="E208" t="s">
        <v>855</v>
      </c>
      <c r="F208" t="s">
        <v>1030</v>
      </c>
      <c r="G208" s="180">
        <v>110883</v>
      </c>
      <c r="H208">
        <v>1969</v>
      </c>
      <c r="J208" s="1334" t="s">
        <v>475</v>
      </c>
      <c r="K208" s="1335" t="s">
        <v>475</v>
      </c>
      <c r="L208" s="180">
        <v>100</v>
      </c>
      <c r="M208" t="s">
        <v>88</v>
      </c>
      <c r="N208" t="str">
        <f t="shared" si="14"/>
        <v>ART &amp; HUMANITIES B (0006)</v>
      </c>
      <c r="O208" t="s">
        <v>46</v>
      </c>
      <c r="P208" t="str">
        <f t="shared" si="15"/>
        <v>09000_0006</v>
      </c>
      <c r="Q208" s="180">
        <v>44</v>
      </c>
    </row>
    <row r="209" spans="1:17">
      <c r="A209" t="str">
        <f t="shared" si="12"/>
        <v>GSU_0007</v>
      </c>
      <c r="B209" t="str">
        <f t="shared" si="13"/>
        <v>GSU_NOAH LANGDALE HALL</v>
      </c>
      <c r="C209" t="s">
        <v>441</v>
      </c>
      <c r="D209" s="180" t="s">
        <v>29</v>
      </c>
      <c r="E209" t="s">
        <v>872</v>
      </c>
      <c r="F209" t="s">
        <v>1056</v>
      </c>
      <c r="G209" s="180">
        <v>244869</v>
      </c>
      <c r="H209">
        <v>1971</v>
      </c>
      <c r="J209" s="1334" t="s">
        <v>475</v>
      </c>
      <c r="K209" s="1335" t="s">
        <v>475</v>
      </c>
      <c r="L209" s="180">
        <v>100</v>
      </c>
      <c r="M209" t="s">
        <v>88</v>
      </c>
      <c r="N209" t="str">
        <f t="shared" si="14"/>
        <v>NOAH LANGDALE HALL (0007)</v>
      </c>
      <c r="O209" t="s">
        <v>46</v>
      </c>
      <c r="P209" t="str">
        <f t="shared" si="15"/>
        <v>09000_0007</v>
      </c>
      <c r="Q209" s="180">
        <v>99</v>
      </c>
    </row>
    <row r="210" spans="1:17">
      <c r="A210" t="str">
        <f t="shared" si="12"/>
        <v>GSU_0008</v>
      </c>
      <c r="B210" t="str">
        <f t="shared" si="13"/>
        <v>GSU_SPORTS ARENA</v>
      </c>
      <c r="C210" t="s">
        <v>441</v>
      </c>
      <c r="D210" s="180" t="s">
        <v>29</v>
      </c>
      <c r="E210" t="s">
        <v>904</v>
      </c>
      <c r="F210" t="s">
        <v>975</v>
      </c>
      <c r="G210" s="180">
        <v>253701</v>
      </c>
      <c r="H210">
        <v>1973</v>
      </c>
      <c r="J210" s="1334" t="s">
        <v>475</v>
      </c>
      <c r="K210" s="1335" t="s">
        <v>475</v>
      </c>
      <c r="L210" s="180">
        <v>100</v>
      </c>
      <c r="M210" t="s">
        <v>88</v>
      </c>
      <c r="N210" t="str">
        <f t="shared" si="14"/>
        <v>SPORTS ARENA (0008)</v>
      </c>
      <c r="O210" t="s">
        <v>46</v>
      </c>
      <c r="P210" t="str">
        <f t="shared" si="15"/>
        <v>09000_0008</v>
      </c>
      <c r="Q210" s="180">
        <v>61</v>
      </c>
    </row>
    <row r="211" spans="1:17">
      <c r="A211" t="str">
        <f t="shared" si="12"/>
        <v>GSU_0009</v>
      </c>
      <c r="B211" t="str">
        <f t="shared" si="13"/>
        <v>GSU_SPORTS ANNEX</v>
      </c>
      <c r="C211" t="s">
        <v>441</v>
      </c>
      <c r="D211" s="180" t="s">
        <v>29</v>
      </c>
      <c r="E211" t="s">
        <v>502</v>
      </c>
      <c r="F211" t="s">
        <v>1087</v>
      </c>
      <c r="G211" s="180">
        <v>34697</v>
      </c>
      <c r="H211">
        <v>1973</v>
      </c>
      <c r="J211" s="1334" t="s">
        <v>475</v>
      </c>
      <c r="K211" s="1335" t="s">
        <v>475</v>
      </c>
      <c r="L211" s="180">
        <v>100</v>
      </c>
      <c r="M211" t="s">
        <v>88</v>
      </c>
      <c r="N211" t="str">
        <f t="shared" si="14"/>
        <v>SPORTS ANNEX (0009)</v>
      </c>
      <c r="O211" t="s">
        <v>46</v>
      </c>
      <c r="P211" t="str">
        <f t="shared" si="15"/>
        <v>09000_0009</v>
      </c>
      <c r="Q211" s="180">
        <v>96</v>
      </c>
    </row>
    <row r="212" spans="1:17">
      <c r="A212" t="str">
        <f t="shared" si="12"/>
        <v>GSU_0010</v>
      </c>
      <c r="B212" t="str">
        <f t="shared" si="13"/>
        <v>GSU_URBAN LIFE BLDG</v>
      </c>
      <c r="C212" t="s">
        <v>441</v>
      </c>
      <c r="D212" s="180" t="s">
        <v>29</v>
      </c>
      <c r="E212" t="s">
        <v>815</v>
      </c>
      <c r="F212" t="s">
        <v>1043</v>
      </c>
      <c r="G212" s="180">
        <v>336849</v>
      </c>
      <c r="H212">
        <v>1974</v>
      </c>
      <c r="J212" s="1334" t="s">
        <v>475</v>
      </c>
      <c r="K212" s="1335" t="s">
        <v>475</v>
      </c>
      <c r="L212" s="180">
        <v>93</v>
      </c>
      <c r="M212" t="s">
        <v>88</v>
      </c>
      <c r="N212" t="str">
        <f t="shared" si="14"/>
        <v>URBAN LIFE BLDG (0010)</v>
      </c>
      <c r="O212" t="s">
        <v>46</v>
      </c>
      <c r="P212" t="str">
        <f t="shared" si="15"/>
        <v>09000_0010</v>
      </c>
      <c r="Q212" s="180">
        <v>0</v>
      </c>
    </row>
    <row r="213" spans="1:17">
      <c r="A213" t="str">
        <f t="shared" si="12"/>
        <v>GSU_0011</v>
      </c>
      <c r="B213" t="str">
        <f t="shared" si="13"/>
        <v>GSU_COURTLAND BUILDING</v>
      </c>
      <c r="C213" t="s">
        <v>441</v>
      </c>
      <c r="D213" s="180" t="s">
        <v>29</v>
      </c>
      <c r="E213" t="s">
        <v>504</v>
      </c>
      <c r="F213" t="s">
        <v>956</v>
      </c>
      <c r="G213" s="180">
        <v>38133</v>
      </c>
      <c r="H213">
        <v>1936</v>
      </c>
      <c r="J213" s="1334" t="s">
        <v>475</v>
      </c>
      <c r="K213" s="1335" t="s">
        <v>475</v>
      </c>
      <c r="L213" s="180">
        <v>100</v>
      </c>
      <c r="M213" t="s">
        <v>88</v>
      </c>
      <c r="N213" t="str">
        <f t="shared" si="14"/>
        <v>COURTLAND BUILDING (0011)</v>
      </c>
      <c r="O213" t="s">
        <v>46</v>
      </c>
      <c r="P213" t="str">
        <f t="shared" si="15"/>
        <v>09000_0011</v>
      </c>
      <c r="Q213" s="180">
        <v>76</v>
      </c>
    </row>
    <row r="214" spans="1:17">
      <c r="A214" t="str">
        <f t="shared" si="12"/>
        <v>GSU_0012</v>
      </c>
      <c r="B214" t="str">
        <f t="shared" si="13"/>
        <v>GSU_COURTLAND NORTH</v>
      </c>
      <c r="C214" t="s">
        <v>441</v>
      </c>
      <c r="D214" s="180" t="s">
        <v>29</v>
      </c>
      <c r="E214" t="s">
        <v>698</v>
      </c>
      <c r="F214" t="s">
        <v>957</v>
      </c>
      <c r="G214" s="180">
        <v>16017</v>
      </c>
      <c r="H214">
        <v>1928</v>
      </c>
      <c r="J214" s="1334" t="s">
        <v>475</v>
      </c>
      <c r="K214" s="1335" t="s">
        <v>475</v>
      </c>
      <c r="L214" s="180">
        <v>100</v>
      </c>
      <c r="M214" t="s">
        <v>88</v>
      </c>
      <c r="N214" t="str">
        <f t="shared" si="14"/>
        <v>COURTLAND NORTH (0012)</v>
      </c>
      <c r="O214" t="s">
        <v>46</v>
      </c>
      <c r="P214" t="str">
        <f t="shared" si="15"/>
        <v>09000_0012</v>
      </c>
      <c r="Q214" s="180">
        <v>70</v>
      </c>
    </row>
    <row r="215" spans="1:17">
      <c r="A215" t="str">
        <f t="shared" si="12"/>
        <v>GSU_0013</v>
      </c>
      <c r="B215" t="str">
        <f t="shared" si="13"/>
        <v>GSU_148 EDGEWOOD</v>
      </c>
      <c r="C215" t="s">
        <v>441</v>
      </c>
      <c r="D215" s="180" t="s">
        <v>29</v>
      </c>
      <c r="E215" t="s">
        <v>490</v>
      </c>
      <c r="F215" t="s">
        <v>1122</v>
      </c>
      <c r="G215" s="180">
        <v>9844</v>
      </c>
      <c r="H215">
        <v>1916</v>
      </c>
      <c r="J215" s="1334" t="s">
        <v>475</v>
      </c>
      <c r="K215" s="1335" t="s">
        <v>520</v>
      </c>
      <c r="L215" s="180">
        <v>100</v>
      </c>
      <c r="M215" t="s">
        <v>88</v>
      </c>
      <c r="N215" t="str">
        <f t="shared" si="14"/>
        <v>148 EDGEWOOD (0013)</v>
      </c>
      <c r="O215" t="s">
        <v>46</v>
      </c>
      <c r="P215" t="str">
        <f t="shared" si="15"/>
        <v>09000_0013</v>
      </c>
      <c r="Q215" s="180">
        <v>0</v>
      </c>
    </row>
    <row r="216" spans="1:17">
      <c r="A216" t="str">
        <f t="shared" si="12"/>
        <v>GSU_0015</v>
      </c>
      <c r="B216" t="str">
        <f t="shared" si="13"/>
        <v>GSU_COL OF EDUCATION</v>
      </c>
      <c r="C216" t="s">
        <v>441</v>
      </c>
      <c r="D216" s="180" t="s">
        <v>29</v>
      </c>
      <c r="E216" t="s">
        <v>624</v>
      </c>
      <c r="F216" t="s">
        <v>1014</v>
      </c>
      <c r="G216" s="180">
        <v>163444</v>
      </c>
      <c r="H216">
        <v>1962</v>
      </c>
      <c r="J216" s="1334" t="s">
        <v>475</v>
      </c>
      <c r="K216" s="1335" t="s">
        <v>475</v>
      </c>
      <c r="L216" s="180">
        <v>100</v>
      </c>
      <c r="M216" t="s">
        <v>88</v>
      </c>
      <c r="N216" t="str">
        <f t="shared" si="14"/>
        <v>COL OF EDUCATION (0015)</v>
      </c>
      <c r="O216" t="s">
        <v>46</v>
      </c>
      <c r="P216" t="str">
        <f t="shared" si="15"/>
        <v>09000_0015</v>
      </c>
      <c r="Q216" s="180">
        <v>100</v>
      </c>
    </row>
    <row r="217" spans="1:17">
      <c r="A217" t="str">
        <f t="shared" si="12"/>
        <v>GSU_0017</v>
      </c>
      <c r="B217" t="str">
        <f t="shared" si="13"/>
        <v>GSU_PARKING DECK S</v>
      </c>
      <c r="C217" t="s">
        <v>441</v>
      </c>
      <c r="D217" s="180" t="s">
        <v>29</v>
      </c>
      <c r="E217" t="s">
        <v>680</v>
      </c>
      <c r="F217" t="s">
        <v>1061</v>
      </c>
      <c r="G217" s="180">
        <v>157349</v>
      </c>
      <c r="H217">
        <v>1971</v>
      </c>
      <c r="J217" s="1334" t="s">
        <v>475</v>
      </c>
      <c r="K217" s="1335" t="s">
        <v>475</v>
      </c>
      <c r="L217" s="180">
        <v>0</v>
      </c>
      <c r="M217" t="s">
        <v>88</v>
      </c>
      <c r="N217" t="str">
        <f t="shared" si="14"/>
        <v>PARKING DECK S (0017)</v>
      </c>
      <c r="O217" t="s">
        <v>46</v>
      </c>
      <c r="P217" t="str">
        <f t="shared" si="15"/>
        <v>09000_0017</v>
      </c>
      <c r="Q217" s="180">
        <v>0</v>
      </c>
    </row>
    <row r="218" spans="1:17">
      <c r="A218" t="str">
        <f t="shared" si="12"/>
        <v>GSU_0018</v>
      </c>
      <c r="B218" t="str">
        <f t="shared" si="13"/>
        <v>GSU_PARKING DECK N</v>
      </c>
      <c r="C218" t="s">
        <v>441</v>
      </c>
      <c r="D218" s="180" t="s">
        <v>29</v>
      </c>
      <c r="E218" t="s">
        <v>757</v>
      </c>
      <c r="F218" t="s">
        <v>993</v>
      </c>
      <c r="G218" s="180">
        <v>197453</v>
      </c>
      <c r="H218">
        <v>1973</v>
      </c>
      <c r="J218" s="1334" t="s">
        <v>475</v>
      </c>
      <c r="K218" s="1335" t="s">
        <v>475</v>
      </c>
      <c r="L218" s="180">
        <v>0</v>
      </c>
      <c r="M218" t="s">
        <v>88</v>
      </c>
      <c r="N218" t="str">
        <f t="shared" si="14"/>
        <v>PARKING DECK N (0018)</v>
      </c>
      <c r="O218" t="s">
        <v>46</v>
      </c>
      <c r="P218" t="str">
        <f t="shared" si="15"/>
        <v>09000_0018</v>
      </c>
      <c r="Q218" s="180">
        <v>100</v>
      </c>
    </row>
    <row r="219" spans="1:17">
      <c r="A219" t="str">
        <f t="shared" si="12"/>
        <v>GSU_0019</v>
      </c>
      <c r="B219" t="str">
        <f t="shared" si="13"/>
        <v>GSU_PARKING DECK K</v>
      </c>
      <c r="C219" t="s">
        <v>441</v>
      </c>
      <c r="D219" s="180" t="s">
        <v>29</v>
      </c>
      <c r="E219" t="s">
        <v>1068</v>
      </c>
      <c r="F219" t="s">
        <v>1069</v>
      </c>
      <c r="G219" s="180">
        <v>196955</v>
      </c>
      <c r="H219">
        <v>1973</v>
      </c>
      <c r="J219" s="1334" t="s">
        <v>475</v>
      </c>
      <c r="K219" s="1335" t="s">
        <v>475</v>
      </c>
      <c r="L219" s="180">
        <v>0</v>
      </c>
      <c r="M219" t="s">
        <v>88</v>
      </c>
      <c r="N219" t="str">
        <f t="shared" si="14"/>
        <v>PARKING DECK K (0019)</v>
      </c>
      <c r="O219" t="s">
        <v>46</v>
      </c>
      <c r="P219" t="str">
        <f t="shared" si="15"/>
        <v>09000_0019</v>
      </c>
      <c r="Q219" s="180">
        <v>28</v>
      </c>
    </row>
    <row r="220" spans="1:17">
      <c r="A220" t="str">
        <f t="shared" si="12"/>
        <v>GSU_0020</v>
      </c>
      <c r="B220" t="str">
        <f t="shared" si="13"/>
        <v>GSU_LIBRARY SOUTH</v>
      </c>
      <c r="C220" t="s">
        <v>441</v>
      </c>
      <c r="D220" s="180" t="s">
        <v>29</v>
      </c>
      <c r="E220" t="s">
        <v>529</v>
      </c>
      <c r="F220" t="s">
        <v>949</v>
      </c>
      <c r="G220" s="180">
        <v>135809</v>
      </c>
      <c r="H220">
        <v>1987</v>
      </c>
      <c r="J220" s="1334" t="s">
        <v>475</v>
      </c>
      <c r="K220" s="1335" t="s">
        <v>475</v>
      </c>
      <c r="L220" s="180">
        <v>100</v>
      </c>
      <c r="M220" t="s">
        <v>88</v>
      </c>
      <c r="N220" t="str">
        <f t="shared" si="14"/>
        <v>LIBRARY SOUTH (0020)</v>
      </c>
      <c r="O220" t="s">
        <v>46</v>
      </c>
      <c r="P220" t="str">
        <f t="shared" si="15"/>
        <v>09000_0020</v>
      </c>
      <c r="Q220" s="180">
        <v>100</v>
      </c>
    </row>
    <row r="221" spans="1:17">
      <c r="A221" t="str">
        <f t="shared" si="12"/>
        <v>GSU_0021</v>
      </c>
      <c r="B221" t="str">
        <f t="shared" si="13"/>
        <v>GSU_DAHLBERG HALL</v>
      </c>
      <c r="C221" t="s">
        <v>441</v>
      </c>
      <c r="D221" s="180" t="s">
        <v>29</v>
      </c>
      <c r="E221" t="s">
        <v>930</v>
      </c>
      <c r="F221" t="s">
        <v>931</v>
      </c>
      <c r="G221" s="180">
        <v>96121</v>
      </c>
      <c r="H221">
        <v>1927</v>
      </c>
      <c r="J221" s="1334" t="s">
        <v>475</v>
      </c>
      <c r="K221" s="1335" t="s">
        <v>475</v>
      </c>
      <c r="L221" s="180">
        <v>100</v>
      </c>
      <c r="M221" t="s">
        <v>88</v>
      </c>
      <c r="N221" t="str">
        <f t="shared" si="14"/>
        <v>DAHLBERG HALL (0021)</v>
      </c>
      <c r="O221" t="s">
        <v>46</v>
      </c>
      <c r="P221" t="str">
        <f t="shared" si="15"/>
        <v>09000_0021</v>
      </c>
      <c r="Q221" s="180">
        <v>2</v>
      </c>
    </row>
    <row r="222" spans="1:17">
      <c r="A222" t="str">
        <f t="shared" si="12"/>
        <v>GSU_0022</v>
      </c>
      <c r="B222" t="str">
        <f t="shared" si="13"/>
        <v>GSU_ONE PARK PLACE SO</v>
      </c>
      <c r="C222" t="s">
        <v>441</v>
      </c>
      <c r="D222" s="180" t="s">
        <v>29</v>
      </c>
      <c r="E222" t="s">
        <v>531</v>
      </c>
      <c r="F222" t="s">
        <v>1096</v>
      </c>
      <c r="G222" s="180">
        <v>150998</v>
      </c>
      <c r="H222">
        <v>1955</v>
      </c>
      <c r="J222" s="1334" t="s">
        <v>475</v>
      </c>
      <c r="K222" s="1335" t="s">
        <v>475</v>
      </c>
      <c r="L222" s="180">
        <v>92</v>
      </c>
      <c r="M222" t="s">
        <v>88</v>
      </c>
      <c r="N222" t="str">
        <f t="shared" si="14"/>
        <v>ONE PARK PLACE SO (0022)</v>
      </c>
      <c r="O222" t="s">
        <v>46</v>
      </c>
      <c r="P222" t="str">
        <f t="shared" si="15"/>
        <v>09000_0022</v>
      </c>
      <c r="Q222" s="180">
        <v>100</v>
      </c>
    </row>
    <row r="223" spans="1:17">
      <c r="A223" t="str">
        <f t="shared" si="12"/>
        <v>GSU_0024</v>
      </c>
      <c r="B223" t="str">
        <f t="shared" si="13"/>
        <v>GSU_NATURAL SCIENCE CE</v>
      </c>
      <c r="C223" t="s">
        <v>441</v>
      </c>
      <c r="D223" s="180" t="s">
        <v>29</v>
      </c>
      <c r="E223" t="s">
        <v>548</v>
      </c>
      <c r="F223" t="s">
        <v>1132</v>
      </c>
      <c r="G223" s="180">
        <v>194147</v>
      </c>
      <c r="H223">
        <v>1992</v>
      </c>
      <c r="J223" s="1334" t="s">
        <v>475</v>
      </c>
      <c r="K223" s="1335" t="s">
        <v>475</v>
      </c>
      <c r="L223" s="180">
        <v>100</v>
      </c>
      <c r="M223" t="s">
        <v>88</v>
      </c>
      <c r="N223" t="str">
        <f t="shared" si="14"/>
        <v>NATURAL SCIENCE CE (0024)</v>
      </c>
      <c r="O223" t="s">
        <v>46</v>
      </c>
      <c r="P223" t="str">
        <f t="shared" si="15"/>
        <v>09000_0024</v>
      </c>
      <c r="Q223" s="180">
        <v>98</v>
      </c>
    </row>
    <row r="224" spans="1:17">
      <c r="A224" t="str">
        <f t="shared" si="12"/>
        <v>GSU_0029</v>
      </c>
      <c r="B224" t="str">
        <f t="shared" si="13"/>
        <v>GSU_BOOKSTORE BUILDING</v>
      </c>
      <c r="C224" t="s">
        <v>441</v>
      </c>
      <c r="D224" s="180" t="s">
        <v>29</v>
      </c>
      <c r="E224" t="s">
        <v>1141</v>
      </c>
      <c r="F224" t="s">
        <v>1142</v>
      </c>
      <c r="G224" s="180">
        <v>26895</v>
      </c>
      <c r="H224">
        <v>1988</v>
      </c>
      <c r="J224" s="1334" t="s">
        <v>475</v>
      </c>
      <c r="K224" s="1335" t="s">
        <v>475</v>
      </c>
      <c r="L224" s="180">
        <v>0</v>
      </c>
      <c r="M224" t="s">
        <v>88</v>
      </c>
      <c r="N224" t="str">
        <f t="shared" si="14"/>
        <v>BOOKSTORE BUILDING (0029)</v>
      </c>
      <c r="O224" t="s">
        <v>46</v>
      </c>
      <c r="P224" t="str">
        <f t="shared" si="15"/>
        <v>09000_0029</v>
      </c>
      <c r="Q224" s="180">
        <v>98</v>
      </c>
    </row>
    <row r="225" spans="1:17">
      <c r="A225" t="str">
        <f t="shared" si="12"/>
        <v>GSU_0030</v>
      </c>
      <c r="B225" t="str">
        <f t="shared" si="13"/>
        <v>GSU_J. MACK ROBINSON</v>
      </c>
      <c r="C225" t="s">
        <v>441</v>
      </c>
      <c r="D225" s="180" t="s">
        <v>29</v>
      </c>
      <c r="E225" t="s">
        <v>561</v>
      </c>
      <c r="F225" t="s">
        <v>1070</v>
      </c>
      <c r="G225" s="180">
        <v>227136</v>
      </c>
      <c r="H225">
        <v>1901</v>
      </c>
      <c r="I225">
        <v>1968</v>
      </c>
      <c r="J225" s="1334" t="s">
        <v>475</v>
      </c>
      <c r="K225" s="1335" t="s">
        <v>475</v>
      </c>
      <c r="L225" s="180">
        <v>87</v>
      </c>
      <c r="M225" t="s">
        <v>88</v>
      </c>
      <c r="N225" t="str">
        <f t="shared" si="14"/>
        <v>J. MACK ROBINSON (0030)</v>
      </c>
      <c r="O225" t="s">
        <v>46</v>
      </c>
      <c r="P225" t="str">
        <f t="shared" si="15"/>
        <v>09000_0030</v>
      </c>
      <c r="Q225" s="180">
        <v>93</v>
      </c>
    </row>
    <row r="226" spans="1:17">
      <c r="A226" t="str">
        <f t="shared" si="12"/>
        <v>GSU_0032</v>
      </c>
      <c r="B226" t="str">
        <f t="shared" si="13"/>
        <v>GSU_PARKING DECK G</v>
      </c>
      <c r="C226" t="s">
        <v>441</v>
      </c>
      <c r="D226" s="180" t="s">
        <v>29</v>
      </c>
      <c r="E226" t="s">
        <v>864</v>
      </c>
      <c r="F226" t="s">
        <v>1097</v>
      </c>
      <c r="G226" s="180">
        <v>396375</v>
      </c>
      <c r="H226">
        <v>1992</v>
      </c>
      <c r="J226" s="1334" t="s">
        <v>475</v>
      </c>
      <c r="K226" s="1335" t="s">
        <v>475</v>
      </c>
      <c r="L226" s="180">
        <v>0</v>
      </c>
      <c r="M226" t="s">
        <v>88</v>
      </c>
      <c r="N226" t="str">
        <f t="shared" si="14"/>
        <v>PARKING DECK G (0032)</v>
      </c>
      <c r="O226" t="s">
        <v>46</v>
      </c>
      <c r="P226" t="str">
        <f t="shared" si="15"/>
        <v>09000_0032</v>
      </c>
      <c r="Q226" s="180">
        <v>100</v>
      </c>
    </row>
    <row r="227" spans="1:17">
      <c r="A227" t="str">
        <f t="shared" si="12"/>
        <v>GSU_0033</v>
      </c>
      <c r="B227" t="str">
        <f t="shared" si="13"/>
        <v>GSU_SCIENCE ANNEX</v>
      </c>
      <c r="C227" t="s">
        <v>441</v>
      </c>
      <c r="D227" s="180" t="s">
        <v>29</v>
      </c>
      <c r="E227" t="s">
        <v>717</v>
      </c>
      <c r="F227" t="s">
        <v>960</v>
      </c>
      <c r="G227" s="180">
        <v>69908</v>
      </c>
      <c r="H227">
        <v>1946</v>
      </c>
      <c r="I227">
        <v>2017</v>
      </c>
      <c r="J227" s="1334" t="s">
        <v>475</v>
      </c>
      <c r="K227" s="1335" t="s">
        <v>475</v>
      </c>
      <c r="L227" s="180">
        <v>60</v>
      </c>
      <c r="M227" t="s">
        <v>88</v>
      </c>
      <c r="N227" t="str">
        <f t="shared" si="14"/>
        <v>SCIENCE ANNEX (0033)</v>
      </c>
      <c r="O227" t="s">
        <v>46</v>
      </c>
      <c r="P227" t="str">
        <f t="shared" si="15"/>
        <v>09000_0033</v>
      </c>
      <c r="Q227" s="180">
        <v>100</v>
      </c>
    </row>
    <row r="228" spans="1:17">
      <c r="A228" t="str">
        <f t="shared" si="12"/>
        <v>GSU_0037</v>
      </c>
      <c r="B228" t="str">
        <f t="shared" si="13"/>
        <v>GSU_HAAS HOWELL BLDG</v>
      </c>
      <c r="C228" t="s">
        <v>441</v>
      </c>
      <c r="D228" s="180" t="s">
        <v>29</v>
      </c>
      <c r="E228" t="s">
        <v>998</v>
      </c>
      <c r="F228" t="s">
        <v>999</v>
      </c>
      <c r="G228" s="180">
        <v>39594</v>
      </c>
      <c r="H228">
        <v>1920</v>
      </c>
      <c r="J228" s="1334" t="s">
        <v>475</v>
      </c>
      <c r="K228" s="1335" t="s">
        <v>475</v>
      </c>
      <c r="L228" s="180">
        <v>100</v>
      </c>
      <c r="M228" t="s">
        <v>88</v>
      </c>
      <c r="N228" t="str">
        <f t="shared" si="14"/>
        <v>HAAS HOWELL BLDG (0037)</v>
      </c>
      <c r="O228" t="s">
        <v>46</v>
      </c>
      <c r="P228" t="str">
        <f t="shared" si="15"/>
        <v>09000_0037</v>
      </c>
      <c r="Q228" s="180">
        <v>100</v>
      </c>
    </row>
    <row r="229" spans="1:17">
      <c r="A229" t="str">
        <f t="shared" si="12"/>
        <v>GSU_0038</v>
      </c>
      <c r="B229" t="str">
        <f t="shared" si="13"/>
        <v>GSU_STANDARD BLDG</v>
      </c>
      <c r="C229" t="s">
        <v>441</v>
      </c>
      <c r="D229" s="180" t="s">
        <v>29</v>
      </c>
      <c r="E229" t="s">
        <v>866</v>
      </c>
      <c r="F229" t="s">
        <v>1003</v>
      </c>
      <c r="G229" s="180">
        <v>39415</v>
      </c>
      <c r="H229">
        <v>1923</v>
      </c>
      <c r="J229" s="1334" t="s">
        <v>475</v>
      </c>
      <c r="K229" s="1335" t="s">
        <v>475</v>
      </c>
      <c r="L229" s="180">
        <v>100</v>
      </c>
      <c r="M229" t="s">
        <v>88</v>
      </c>
      <c r="N229" t="str">
        <f t="shared" si="14"/>
        <v>STANDARD BLDG (0038)</v>
      </c>
      <c r="O229" t="s">
        <v>46</v>
      </c>
      <c r="P229" t="str">
        <f t="shared" si="15"/>
        <v>09000_0038</v>
      </c>
      <c r="Q229" s="180">
        <v>100</v>
      </c>
    </row>
    <row r="230" spans="1:17">
      <c r="A230" t="str">
        <f t="shared" si="12"/>
        <v>GSU_0048</v>
      </c>
      <c r="B230" t="str">
        <f t="shared" si="13"/>
        <v>GSU_BENNETT A BROWN</v>
      </c>
      <c r="C230" t="s">
        <v>441</v>
      </c>
      <c r="D230" s="180" t="s">
        <v>29</v>
      </c>
      <c r="E230" t="s">
        <v>1105</v>
      </c>
      <c r="F230" t="s">
        <v>1106</v>
      </c>
      <c r="G230" s="180">
        <v>165669</v>
      </c>
      <c r="H230">
        <v>1960</v>
      </c>
      <c r="J230" s="1334" t="s">
        <v>475</v>
      </c>
      <c r="K230" s="1335" t="s">
        <v>475</v>
      </c>
      <c r="L230" s="180">
        <v>57</v>
      </c>
      <c r="M230" t="s">
        <v>88</v>
      </c>
      <c r="N230" t="str">
        <f t="shared" si="14"/>
        <v>BENNETT A BROWN (0048)</v>
      </c>
      <c r="O230" t="s">
        <v>46</v>
      </c>
      <c r="P230" t="str">
        <f t="shared" si="15"/>
        <v>09000_0048</v>
      </c>
      <c r="Q230" s="180">
        <v>20</v>
      </c>
    </row>
    <row r="231" spans="1:17">
      <c r="A231" t="str">
        <f t="shared" si="12"/>
        <v>GSU_0054</v>
      </c>
      <c r="B231" t="str">
        <f t="shared" si="13"/>
        <v>GSU_PARKING DECK M</v>
      </c>
      <c r="C231" t="s">
        <v>441</v>
      </c>
      <c r="D231" s="180" t="s">
        <v>29</v>
      </c>
      <c r="E231" t="s">
        <v>840</v>
      </c>
      <c r="F231" t="s">
        <v>1031</v>
      </c>
      <c r="G231" s="180">
        <v>330487</v>
      </c>
      <c r="H231">
        <v>1997</v>
      </c>
      <c r="J231" s="1334" t="s">
        <v>475</v>
      </c>
      <c r="K231" s="1335" t="s">
        <v>475</v>
      </c>
      <c r="L231" s="180">
        <v>0</v>
      </c>
      <c r="M231" t="s">
        <v>88</v>
      </c>
      <c r="N231" t="str">
        <f t="shared" si="14"/>
        <v>PARKING DECK M (0054)</v>
      </c>
      <c r="O231" t="s">
        <v>46</v>
      </c>
      <c r="P231" t="str">
        <f t="shared" si="15"/>
        <v>09000_0054</v>
      </c>
      <c r="Q231" s="180">
        <v>0</v>
      </c>
    </row>
    <row r="232" spans="1:17">
      <c r="A232" t="str">
        <f t="shared" si="12"/>
        <v>GSU_0055</v>
      </c>
      <c r="B232" t="str">
        <f t="shared" si="13"/>
        <v>GSU_STUDENT CENTER EAST</v>
      </c>
      <c r="C232" t="s">
        <v>441</v>
      </c>
      <c r="D232" s="180" t="s">
        <v>29</v>
      </c>
      <c r="E232" t="s">
        <v>761</v>
      </c>
      <c r="F232" t="s">
        <v>953</v>
      </c>
      <c r="G232" s="180">
        <v>133208</v>
      </c>
      <c r="H232">
        <v>1998</v>
      </c>
      <c r="J232" s="1334" t="s">
        <v>475</v>
      </c>
      <c r="K232" s="1335" t="s">
        <v>475</v>
      </c>
      <c r="L232" s="180">
        <v>80</v>
      </c>
      <c r="M232" t="s">
        <v>88</v>
      </c>
      <c r="N232" t="str">
        <f t="shared" si="14"/>
        <v>STUDENT CENTER EAST (0055)</v>
      </c>
      <c r="O232" t="s">
        <v>46</v>
      </c>
      <c r="P232" t="str">
        <f t="shared" si="15"/>
        <v>09000_0055</v>
      </c>
      <c r="Q232" s="180">
        <v>99</v>
      </c>
    </row>
    <row r="233" spans="1:17">
      <c r="A233" t="str">
        <f t="shared" si="12"/>
        <v>GSU_0058</v>
      </c>
      <c r="B233" t="str">
        <f t="shared" si="13"/>
        <v>GSU_STUDENT RECREATION</v>
      </c>
      <c r="C233" t="s">
        <v>441</v>
      </c>
      <c r="D233" s="180" t="s">
        <v>29</v>
      </c>
      <c r="E233" t="s">
        <v>516</v>
      </c>
      <c r="F233" t="s">
        <v>1098</v>
      </c>
      <c r="G233" s="180">
        <v>216820</v>
      </c>
      <c r="H233">
        <v>2001</v>
      </c>
      <c r="J233" s="1334" t="s">
        <v>486</v>
      </c>
      <c r="K233" s="1335" t="s">
        <v>475</v>
      </c>
      <c r="L233" s="180">
        <v>100</v>
      </c>
      <c r="M233" t="s">
        <v>88</v>
      </c>
      <c r="N233" t="str">
        <f t="shared" si="14"/>
        <v>STUDENT RECREATION (0058)</v>
      </c>
      <c r="O233" t="s">
        <v>46</v>
      </c>
      <c r="P233" t="str">
        <f t="shared" si="15"/>
        <v>09000_0058</v>
      </c>
      <c r="Q233" s="180">
        <v>99</v>
      </c>
    </row>
    <row r="234" spans="1:17">
      <c r="A234" t="str">
        <f t="shared" si="12"/>
        <v>GSU_0059</v>
      </c>
      <c r="B234" t="str">
        <f t="shared" si="13"/>
        <v>GSU_ADERHOLD LEARNING</v>
      </c>
      <c r="C234" t="s">
        <v>441</v>
      </c>
      <c r="D234" s="180" t="s">
        <v>29</v>
      </c>
      <c r="E234" t="s">
        <v>876</v>
      </c>
      <c r="F234" t="s">
        <v>1125</v>
      </c>
      <c r="G234" s="180">
        <v>171746</v>
      </c>
      <c r="H234">
        <v>2002</v>
      </c>
      <c r="J234" s="1334" t="s">
        <v>475</v>
      </c>
      <c r="K234" s="1335" t="s">
        <v>475</v>
      </c>
      <c r="L234" s="180">
        <v>90</v>
      </c>
      <c r="M234" t="s">
        <v>88</v>
      </c>
      <c r="N234" t="str">
        <f t="shared" si="14"/>
        <v>ADERHOLD LEARNING (0059)</v>
      </c>
      <c r="O234" t="s">
        <v>46</v>
      </c>
      <c r="P234" t="str">
        <f t="shared" si="15"/>
        <v>09000_0059</v>
      </c>
      <c r="Q234" s="180">
        <v>99</v>
      </c>
    </row>
    <row r="235" spans="1:17">
      <c r="A235" t="str">
        <f t="shared" si="12"/>
        <v>GSU_0060</v>
      </c>
      <c r="B235" t="str">
        <f t="shared" si="13"/>
        <v>GSU_GSU LOFTS</v>
      </c>
      <c r="C235" t="s">
        <v>441</v>
      </c>
      <c r="D235" s="180" t="s">
        <v>29</v>
      </c>
      <c r="E235" t="s">
        <v>1113</v>
      </c>
      <c r="F235" t="s">
        <v>1114</v>
      </c>
      <c r="G235" s="180">
        <v>234197</v>
      </c>
      <c r="H235">
        <v>2002</v>
      </c>
      <c r="J235" s="1334" t="s">
        <v>486</v>
      </c>
      <c r="K235" s="1335" t="s">
        <v>475</v>
      </c>
      <c r="L235" s="180">
        <v>1</v>
      </c>
      <c r="M235" t="s">
        <v>88</v>
      </c>
      <c r="N235" t="str">
        <f t="shared" si="14"/>
        <v>GSU LOFTS (0060)</v>
      </c>
      <c r="O235" t="s">
        <v>46</v>
      </c>
      <c r="P235" t="str">
        <f t="shared" si="15"/>
        <v>09000_0060</v>
      </c>
      <c r="Q235" s="180">
        <v>98</v>
      </c>
    </row>
    <row r="236" spans="1:17">
      <c r="A236" t="str">
        <f t="shared" si="12"/>
        <v>GSU_0064</v>
      </c>
      <c r="B236" t="str">
        <f t="shared" si="13"/>
        <v>GSU_PETIT SCIENCE CTR</v>
      </c>
      <c r="C236" t="s">
        <v>441</v>
      </c>
      <c r="D236" s="180" t="s">
        <v>29</v>
      </c>
      <c r="E236" t="s">
        <v>912</v>
      </c>
      <c r="F236" t="s">
        <v>1110</v>
      </c>
      <c r="G236" s="180">
        <v>158248</v>
      </c>
      <c r="H236">
        <v>2010</v>
      </c>
      <c r="J236" s="1334" t="s">
        <v>520</v>
      </c>
      <c r="K236" s="1335" t="s">
        <v>475</v>
      </c>
      <c r="L236" s="180">
        <v>98</v>
      </c>
      <c r="M236" t="s">
        <v>88</v>
      </c>
      <c r="N236" t="str">
        <f t="shared" si="14"/>
        <v>PETIT SCIENCE CTR (0064)</v>
      </c>
      <c r="O236" t="s">
        <v>46</v>
      </c>
      <c r="P236" t="str">
        <f t="shared" si="15"/>
        <v>09000_0064</v>
      </c>
      <c r="Q236" s="180">
        <v>99</v>
      </c>
    </row>
    <row r="237" spans="1:17">
      <c r="A237" t="str">
        <f t="shared" si="12"/>
        <v>GSU_0064a</v>
      </c>
      <c r="B237" t="str">
        <f t="shared" si="13"/>
        <v>GSU_PETIT SCIENCE CTR</v>
      </c>
      <c r="C237" t="s">
        <v>441</v>
      </c>
      <c r="D237" s="180" t="s">
        <v>29</v>
      </c>
      <c r="E237" t="s">
        <v>7028</v>
      </c>
      <c r="F237" t="s">
        <v>1110</v>
      </c>
      <c r="G237" s="180">
        <v>204725</v>
      </c>
      <c r="H237">
        <v>2010</v>
      </c>
      <c r="J237" s="1334" t="s">
        <v>475</v>
      </c>
      <c r="K237" s="1335" t="s">
        <v>475</v>
      </c>
      <c r="L237" s="180">
        <v>100</v>
      </c>
      <c r="M237" t="s">
        <v>88</v>
      </c>
      <c r="N237" t="str">
        <f t="shared" si="14"/>
        <v>PETIT SCIENCE CTR (0064a)</v>
      </c>
      <c r="O237" t="s">
        <v>46</v>
      </c>
      <c r="P237" t="str">
        <f t="shared" si="15"/>
        <v>09000_0064a</v>
      </c>
      <c r="Q237" s="180">
        <v>100</v>
      </c>
    </row>
    <row r="238" spans="1:17">
      <c r="A238" t="str">
        <f t="shared" si="12"/>
        <v>GSU_0065</v>
      </c>
      <c r="B238" t="str">
        <f t="shared" si="13"/>
        <v>GSU_GSU LOFTS PARKING</v>
      </c>
      <c r="C238" t="s">
        <v>441</v>
      </c>
      <c r="D238" s="180" t="s">
        <v>29</v>
      </c>
      <c r="E238" t="s">
        <v>832</v>
      </c>
      <c r="F238" t="s">
        <v>1036</v>
      </c>
      <c r="G238" s="180">
        <v>142203</v>
      </c>
      <c r="H238">
        <v>2002</v>
      </c>
      <c r="J238" s="1334" t="s">
        <v>486</v>
      </c>
      <c r="K238" s="1335" t="s">
        <v>475</v>
      </c>
      <c r="L238" s="180">
        <v>0</v>
      </c>
      <c r="M238" t="s">
        <v>88</v>
      </c>
      <c r="N238" t="str">
        <f t="shared" si="14"/>
        <v>GSU LOFTS PARKING (0065)</v>
      </c>
      <c r="O238" t="s">
        <v>46</v>
      </c>
      <c r="P238" t="str">
        <f t="shared" si="15"/>
        <v>09000_0065</v>
      </c>
      <c r="Q238" s="180">
        <v>100</v>
      </c>
    </row>
    <row r="239" spans="1:17">
      <c r="A239" t="str">
        <f t="shared" si="12"/>
        <v>GSU_0080</v>
      </c>
      <c r="B239" t="str">
        <f t="shared" si="13"/>
        <v>GSU_25 PARK PLACE BUILDING</v>
      </c>
      <c r="C239" t="s">
        <v>441</v>
      </c>
      <c r="D239" s="180" t="s">
        <v>29</v>
      </c>
      <c r="E239" t="s">
        <v>1050</v>
      </c>
      <c r="F239" t="s">
        <v>1051</v>
      </c>
      <c r="G239" s="180">
        <v>488614</v>
      </c>
      <c r="H239">
        <v>1971</v>
      </c>
      <c r="I239">
        <v>2013</v>
      </c>
      <c r="J239" s="1334" t="s">
        <v>486</v>
      </c>
      <c r="K239" s="1335" t="s">
        <v>475</v>
      </c>
      <c r="L239" s="180">
        <v>98</v>
      </c>
      <c r="M239" t="s">
        <v>88</v>
      </c>
      <c r="N239" t="str">
        <f t="shared" si="14"/>
        <v>25 PARK PLACE BUILDING (0080)</v>
      </c>
      <c r="O239" t="s">
        <v>46</v>
      </c>
      <c r="P239" t="str">
        <f t="shared" si="15"/>
        <v>09000_0080</v>
      </c>
      <c r="Q239" s="180">
        <v>97</v>
      </c>
    </row>
    <row r="240" spans="1:17">
      <c r="A240" t="str">
        <f t="shared" si="12"/>
        <v>GSU_0081</v>
      </c>
      <c r="B240" t="str">
        <f t="shared" si="13"/>
        <v>GSU_58 EDGEWOOD BUILDING</v>
      </c>
      <c r="C240" t="s">
        <v>441</v>
      </c>
      <c r="D240" s="180" t="s">
        <v>29</v>
      </c>
      <c r="E240" t="s">
        <v>508</v>
      </c>
      <c r="F240" t="s">
        <v>929</v>
      </c>
      <c r="G240" s="180">
        <v>171146</v>
      </c>
      <c r="H240">
        <v>1965</v>
      </c>
      <c r="I240">
        <v>2010</v>
      </c>
      <c r="J240" s="1334" t="s">
        <v>486</v>
      </c>
      <c r="K240" s="1335" t="s">
        <v>486</v>
      </c>
      <c r="L240" s="180">
        <v>100</v>
      </c>
      <c r="M240" t="s">
        <v>88</v>
      </c>
      <c r="N240" t="str">
        <f t="shared" si="14"/>
        <v>58 EDGEWOOD BUILDING (0081)</v>
      </c>
      <c r="O240" t="s">
        <v>46</v>
      </c>
      <c r="P240" t="str">
        <f t="shared" si="15"/>
        <v>09000_0081</v>
      </c>
      <c r="Q240" s="180">
        <v>0</v>
      </c>
    </row>
    <row r="241" spans="1:17">
      <c r="A241" t="str">
        <f t="shared" si="12"/>
        <v>GSU_0082</v>
      </c>
      <c r="B241" t="str">
        <f t="shared" si="13"/>
        <v>GSU_75 PIEDMONT PARKDK</v>
      </c>
      <c r="C241" t="s">
        <v>441</v>
      </c>
      <c r="D241" s="180" t="s">
        <v>29</v>
      </c>
      <c r="E241" t="s">
        <v>1009</v>
      </c>
      <c r="F241" t="s">
        <v>1010</v>
      </c>
      <c r="G241" s="180">
        <v>208836</v>
      </c>
      <c r="H241">
        <v>1969</v>
      </c>
      <c r="J241" s="1334" t="s">
        <v>475</v>
      </c>
      <c r="K241" s="1335" t="s">
        <v>475</v>
      </c>
      <c r="L241" s="180">
        <v>0</v>
      </c>
      <c r="M241" t="s">
        <v>88</v>
      </c>
      <c r="N241" t="str">
        <f t="shared" si="14"/>
        <v>75 PIEDMONT PARKDK (0082)</v>
      </c>
      <c r="O241" t="s">
        <v>46</v>
      </c>
      <c r="P241" t="str">
        <f t="shared" si="15"/>
        <v>09000_0082</v>
      </c>
      <c r="Q241" s="180">
        <v>100</v>
      </c>
    </row>
    <row r="242" spans="1:17">
      <c r="A242" t="str">
        <f t="shared" si="12"/>
        <v>GSU_0083</v>
      </c>
      <c r="B242" t="str">
        <f t="shared" si="13"/>
        <v>GSU_75 PIEDMONT BLDG</v>
      </c>
      <c r="C242" t="s">
        <v>441</v>
      </c>
      <c r="D242" s="180" t="s">
        <v>29</v>
      </c>
      <c r="E242" t="s">
        <v>1054</v>
      </c>
      <c r="F242" t="s">
        <v>1055</v>
      </c>
      <c r="G242" s="180">
        <v>209270</v>
      </c>
      <c r="H242">
        <v>1969</v>
      </c>
      <c r="I242">
        <v>2007</v>
      </c>
      <c r="J242" s="1334" t="s">
        <v>475</v>
      </c>
      <c r="K242" s="1335" t="s">
        <v>475</v>
      </c>
      <c r="L242" s="180">
        <v>91</v>
      </c>
      <c r="M242" t="s">
        <v>88</v>
      </c>
      <c r="N242" t="str">
        <f t="shared" si="14"/>
        <v>75 PIEDMONT BLDG (0083)</v>
      </c>
      <c r="O242" t="s">
        <v>46</v>
      </c>
      <c r="P242" t="str">
        <f t="shared" si="15"/>
        <v>09000_0083</v>
      </c>
      <c r="Q242" s="180">
        <v>98</v>
      </c>
    </row>
    <row r="243" spans="1:17">
      <c r="A243" t="str">
        <f t="shared" si="12"/>
        <v>GSU_0085</v>
      </c>
      <c r="B243" t="str">
        <f t="shared" si="13"/>
        <v>GSU_SPECIAL INTER HOUS</v>
      </c>
      <c r="C243" t="s">
        <v>441</v>
      </c>
      <c r="D243" s="180" t="s">
        <v>29</v>
      </c>
      <c r="E243" t="s">
        <v>626</v>
      </c>
      <c r="F243" t="s">
        <v>1029</v>
      </c>
      <c r="G243" s="180">
        <v>29565</v>
      </c>
      <c r="H243">
        <v>2010</v>
      </c>
      <c r="J243" s="1334" t="s">
        <v>475</v>
      </c>
      <c r="K243" s="1335" t="s">
        <v>475</v>
      </c>
      <c r="L243" s="180">
        <v>11</v>
      </c>
      <c r="M243" t="s">
        <v>88</v>
      </c>
      <c r="N243" t="str">
        <f t="shared" si="14"/>
        <v>SPECIAL INTER HOUS (0085)</v>
      </c>
      <c r="O243" t="s">
        <v>46</v>
      </c>
      <c r="P243" t="str">
        <f t="shared" si="15"/>
        <v>09000_0085</v>
      </c>
      <c r="Q243" s="180">
        <v>100</v>
      </c>
    </row>
    <row r="244" spans="1:17">
      <c r="A244" t="str">
        <f t="shared" si="12"/>
        <v>GSU_0087</v>
      </c>
      <c r="B244" t="str">
        <f t="shared" si="13"/>
        <v>GSU_188 MLK BLDG</v>
      </c>
      <c r="C244" t="s">
        <v>441</v>
      </c>
      <c r="D244" s="180" t="s">
        <v>29</v>
      </c>
      <c r="E244" t="s">
        <v>963</v>
      </c>
      <c r="F244" t="s">
        <v>964</v>
      </c>
      <c r="G244" s="180">
        <v>26767</v>
      </c>
      <c r="H244">
        <v>1925</v>
      </c>
      <c r="I244">
        <v>2011</v>
      </c>
      <c r="J244" s="1334" t="s">
        <v>475</v>
      </c>
      <c r="K244" s="1335" t="s">
        <v>475</v>
      </c>
      <c r="L244" s="180">
        <v>25</v>
      </c>
      <c r="M244" t="s">
        <v>88</v>
      </c>
      <c r="N244" t="str">
        <f t="shared" si="14"/>
        <v>188 MLK BLDG (0087)</v>
      </c>
      <c r="O244" t="s">
        <v>46</v>
      </c>
      <c r="P244" t="str">
        <f t="shared" si="15"/>
        <v>09000_0087</v>
      </c>
      <c r="Q244" s="180">
        <v>0</v>
      </c>
    </row>
    <row r="245" spans="1:17">
      <c r="A245" t="str">
        <f t="shared" si="12"/>
        <v>GSU_0090</v>
      </c>
      <c r="B245" t="str">
        <f t="shared" si="13"/>
        <v>GSU_246 EDGEWOOD BLDG</v>
      </c>
      <c r="C245" t="s">
        <v>441</v>
      </c>
      <c r="D245" s="180" t="s">
        <v>29</v>
      </c>
      <c r="E245" t="s">
        <v>656</v>
      </c>
      <c r="F245" t="s">
        <v>1131</v>
      </c>
      <c r="G245" s="180">
        <v>7706</v>
      </c>
      <c r="H245">
        <v>1955</v>
      </c>
      <c r="I245">
        <v>2015</v>
      </c>
      <c r="J245" s="1334" t="s">
        <v>475</v>
      </c>
      <c r="K245" s="1335" t="s">
        <v>475</v>
      </c>
      <c r="L245" s="180">
        <v>100</v>
      </c>
      <c r="M245" t="s">
        <v>88</v>
      </c>
      <c r="N245" t="str">
        <f t="shared" si="14"/>
        <v>246 EDGEWOOD BLDG (0090)</v>
      </c>
      <c r="O245" t="s">
        <v>46</v>
      </c>
      <c r="P245" t="str">
        <f t="shared" si="15"/>
        <v>09000_0090</v>
      </c>
      <c r="Q245" s="180">
        <v>0</v>
      </c>
    </row>
    <row r="246" spans="1:17">
      <c r="A246" t="str">
        <f t="shared" si="12"/>
        <v>GSU_0091</v>
      </c>
      <c r="B246" t="str">
        <f t="shared" si="13"/>
        <v>GSU_PIEDMONT NORTH A</v>
      </c>
      <c r="C246" t="s">
        <v>441</v>
      </c>
      <c r="D246" s="180" t="s">
        <v>29</v>
      </c>
      <c r="E246" t="s">
        <v>628</v>
      </c>
      <c r="F246" t="s">
        <v>1013</v>
      </c>
      <c r="G246" s="180">
        <v>151447</v>
      </c>
      <c r="H246">
        <v>1966</v>
      </c>
      <c r="I246">
        <v>2010</v>
      </c>
      <c r="J246" s="1334" t="s">
        <v>475</v>
      </c>
      <c r="K246" s="1335" t="s">
        <v>475</v>
      </c>
      <c r="L246" s="180">
        <v>0</v>
      </c>
      <c r="M246" t="s">
        <v>88</v>
      </c>
      <c r="N246" t="str">
        <f t="shared" si="14"/>
        <v>PIEDMONT NORTH A (0091)</v>
      </c>
      <c r="O246" t="s">
        <v>46</v>
      </c>
      <c r="P246" t="str">
        <f t="shared" si="15"/>
        <v>09000_0091</v>
      </c>
      <c r="Q246" s="180">
        <v>0</v>
      </c>
    </row>
    <row r="247" spans="1:17">
      <c r="A247" t="str">
        <f t="shared" si="12"/>
        <v>GSU_0092</v>
      </c>
      <c r="B247" t="str">
        <f t="shared" si="13"/>
        <v>GSU_PIEDMONT NORTH B</v>
      </c>
      <c r="C247" t="s">
        <v>441</v>
      </c>
      <c r="D247" s="180" t="s">
        <v>29</v>
      </c>
      <c r="E247" t="s">
        <v>763</v>
      </c>
      <c r="F247" t="s">
        <v>1084</v>
      </c>
      <c r="G247" s="180">
        <v>221408</v>
      </c>
      <c r="H247">
        <v>1982</v>
      </c>
      <c r="I247">
        <v>2011</v>
      </c>
      <c r="J247" s="1334" t="s">
        <v>475</v>
      </c>
      <c r="K247" s="1335" t="s">
        <v>475</v>
      </c>
      <c r="L247" s="180">
        <v>0</v>
      </c>
      <c r="M247" t="s">
        <v>88</v>
      </c>
      <c r="N247" t="str">
        <f t="shared" si="14"/>
        <v>PIEDMONT NORTH B (0092)</v>
      </c>
      <c r="O247" t="s">
        <v>46</v>
      </c>
      <c r="P247" t="str">
        <f t="shared" si="15"/>
        <v>09000_0092</v>
      </c>
      <c r="Q247" s="180">
        <v>100</v>
      </c>
    </row>
    <row r="248" spans="1:17">
      <c r="A248" t="str">
        <f t="shared" si="12"/>
        <v>GSU_0093</v>
      </c>
      <c r="B248" t="str">
        <f t="shared" si="13"/>
        <v>GSU_COLLEGE OF LAW</v>
      </c>
      <c r="C248" t="s">
        <v>441</v>
      </c>
      <c r="D248" s="180" t="s">
        <v>29</v>
      </c>
      <c r="E248" t="s">
        <v>590</v>
      </c>
      <c r="F248" t="s">
        <v>1130</v>
      </c>
      <c r="G248" s="180">
        <v>218293</v>
      </c>
      <c r="H248">
        <v>2015</v>
      </c>
      <c r="J248" s="1334" t="s">
        <v>520</v>
      </c>
      <c r="K248" s="1335" t="s">
        <v>475</v>
      </c>
      <c r="L248" s="180">
        <v>92</v>
      </c>
      <c r="M248" t="s">
        <v>88</v>
      </c>
      <c r="N248" t="str">
        <f t="shared" si="14"/>
        <v>COLLEGE OF LAW (0093)</v>
      </c>
      <c r="O248" t="s">
        <v>46</v>
      </c>
      <c r="P248" t="str">
        <f t="shared" si="15"/>
        <v>09000_0093</v>
      </c>
      <c r="Q248" s="180">
        <v>100</v>
      </c>
    </row>
    <row r="249" spans="1:17">
      <c r="A249" t="str">
        <f t="shared" si="12"/>
        <v>GSU_0096</v>
      </c>
      <c r="B249" t="str">
        <f t="shared" si="13"/>
        <v>GSU_CENTENNIAL HALL</v>
      </c>
      <c r="C249" t="s">
        <v>441</v>
      </c>
      <c r="D249" s="180" t="s">
        <v>29</v>
      </c>
      <c r="E249" t="s">
        <v>1111</v>
      </c>
      <c r="F249" t="s">
        <v>1112</v>
      </c>
      <c r="G249" s="180">
        <v>106100</v>
      </c>
      <c r="H249">
        <v>1983</v>
      </c>
      <c r="I249">
        <v>2013</v>
      </c>
      <c r="J249" s="1334" t="s">
        <v>475</v>
      </c>
      <c r="K249" s="1335" t="s">
        <v>475</v>
      </c>
      <c r="L249" s="180">
        <v>100</v>
      </c>
      <c r="M249" t="s">
        <v>88</v>
      </c>
      <c r="N249" t="str">
        <f t="shared" si="14"/>
        <v>CENTENNIAL HALL (0096)</v>
      </c>
      <c r="O249" t="s">
        <v>46</v>
      </c>
      <c r="P249" t="str">
        <f t="shared" si="15"/>
        <v>09000_0096</v>
      </c>
      <c r="Q249" s="180">
        <v>100</v>
      </c>
    </row>
    <row r="250" spans="1:17">
      <c r="A250" t="str">
        <f t="shared" si="12"/>
        <v>GSU_0097</v>
      </c>
      <c r="B250" t="str">
        <f t="shared" si="13"/>
        <v>GSU_60 PIEDMONT BLDG</v>
      </c>
      <c r="C250" t="s">
        <v>441</v>
      </c>
      <c r="D250" s="180" t="s">
        <v>29</v>
      </c>
      <c r="E250" t="s">
        <v>1040</v>
      </c>
      <c r="F250" t="s">
        <v>1041</v>
      </c>
      <c r="G250" s="180">
        <v>13042</v>
      </c>
      <c r="H250">
        <v>1956</v>
      </c>
      <c r="I250">
        <v>2013</v>
      </c>
      <c r="J250" s="1334" t="s">
        <v>475</v>
      </c>
      <c r="K250" s="1335" t="s">
        <v>475</v>
      </c>
      <c r="L250" s="180">
        <v>100</v>
      </c>
      <c r="M250" t="s">
        <v>88</v>
      </c>
      <c r="N250" t="str">
        <f t="shared" si="14"/>
        <v>60 PIEDMONT BLDG (0097)</v>
      </c>
      <c r="O250" t="s">
        <v>46</v>
      </c>
      <c r="P250" t="str">
        <f t="shared" si="15"/>
        <v>09000_0097</v>
      </c>
      <c r="Q250" s="180">
        <v>100</v>
      </c>
    </row>
    <row r="251" spans="1:17">
      <c r="A251" t="str">
        <f t="shared" si="12"/>
        <v>GSU_0098</v>
      </c>
      <c r="B251" t="str">
        <f t="shared" si="13"/>
        <v>GSU_PARKING DECK T</v>
      </c>
      <c r="C251" t="s">
        <v>441</v>
      </c>
      <c r="D251" s="180" t="s">
        <v>29</v>
      </c>
      <c r="E251" t="s">
        <v>914</v>
      </c>
      <c r="F251" t="s">
        <v>1027</v>
      </c>
      <c r="G251" s="180">
        <v>652314</v>
      </c>
      <c r="H251">
        <v>1972</v>
      </c>
      <c r="I251">
        <v>2016</v>
      </c>
      <c r="J251" s="1334" t="s">
        <v>475</v>
      </c>
      <c r="K251" s="1335" t="s">
        <v>475</v>
      </c>
      <c r="L251" s="180">
        <v>2</v>
      </c>
      <c r="M251" t="s">
        <v>88</v>
      </c>
      <c r="N251" t="str">
        <f t="shared" si="14"/>
        <v>PARKING DECK T (0098)</v>
      </c>
      <c r="O251" t="s">
        <v>46</v>
      </c>
      <c r="P251" t="str">
        <f t="shared" si="15"/>
        <v>09000_0098</v>
      </c>
      <c r="Q251" s="180">
        <v>100</v>
      </c>
    </row>
    <row r="252" spans="1:17">
      <c r="A252" t="str">
        <f t="shared" si="12"/>
        <v>GSU_0099</v>
      </c>
      <c r="B252" t="str">
        <f t="shared" si="13"/>
        <v>GSU_40 PRYOR BUILDING</v>
      </c>
      <c r="C252" t="s">
        <v>441</v>
      </c>
      <c r="D252" s="180" t="s">
        <v>29</v>
      </c>
      <c r="E252" t="s">
        <v>592</v>
      </c>
      <c r="F252" t="s">
        <v>958</v>
      </c>
      <c r="G252" s="180">
        <v>29569</v>
      </c>
      <c r="H252">
        <v>1983</v>
      </c>
      <c r="J252" s="1334" t="s">
        <v>475</v>
      </c>
      <c r="K252" s="1335" t="s">
        <v>481</v>
      </c>
      <c r="L252" s="180">
        <v>100</v>
      </c>
      <c r="M252" t="s">
        <v>88</v>
      </c>
      <c r="N252" t="str">
        <f t="shared" si="14"/>
        <v>40 PRYOR BUILDING (0099)</v>
      </c>
      <c r="O252" t="s">
        <v>46</v>
      </c>
      <c r="P252" t="str">
        <f t="shared" si="15"/>
        <v>09000_0099</v>
      </c>
      <c r="Q252" s="180">
        <v>100</v>
      </c>
    </row>
    <row r="253" spans="1:17">
      <c r="A253" t="str">
        <f t="shared" si="12"/>
        <v>GSU_0100</v>
      </c>
      <c r="B253" t="str">
        <f t="shared" si="13"/>
        <v>GSU_RESEARCH SCIENCE CENTER</v>
      </c>
      <c r="C253" t="s">
        <v>441</v>
      </c>
      <c r="D253" s="180" t="s">
        <v>29</v>
      </c>
      <c r="E253" t="s">
        <v>684</v>
      </c>
      <c r="F253" t="s">
        <v>959</v>
      </c>
      <c r="G253" s="180">
        <v>67338</v>
      </c>
      <c r="H253">
        <v>2016</v>
      </c>
      <c r="J253" s="1334" t="s">
        <v>475</v>
      </c>
      <c r="K253" s="1335" t="s">
        <v>475</v>
      </c>
      <c r="L253" s="180">
        <v>100</v>
      </c>
      <c r="M253" t="s">
        <v>88</v>
      </c>
      <c r="N253" t="str">
        <f t="shared" si="14"/>
        <v>RESEARCH SCIENCE CENTER (0100)</v>
      </c>
      <c r="O253" t="s">
        <v>46</v>
      </c>
      <c r="P253" t="str">
        <f t="shared" si="15"/>
        <v>09000_0100</v>
      </c>
      <c r="Q253" s="180">
        <v>100</v>
      </c>
    </row>
    <row r="254" spans="1:17">
      <c r="A254" t="str">
        <f t="shared" si="12"/>
        <v>GSU_0101</v>
      </c>
      <c r="B254" t="str">
        <f t="shared" si="13"/>
        <v>GSU_25 AUBURN BLDG</v>
      </c>
      <c r="C254" t="s">
        <v>441</v>
      </c>
      <c r="D254" s="180" t="s">
        <v>29</v>
      </c>
      <c r="E254" t="s">
        <v>751</v>
      </c>
      <c r="F254" t="s">
        <v>1079</v>
      </c>
      <c r="G254" s="180">
        <v>73468</v>
      </c>
      <c r="H254">
        <v>1921</v>
      </c>
      <c r="J254" s="1334" t="s">
        <v>486</v>
      </c>
      <c r="K254" s="1335" t="s">
        <v>520</v>
      </c>
      <c r="L254" s="180">
        <v>100</v>
      </c>
      <c r="M254" t="s">
        <v>88</v>
      </c>
      <c r="N254" t="str">
        <f t="shared" si="14"/>
        <v>25 AUBURN BLDG (0101)</v>
      </c>
      <c r="O254" t="s">
        <v>46</v>
      </c>
      <c r="P254" t="str">
        <f t="shared" si="15"/>
        <v>09000_0101</v>
      </c>
      <c r="Q254" s="180">
        <v>100</v>
      </c>
    </row>
    <row r="255" spans="1:17">
      <c r="A255" t="str">
        <f t="shared" si="12"/>
        <v>GSU_0102</v>
      </c>
      <c r="B255" t="str">
        <f t="shared" si="13"/>
        <v>GSU_55 PARK PLACE BLDG</v>
      </c>
      <c r="C255" t="s">
        <v>441</v>
      </c>
      <c r="D255" s="180" t="s">
        <v>29</v>
      </c>
      <c r="E255" t="s">
        <v>947</v>
      </c>
      <c r="F255" t="s">
        <v>948</v>
      </c>
      <c r="G255" s="180">
        <v>729615</v>
      </c>
      <c r="H255">
        <v>1983</v>
      </c>
      <c r="J255" s="1334" t="s">
        <v>475</v>
      </c>
      <c r="K255" s="1335" t="s">
        <v>475</v>
      </c>
      <c r="L255" s="180">
        <v>90</v>
      </c>
      <c r="M255" t="s">
        <v>88</v>
      </c>
      <c r="N255" t="str">
        <f t="shared" si="14"/>
        <v>55 PARK PLACE BLDG (0102)</v>
      </c>
      <c r="O255" t="s">
        <v>46</v>
      </c>
      <c r="P255" t="str">
        <f t="shared" si="15"/>
        <v>09000_0102</v>
      </c>
      <c r="Q255" s="180">
        <v>0</v>
      </c>
    </row>
    <row r="256" spans="1:17">
      <c r="A256" t="str">
        <f t="shared" si="12"/>
        <v>GSU_0104</v>
      </c>
      <c r="B256" t="str">
        <f t="shared" si="13"/>
        <v>GSU_GEORGIA BOOKSTORE BLDG</v>
      </c>
      <c r="C256" t="s">
        <v>441</v>
      </c>
      <c r="D256" s="180" t="s">
        <v>29</v>
      </c>
      <c r="E256" t="s">
        <v>686</v>
      </c>
      <c r="F256" t="s">
        <v>7102</v>
      </c>
      <c r="G256" s="180">
        <v>11624</v>
      </c>
      <c r="H256">
        <v>2007</v>
      </c>
      <c r="J256" s="1334" t="s">
        <v>475</v>
      </c>
      <c r="K256" s="1335" t="s">
        <v>475</v>
      </c>
      <c r="L256" s="180">
        <v>0</v>
      </c>
      <c r="M256" t="s">
        <v>88</v>
      </c>
      <c r="N256" t="str">
        <f t="shared" si="14"/>
        <v>GEORGIA BOOKSTORE BLDG (0104)</v>
      </c>
      <c r="O256" t="s">
        <v>46</v>
      </c>
      <c r="P256" t="str">
        <f t="shared" si="15"/>
        <v>09000_0104</v>
      </c>
      <c r="Q256" s="180">
        <v>100</v>
      </c>
    </row>
    <row r="257" spans="1:17">
      <c r="A257" t="str">
        <f t="shared" si="12"/>
        <v>GSU_0107</v>
      </c>
      <c r="B257" t="str">
        <f t="shared" si="13"/>
        <v>GSU_PARKING DECK A</v>
      </c>
      <c r="C257" t="s">
        <v>441</v>
      </c>
      <c r="D257" s="180" t="s">
        <v>29</v>
      </c>
      <c r="E257" t="s">
        <v>741</v>
      </c>
      <c r="F257" t="s">
        <v>1067</v>
      </c>
      <c r="G257" s="180">
        <v>71713</v>
      </c>
      <c r="H257">
        <v>1970</v>
      </c>
      <c r="J257" s="1334" t="s">
        <v>475</v>
      </c>
      <c r="K257" s="1335" t="s">
        <v>481</v>
      </c>
      <c r="L257" s="180">
        <v>0</v>
      </c>
      <c r="M257" t="s">
        <v>88</v>
      </c>
      <c r="N257" t="str">
        <f t="shared" si="14"/>
        <v>PARKING DECK A (0107)</v>
      </c>
      <c r="O257" t="s">
        <v>46</v>
      </c>
      <c r="P257" t="str">
        <f t="shared" si="15"/>
        <v>09000_0107</v>
      </c>
      <c r="Q257" s="180">
        <v>100</v>
      </c>
    </row>
    <row r="258" spans="1:17">
      <c r="A258" t="str">
        <f t="shared" si="12"/>
        <v>GSU_0109</v>
      </c>
      <c r="B258" t="str">
        <f t="shared" si="13"/>
        <v>GSU_CENTER PARC STADIUM AT GSU</v>
      </c>
      <c r="C258" t="s">
        <v>441</v>
      </c>
      <c r="D258" s="180" t="s">
        <v>29</v>
      </c>
      <c r="E258" t="s">
        <v>894</v>
      </c>
      <c r="F258" t="s">
        <v>954</v>
      </c>
      <c r="G258" s="180">
        <v>1634924</v>
      </c>
      <c r="H258">
        <v>1996</v>
      </c>
      <c r="I258">
        <v>2017</v>
      </c>
      <c r="J258" s="1334" t="s">
        <v>475</v>
      </c>
      <c r="K258" s="1335" t="s">
        <v>475</v>
      </c>
      <c r="L258" s="180">
        <v>4</v>
      </c>
      <c r="M258" t="s">
        <v>88</v>
      </c>
      <c r="N258" t="str">
        <f t="shared" si="14"/>
        <v>CENTER PARC STADIUM AT GSU (0109)</v>
      </c>
      <c r="O258" t="s">
        <v>46</v>
      </c>
      <c r="P258" t="str">
        <f t="shared" si="15"/>
        <v>09000_0109</v>
      </c>
      <c r="Q258" s="180">
        <v>100</v>
      </c>
    </row>
    <row r="259" spans="1:17">
      <c r="A259" t="str">
        <f t="shared" ref="A259:A322" si="16">_xlfn.CONCAT(D259,"_",E259)</f>
        <v>GSU_0110</v>
      </c>
      <c r="B259" t="str">
        <f t="shared" ref="B259:B322" si="17">_xlfn.CONCAT(D259,"_",F259)</f>
        <v>GSU_GSU CAULDRON (Olympic Torch)</v>
      </c>
      <c r="C259" t="s">
        <v>441</v>
      </c>
      <c r="D259" s="180" t="s">
        <v>29</v>
      </c>
      <c r="E259" t="s">
        <v>666</v>
      </c>
      <c r="F259" t="s">
        <v>1000</v>
      </c>
      <c r="G259" s="180">
        <v>178</v>
      </c>
      <c r="H259">
        <v>1996</v>
      </c>
      <c r="I259">
        <v>2017</v>
      </c>
      <c r="J259" s="1334" t="s">
        <v>475</v>
      </c>
      <c r="K259" s="1335" t="s">
        <v>475</v>
      </c>
      <c r="L259" s="180">
        <v>0</v>
      </c>
      <c r="M259" t="s">
        <v>88</v>
      </c>
      <c r="N259" t="str">
        <f t="shared" ref="N259:N322" si="18">_xlfn.CONCAT(F259," (",E259,")")</f>
        <v>GSU CAULDRON (Olympic Torch) (0110)</v>
      </c>
      <c r="O259" t="s">
        <v>46</v>
      </c>
      <c r="P259" t="str">
        <f t="shared" ref="P259:P322" si="19">_xlfn.CONCAT(C259,"_",E259)</f>
        <v>09000_0110</v>
      </c>
      <c r="Q259" s="180">
        <v>83</v>
      </c>
    </row>
    <row r="260" spans="1:17">
      <c r="A260" t="str">
        <f t="shared" si="16"/>
        <v>GSU_0112</v>
      </c>
      <c r="B260" t="str">
        <f t="shared" si="17"/>
        <v>GSU_CONVOCATIONAL CENTER</v>
      </c>
      <c r="C260" t="s">
        <v>441</v>
      </c>
      <c r="D260" s="180" t="s">
        <v>29</v>
      </c>
      <c r="E260" t="s">
        <v>5336</v>
      </c>
      <c r="F260" t="s">
        <v>7103</v>
      </c>
      <c r="G260" s="180">
        <v>131644</v>
      </c>
      <c r="H260">
        <v>2018</v>
      </c>
      <c r="I260">
        <v>2021</v>
      </c>
      <c r="J260" s="1334" t="s">
        <v>520</v>
      </c>
      <c r="K260" s="1335" t="s">
        <v>920</v>
      </c>
      <c r="L260" s="180">
        <v>70</v>
      </c>
      <c r="M260" t="s">
        <v>88</v>
      </c>
      <c r="N260" t="str">
        <f t="shared" si="18"/>
        <v>CONVOCATIONAL CENTER (0112)</v>
      </c>
      <c r="O260" t="s">
        <v>46</v>
      </c>
      <c r="P260" t="str">
        <f t="shared" si="19"/>
        <v>09000_0112</v>
      </c>
      <c r="Q260" s="180">
        <v>100</v>
      </c>
    </row>
    <row r="261" spans="1:17">
      <c r="A261" t="str">
        <f t="shared" si="16"/>
        <v>GSU_0113</v>
      </c>
      <c r="B261" t="str">
        <f t="shared" si="17"/>
        <v>GSU_FULTON STREET PARKING DECK</v>
      </c>
      <c r="C261" t="s">
        <v>441</v>
      </c>
      <c r="D261" s="180" t="s">
        <v>29</v>
      </c>
      <c r="E261" t="s">
        <v>4362</v>
      </c>
      <c r="F261" t="s">
        <v>7661</v>
      </c>
      <c r="G261" s="180">
        <v>49000</v>
      </c>
      <c r="H261">
        <v>2023</v>
      </c>
      <c r="J261" s="1334" t="s">
        <v>475</v>
      </c>
      <c r="K261" s="1335" t="s">
        <v>920</v>
      </c>
      <c r="L261" s="180">
        <v>0</v>
      </c>
      <c r="M261" t="s">
        <v>88</v>
      </c>
      <c r="N261" t="str">
        <f t="shared" si="18"/>
        <v>FULTON STREET PARKING DECK (0113)</v>
      </c>
      <c r="O261" t="s">
        <v>46</v>
      </c>
      <c r="P261" t="str">
        <f t="shared" si="19"/>
        <v>09000_0113</v>
      </c>
      <c r="Q261" s="180">
        <v>100</v>
      </c>
    </row>
    <row r="262" spans="1:17">
      <c r="A262" t="str">
        <f t="shared" si="16"/>
        <v>GSU_0114</v>
      </c>
      <c r="B262" t="str">
        <f t="shared" si="17"/>
        <v xml:space="preserve">GSU_CREATIVE MEDIA BLDG - (CMII)	</v>
      </c>
      <c r="C262" t="s">
        <v>441</v>
      </c>
      <c r="D262" s="180" t="s">
        <v>29</v>
      </c>
      <c r="E262" t="s">
        <v>5349</v>
      </c>
      <c r="F262" t="s">
        <v>7104</v>
      </c>
      <c r="G262" s="180">
        <v>44401</v>
      </c>
      <c r="H262">
        <v>1971</v>
      </c>
      <c r="I262">
        <v>2013</v>
      </c>
      <c r="J262" s="1334" t="s">
        <v>475</v>
      </c>
      <c r="K262" s="1335" t="s">
        <v>475</v>
      </c>
      <c r="L262" s="180">
        <v>100</v>
      </c>
      <c r="M262" t="s">
        <v>88</v>
      </c>
      <c r="N262" t="str">
        <f t="shared" si="18"/>
        <v>CREATIVE MEDIA BLDG - (CMII)	 (0114)</v>
      </c>
      <c r="O262" t="s">
        <v>46</v>
      </c>
      <c r="P262" t="str">
        <f t="shared" si="19"/>
        <v>09000_0114</v>
      </c>
      <c r="Q262" s="180">
        <v>100</v>
      </c>
    </row>
    <row r="263" spans="1:17">
      <c r="A263" t="str">
        <f t="shared" si="16"/>
        <v>GSU_0116</v>
      </c>
      <c r="B263" t="str">
        <f t="shared" si="17"/>
        <v>GSU_100 EDGEWOOD</v>
      </c>
      <c r="C263" t="s">
        <v>441</v>
      </c>
      <c r="D263" s="180" t="s">
        <v>29</v>
      </c>
      <c r="E263" t="s">
        <v>781</v>
      </c>
      <c r="F263" t="s">
        <v>7662</v>
      </c>
      <c r="G263" s="180">
        <v>321888</v>
      </c>
      <c r="H263">
        <v>1963</v>
      </c>
      <c r="J263" s="1334" t="s">
        <v>486</v>
      </c>
      <c r="K263" s="1335" t="s">
        <v>901</v>
      </c>
      <c r="L263" s="180">
        <v>18</v>
      </c>
      <c r="M263" t="s">
        <v>88</v>
      </c>
      <c r="N263" t="str">
        <f t="shared" si="18"/>
        <v>100 EDGEWOOD (0116)</v>
      </c>
      <c r="O263" t="s">
        <v>46</v>
      </c>
      <c r="P263" t="str">
        <f t="shared" si="19"/>
        <v>09000_0116</v>
      </c>
      <c r="Q263" s="180">
        <v>100</v>
      </c>
    </row>
    <row r="264" spans="1:17">
      <c r="A264" t="str">
        <f t="shared" si="16"/>
        <v>GSU_A001</v>
      </c>
      <c r="B264" t="str">
        <f t="shared" si="17"/>
        <v>GSU_BLDG AA (Classrm/Office Bldg)</v>
      </c>
      <c r="C264" t="s">
        <v>441</v>
      </c>
      <c r="D264" s="180" t="s">
        <v>29</v>
      </c>
      <c r="E264" t="s">
        <v>950</v>
      </c>
      <c r="F264" t="s">
        <v>951</v>
      </c>
      <c r="G264" s="180">
        <v>49534</v>
      </c>
      <c r="H264">
        <v>2005</v>
      </c>
      <c r="J264" s="1334" t="s">
        <v>475</v>
      </c>
      <c r="K264" s="1335" t="s">
        <v>475</v>
      </c>
      <c r="L264" s="180">
        <v>99</v>
      </c>
      <c r="M264" t="s">
        <v>92</v>
      </c>
      <c r="N264" t="str">
        <f t="shared" si="18"/>
        <v>BLDG AA (Classrm/Office Bldg) (A001)</v>
      </c>
      <c r="O264" t="s">
        <v>46</v>
      </c>
      <c r="P264" t="str">
        <f t="shared" si="19"/>
        <v>09000_A001</v>
      </c>
      <c r="Q264" s="180">
        <v>100</v>
      </c>
    </row>
    <row r="265" spans="1:17">
      <c r="A265" t="str">
        <f t="shared" si="16"/>
        <v>GSU_A002</v>
      </c>
      <c r="B265" t="str">
        <f t="shared" si="17"/>
        <v>GSU_BLDG AB (Classrm/Office Bldg)</v>
      </c>
      <c r="C265" t="s">
        <v>441</v>
      </c>
      <c r="D265" s="180" t="s">
        <v>29</v>
      </c>
      <c r="E265" t="s">
        <v>1062</v>
      </c>
      <c r="F265" t="s">
        <v>1063</v>
      </c>
      <c r="G265" s="180">
        <v>59842</v>
      </c>
      <c r="H265">
        <v>2010</v>
      </c>
      <c r="I265">
        <v>2017</v>
      </c>
      <c r="J265" s="1334" t="s">
        <v>520</v>
      </c>
      <c r="K265" s="1335" t="s">
        <v>475</v>
      </c>
      <c r="L265" s="180">
        <v>100</v>
      </c>
      <c r="M265" t="s">
        <v>92</v>
      </c>
      <c r="N265" t="str">
        <f t="shared" si="18"/>
        <v>BLDG AB (Classrm/Office Bldg) (A002)</v>
      </c>
      <c r="O265" t="s">
        <v>46</v>
      </c>
      <c r="P265" t="str">
        <f t="shared" si="19"/>
        <v>09000_A002</v>
      </c>
      <c r="Q265" s="180">
        <v>100</v>
      </c>
    </row>
    <row r="266" spans="1:17">
      <c r="A266" t="str">
        <f t="shared" si="16"/>
        <v>GSU_C001</v>
      </c>
      <c r="B266" t="str">
        <f t="shared" si="17"/>
        <v>GSU_BLDG CA (Int'l Center/ESL-FL)</v>
      </c>
      <c r="C266" t="s">
        <v>441</v>
      </c>
      <c r="D266" s="180" t="s">
        <v>29</v>
      </c>
      <c r="E266" t="s">
        <v>1088</v>
      </c>
      <c r="F266" t="s">
        <v>1089</v>
      </c>
      <c r="G266" s="180">
        <v>17615</v>
      </c>
      <c r="H266">
        <v>1964</v>
      </c>
      <c r="I266">
        <v>2008</v>
      </c>
      <c r="J266" s="1334" t="s">
        <v>486</v>
      </c>
      <c r="K266" s="1335" t="s">
        <v>475</v>
      </c>
      <c r="L266" s="180">
        <v>100</v>
      </c>
      <c r="M266" t="s">
        <v>89</v>
      </c>
      <c r="N266" t="str">
        <f t="shared" si="18"/>
        <v>BLDG CA (Int'l Center/ESL-FL) (C001)</v>
      </c>
      <c r="O266" t="s">
        <v>46</v>
      </c>
      <c r="P266" t="str">
        <f t="shared" si="19"/>
        <v>09000_C001</v>
      </c>
      <c r="Q266" s="180">
        <v>100</v>
      </c>
    </row>
    <row r="267" spans="1:17">
      <c r="A267" t="str">
        <f t="shared" si="16"/>
        <v>GSU_C002</v>
      </c>
      <c r="B267" t="str">
        <f t="shared" si="17"/>
        <v>GSU_BLDG CB (Bus/Soc.Sci)</v>
      </c>
      <c r="C267" t="s">
        <v>441</v>
      </c>
      <c r="D267" s="180" t="s">
        <v>29</v>
      </c>
      <c r="E267" t="s">
        <v>1107</v>
      </c>
      <c r="F267" t="s">
        <v>1108</v>
      </c>
      <c r="G267" s="180">
        <v>35385</v>
      </c>
      <c r="H267">
        <v>1964</v>
      </c>
      <c r="I267">
        <v>2008</v>
      </c>
      <c r="J267" s="1334" t="s">
        <v>486</v>
      </c>
      <c r="K267" s="1335" t="s">
        <v>475</v>
      </c>
      <c r="L267" s="180">
        <v>100</v>
      </c>
      <c r="M267" t="s">
        <v>89</v>
      </c>
      <c r="N267" t="str">
        <f t="shared" si="18"/>
        <v>BLDG CB (Bus/Soc.Sci) (C002)</v>
      </c>
      <c r="O267" t="s">
        <v>46</v>
      </c>
      <c r="P267" t="str">
        <f t="shared" si="19"/>
        <v>09000_C002</v>
      </c>
      <c r="Q267" s="180">
        <v>100</v>
      </c>
    </row>
    <row r="268" spans="1:17">
      <c r="A268" t="str">
        <f t="shared" si="16"/>
        <v>GSU_C003</v>
      </c>
      <c r="B268" t="str">
        <f t="shared" si="17"/>
        <v>GSU_BLDG CC (Science/Computer)</v>
      </c>
      <c r="C268" t="s">
        <v>441</v>
      </c>
      <c r="D268" s="180" t="s">
        <v>29</v>
      </c>
      <c r="E268" t="s">
        <v>989</v>
      </c>
      <c r="F268" t="s">
        <v>990</v>
      </c>
      <c r="G268" s="180">
        <v>35309</v>
      </c>
      <c r="H268">
        <v>1964</v>
      </c>
      <c r="J268" s="1334" t="s">
        <v>475</v>
      </c>
      <c r="K268" s="1335" t="s">
        <v>475</v>
      </c>
      <c r="L268" s="180">
        <v>100</v>
      </c>
      <c r="M268" t="s">
        <v>89</v>
      </c>
      <c r="N268" t="str">
        <f t="shared" si="18"/>
        <v>BLDG CC (Science/Computer) (C003)</v>
      </c>
      <c r="O268" t="s">
        <v>46</v>
      </c>
      <c r="P268" t="str">
        <f t="shared" si="19"/>
        <v>09000_C003</v>
      </c>
      <c r="Q268" s="180">
        <v>0</v>
      </c>
    </row>
    <row r="269" spans="1:17">
      <c r="A269" t="str">
        <f t="shared" si="16"/>
        <v>GSU_C004</v>
      </c>
      <c r="B269" t="str">
        <f t="shared" si="17"/>
        <v>GSU_BLDG CD (Science)</v>
      </c>
      <c r="C269" t="s">
        <v>441</v>
      </c>
      <c r="D269" s="180" t="s">
        <v>29</v>
      </c>
      <c r="E269" t="s">
        <v>1001</v>
      </c>
      <c r="F269" t="s">
        <v>1002</v>
      </c>
      <c r="G269" s="180">
        <v>26463</v>
      </c>
      <c r="H269">
        <v>1965</v>
      </c>
      <c r="J269" s="1334" t="s">
        <v>475</v>
      </c>
      <c r="K269" s="1335" t="s">
        <v>475</v>
      </c>
      <c r="L269" s="180">
        <v>100</v>
      </c>
      <c r="M269" t="s">
        <v>89</v>
      </c>
      <c r="N269" t="str">
        <f t="shared" si="18"/>
        <v>BLDG CD (Science) (C004)</v>
      </c>
      <c r="O269" t="s">
        <v>46</v>
      </c>
      <c r="P269" t="str">
        <f t="shared" si="19"/>
        <v>09000_C004</v>
      </c>
      <c r="Q269" s="180">
        <v>100</v>
      </c>
    </row>
    <row r="270" spans="1:17">
      <c r="A270" t="str">
        <f t="shared" si="16"/>
        <v>GSU_C005</v>
      </c>
      <c r="B270" t="str">
        <f t="shared" si="17"/>
        <v>GSU_BLDG CE (English)</v>
      </c>
      <c r="C270" t="s">
        <v>441</v>
      </c>
      <c r="D270" s="180" t="s">
        <v>29</v>
      </c>
      <c r="E270" t="s">
        <v>1126</v>
      </c>
      <c r="F270" t="s">
        <v>1127</v>
      </c>
      <c r="G270" s="180">
        <v>26795</v>
      </c>
      <c r="H270">
        <v>1965</v>
      </c>
      <c r="J270" s="1334" t="s">
        <v>475</v>
      </c>
      <c r="K270" s="1335" t="s">
        <v>475</v>
      </c>
      <c r="L270" s="180">
        <v>100</v>
      </c>
      <c r="M270" t="s">
        <v>89</v>
      </c>
      <c r="N270" t="str">
        <f t="shared" si="18"/>
        <v>BLDG CE (English) (C005)</v>
      </c>
      <c r="O270" t="s">
        <v>46</v>
      </c>
      <c r="P270" t="str">
        <f t="shared" si="19"/>
        <v>09000_C005</v>
      </c>
      <c r="Q270" s="180">
        <v>100</v>
      </c>
    </row>
    <row r="271" spans="1:17">
      <c r="A271" t="str">
        <f t="shared" si="16"/>
        <v>GSU_C006</v>
      </c>
      <c r="B271" t="str">
        <f t="shared" si="17"/>
        <v>GSU_BLDG CF (Fine Arts)</v>
      </c>
      <c r="C271" t="s">
        <v>441</v>
      </c>
      <c r="D271" s="180" t="s">
        <v>29</v>
      </c>
      <c r="E271" t="s">
        <v>1071</v>
      </c>
      <c r="F271" t="s">
        <v>1072</v>
      </c>
      <c r="G271" s="180">
        <v>69529</v>
      </c>
      <c r="H271">
        <v>1967</v>
      </c>
      <c r="J271" s="1334" t="s">
        <v>475</v>
      </c>
      <c r="K271" s="1335" t="s">
        <v>475</v>
      </c>
      <c r="L271" s="180">
        <v>100</v>
      </c>
      <c r="M271" t="s">
        <v>89</v>
      </c>
      <c r="N271" t="str">
        <f t="shared" si="18"/>
        <v>BLDG CF (Fine Arts) (C006)</v>
      </c>
      <c r="O271" t="s">
        <v>46</v>
      </c>
      <c r="P271" t="str">
        <f t="shared" si="19"/>
        <v>09000_C006</v>
      </c>
      <c r="Q271" s="180">
        <v>100</v>
      </c>
    </row>
    <row r="272" spans="1:17">
      <c r="A272" t="str">
        <f t="shared" si="16"/>
        <v>GSU_C007</v>
      </c>
      <c r="B272" t="str">
        <f t="shared" si="17"/>
        <v>GSU_BLDG CG (Physical Education)</v>
      </c>
      <c r="C272" t="s">
        <v>441</v>
      </c>
      <c r="D272" s="180" t="s">
        <v>29</v>
      </c>
      <c r="E272" t="s">
        <v>1006</v>
      </c>
      <c r="F272" t="s">
        <v>1007</v>
      </c>
      <c r="G272" s="180">
        <v>59162</v>
      </c>
      <c r="H272">
        <v>1967</v>
      </c>
      <c r="J272" s="1334" t="s">
        <v>475</v>
      </c>
      <c r="K272" s="1335" t="s">
        <v>475</v>
      </c>
      <c r="L272" s="180">
        <v>100</v>
      </c>
      <c r="M272" t="s">
        <v>89</v>
      </c>
      <c r="N272" t="str">
        <f t="shared" si="18"/>
        <v>BLDG CG (Physical Education) (C007)</v>
      </c>
      <c r="O272" t="s">
        <v>46</v>
      </c>
      <c r="P272" t="str">
        <f t="shared" si="19"/>
        <v>09000_C007</v>
      </c>
      <c r="Q272" s="180">
        <v>100</v>
      </c>
    </row>
    <row r="273" spans="1:17">
      <c r="A273" t="str">
        <f t="shared" si="16"/>
        <v>GSU_C008</v>
      </c>
      <c r="B273" t="str">
        <f t="shared" si="17"/>
        <v>GSU_BLDG CH (Math / Nursing)</v>
      </c>
      <c r="C273" t="s">
        <v>441</v>
      </c>
      <c r="D273" s="180" t="s">
        <v>29</v>
      </c>
      <c r="E273" t="s">
        <v>983</v>
      </c>
      <c r="F273" t="s">
        <v>984</v>
      </c>
      <c r="G273" s="180">
        <v>66525</v>
      </c>
      <c r="H273">
        <v>1971</v>
      </c>
      <c r="I273">
        <v>1991</v>
      </c>
      <c r="J273" s="1334" t="s">
        <v>475</v>
      </c>
      <c r="K273" s="1335" t="s">
        <v>475</v>
      </c>
      <c r="L273" s="180">
        <v>100</v>
      </c>
      <c r="M273" t="s">
        <v>89</v>
      </c>
      <c r="N273" t="str">
        <f t="shared" si="18"/>
        <v>BLDG CH (Math / Nursing) (C008)</v>
      </c>
      <c r="O273" t="s">
        <v>46</v>
      </c>
      <c r="P273" t="str">
        <f t="shared" si="19"/>
        <v>09000_C008</v>
      </c>
      <c r="Q273" s="180">
        <v>95</v>
      </c>
    </row>
    <row r="274" spans="1:17">
      <c r="A274" t="str">
        <f t="shared" si="16"/>
        <v>GSU_C009</v>
      </c>
      <c r="B274" t="str">
        <f t="shared" si="17"/>
        <v>GSU_BLDG CI (Nursing / Corp. Dev)</v>
      </c>
      <c r="C274" t="s">
        <v>441</v>
      </c>
      <c r="D274" s="180" t="s">
        <v>29</v>
      </c>
      <c r="E274" t="s">
        <v>1004</v>
      </c>
      <c r="F274" t="s">
        <v>1005</v>
      </c>
      <c r="G274" s="180">
        <v>14030</v>
      </c>
      <c r="H274">
        <v>1977</v>
      </c>
      <c r="J274" s="1334" t="s">
        <v>475</v>
      </c>
      <c r="K274" s="1335" t="s">
        <v>475</v>
      </c>
      <c r="L274" s="180">
        <v>100</v>
      </c>
      <c r="M274" t="s">
        <v>89</v>
      </c>
      <c r="N274" t="str">
        <f t="shared" si="18"/>
        <v>BLDG CI (Nursing / Corp. Dev) (C009)</v>
      </c>
      <c r="O274" t="s">
        <v>46</v>
      </c>
      <c r="P274" t="str">
        <f t="shared" si="19"/>
        <v>09000_C009</v>
      </c>
      <c r="Q274" s="180">
        <v>100</v>
      </c>
    </row>
    <row r="275" spans="1:17">
      <c r="A275" t="str">
        <f t="shared" si="16"/>
        <v>GSU_C010</v>
      </c>
      <c r="B275" t="str">
        <f t="shared" si="17"/>
        <v>GSU_BLDG CJ (Protective Services)</v>
      </c>
      <c r="C275" t="s">
        <v>441</v>
      </c>
      <c r="D275" s="180" t="s">
        <v>29</v>
      </c>
      <c r="E275" t="s">
        <v>985</v>
      </c>
      <c r="F275" t="s">
        <v>986</v>
      </c>
      <c r="G275" s="180">
        <v>2622</v>
      </c>
      <c r="H275">
        <v>1950</v>
      </c>
      <c r="J275" s="1334" t="s">
        <v>475</v>
      </c>
      <c r="K275" s="1335" t="s">
        <v>475</v>
      </c>
      <c r="L275" s="180">
        <v>100</v>
      </c>
      <c r="M275" t="s">
        <v>89</v>
      </c>
      <c r="N275" t="str">
        <f t="shared" si="18"/>
        <v>BLDG CJ (Protective Services) (C010)</v>
      </c>
      <c r="O275" t="s">
        <v>46</v>
      </c>
      <c r="P275" t="str">
        <f t="shared" si="19"/>
        <v>09000_C010</v>
      </c>
      <c r="Q275" s="180">
        <v>100</v>
      </c>
    </row>
    <row r="276" spans="1:17">
      <c r="A276" t="str">
        <f t="shared" si="16"/>
        <v>GSU_C011</v>
      </c>
      <c r="B276" t="str">
        <f t="shared" si="17"/>
        <v>GSU_JIM CHERRY LRC</v>
      </c>
      <c r="C276" t="s">
        <v>441</v>
      </c>
      <c r="D276" s="180" t="s">
        <v>29</v>
      </c>
      <c r="E276" t="s">
        <v>1119</v>
      </c>
      <c r="F276" t="s">
        <v>1120</v>
      </c>
      <c r="G276" s="180">
        <v>114369</v>
      </c>
      <c r="H276">
        <v>1993</v>
      </c>
      <c r="J276" s="1334" t="s">
        <v>520</v>
      </c>
      <c r="K276" s="1335" t="s">
        <v>475</v>
      </c>
      <c r="L276" s="180">
        <v>100</v>
      </c>
      <c r="M276" t="s">
        <v>89</v>
      </c>
      <c r="N276" t="str">
        <f t="shared" si="18"/>
        <v>JIM CHERRY LRC (C011)</v>
      </c>
      <c r="O276" t="s">
        <v>46</v>
      </c>
      <c r="P276" t="str">
        <f t="shared" si="19"/>
        <v>09000_C011</v>
      </c>
      <c r="Q276" s="180">
        <v>100</v>
      </c>
    </row>
    <row r="277" spans="1:17">
      <c r="A277" t="str">
        <f t="shared" si="16"/>
        <v>GSU_C012</v>
      </c>
      <c r="B277" t="str">
        <f t="shared" si="17"/>
        <v>GSU_BLDG CM (Plant Operations)</v>
      </c>
      <c r="C277" t="s">
        <v>441</v>
      </c>
      <c r="D277" s="180" t="s">
        <v>29</v>
      </c>
      <c r="E277" t="s">
        <v>1080</v>
      </c>
      <c r="F277" t="s">
        <v>1081</v>
      </c>
      <c r="G277" s="180">
        <v>52542</v>
      </c>
      <c r="H277">
        <v>1989</v>
      </c>
      <c r="J277" s="1334" t="s">
        <v>475</v>
      </c>
      <c r="K277" s="1335" t="s">
        <v>475</v>
      </c>
      <c r="L277" s="180">
        <v>100</v>
      </c>
      <c r="M277" t="s">
        <v>89</v>
      </c>
      <c r="N277" t="str">
        <f t="shared" si="18"/>
        <v>BLDG CM (Plant Operations) (C012)</v>
      </c>
      <c r="O277" t="s">
        <v>46</v>
      </c>
      <c r="P277" t="str">
        <f t="shared" si="19"/>
        <v>09000_C012</v>
      </c>
      <c r="Q277" s="180">
        <v>100</v>
      </c>
    </row>
    <row r="278" spans="1:17">
      <c r="A278" t="str">
        <f t="shared" si="16"/>
        <v>GSU_C013</v>
      </c>
      <c r="B278" t="str">
        <f t="shared" si="17"/>
        <v>GSU_BLDG CN (Student Center)</v>
      </c>
      <c r="C278" t="s">
        <v>441</v>
      </c>
      <c r="D278" s="180" t="s">
        <v>29</v>
      </c>
      <c r="E278" t="s">
        <v>994</v>
      </c>
      <c r="F278" t="s">
        <v>995</v>
      </c>
      <c r="G278" s="180">
        <v>59896</v>
      </c>
      <c r="H278">
        <v>2003</v>
      </c>
      <c r="J278" s="1334" t="s">
        <v>520</v>
      </c>
      <c r="K278" s="1335" t="s">
        <v>475</v>
      </c>
      <c r="L278" s="180">
        <v>82</v>
      </c>
      <c r="M278" t="s">
        <v>89</v>
      </c>
      <c r="N278" t="str">
        <f t="shared" si="18"/>
        <v>BLDG CN (Student Center) (C013)</v>
      </c>
      <c r="O278" t="s">
        <v>46</v>
      </c>
      <c r="P278" t="str">
        <f t="shared" si="19"/>
        <v>09000_C013</v>
      </c>
      <c r="Q278" s="180">
        <v>100</v>
      </c>
    </row>
    <row r="279" spans="1:17">
      <c r="A279" t="str">
        <f t="shared" si="16"/>
        <v>GSU_C014</v>
      </c>
      <c r="B279" t="str">
        <f t="shared" si="17"/>
        <v>GSU_BLDG CS (Auxilary Services)</v>
      </c>
      <c r="C279" t="s">
        <v>441</v>
      </c>
      <c r="D279" s="180" t="s">
        <v>29</v>
      </c>
      <c r="E279" t="s">
        <v>1085</v>
      </c>
      <c r="F279" t="s">
        <v>1086</v>
      </c>
      <c r="G279" s="180">
        <v>10070</v>
      </c>
      <c r="H279">
        <v>1977</v>
      </c>
      <c r="J279" s="1334" t="s">
        <v>475</v>
      </c>
      <c r="K279" s="1335" t="s">
        <v>475</v>
      </c>
      <c r="L279" s="180">
        <v>50</v>
      </c>
      <c r="M279" t="s">
        <v>89</v>
      </c>
      <c r="N279" t="str">
        <f t="shared" si="18"/>
        <v>BLDG CS (Auxilary Services) (C014)</v>
      </c>
      <c r="O279" t="s">
        <v>46</v>
      </c>
      <c r="P279" t="str">
        <f t="shared" si="19"/>
        <v>09000_C014</v>
      </c>
      <c r="Q279" s="180">
        <v>100</v>
      </c>
    </row>
    <row r="280" spans="1:17">
      <c r="A280" t="str">
        <f t="shared" si="16"/>
        <v>GSU_C015</v>
      </c>
      <c r="B280" t="str">
        <f t="shared" si="17"/>
        <v>GSU_BLDG CT (Parking Deck)</v>
      </c>
      <c r="C280" t="s">
        <v>441</v>
      </c>
      <c r="D280" s="180" t="s">
        <v>29</v>
      </c>
      <c r="E280" t="s">
        <v>1133</v>
      </c>
      <c r="F280" t="s">
        <v>1134</v>
      </c>
      <c r="G280" s="180">
        <v>180849</v>
      </c>
      <c r="H280">
        <v>2008</v>
      </c>
      <c r="J280" s="1334" t="s">
        <v>486</v>
      </c>
      <c r="K280" s="1335" t="s">
        <v>475</v>
      </c>
      <c r="L280" s="180">
        <v>0</v>
      </c>
      <c r="M280" t="s">
        <v>89</v>
      </c>
      <c r="N280" t="str">
        <f t="shared" si="18"/>
        <v>BLDG CT (Parking Deck) (C015)</v>
      </c>
      <c r="O280" t="s">
        <v>46</v>
      </c>
      <c r="P280" t="str">
        <f t="shared" si="19"/>
        <v>09000_C015</v>
      </c>
      <c r="Q280" s="180">
        <v>100</v>
      </c>
    </row>
    <row r="281" spans="1:17">
      <c r="A281" t="str">
        <f t="shared" si="16"/>
        <v>GSU_E001</v>
      </c>
      <c r="B281" t="str">
        <f t="shared" si="17"/>
        <v>GSU_BLDG 1N (Academic Ctr)</v>
      </c>
      <c r="C281" t="s">
        <v>441</v>
      </c>
      <c r="D281" s="180" t="s">
        <v>29</v>
      </c>
      <c r="E281" t="s">
        <v>1099</v>
      </c>
      <c r="F281" t="s">
        <v>1100</v>
      </c>
      <c r="G281" s="180">
        <v>111024</v>
      </c>
      <c r="H281">
        <v>2006</v>
      </c>
      <c r="J281" s="1334" t="s">
        <v>475</v>
      </c>
      <c r="K281" s="1335" t="s">
        <v>475</v>
      </c>
      <c r="L281" s="180">
        <v>95</v>
      </c>
      <c r="M281" t="s">
        <v>7816</v>
      </c>
      <c r="N281" t="str">
        <f t="shared" si="18"/>
        <v>BLDG 1N (Academic Ctr) (E001)</v>
      </c>
      <c r="O281" t="s">
        <v>46</v>
      </c>
      <c r="P281" t="str">
        <f t="shared" si="19"/>
        <v>09000_E001</v>
      </c>
      <c r="Q281" s="180">
        <v>100</v>
      </c>
    </row>
    <row r="282" spans="1:17">
      <c r="A282" t="str">
        <f t="shared" si="16"/>
        <v>GSU_E002</v>
      </c>
      <c r="B282" t="str">
        <f t="shared" si="17"/>
        <v>GSU_BLDG 2N (Student Lrning Ctr)</v>
      </c>
      <c r="C282" t="s">
        <v>441</v>
      </c>
      <c r="D282" s="180" t="s">
        <v>29</v>
      </c>
      <c r="E282" t="s">
        <v>1082</v>
      </c>
      <c r="F282" t="s">
        <v>1083</v>
      </c>
      <c r="G282" s="180">
        <v>43157</v>
      </c>
      <c r="H282">
        <v>2008</v>
      </c>
      <c r="J282" s="1334" t="s">
        <v>486</v>
      </c>
      <c r="K282" s="1335" t="s">
        <v>475</v>
      </c>
      <c r="L282" s="180">
        <v>99</v>
      </c>
      <c r="M282" t="s">
        <v>7816</v>
      </c>
      <c r="N282" t="str">
        <f t="shared" si="18"/>
        <v>BLDG 2N (Student Lrning Ctr) (E002)</v>
      </c>
      <c r="O282" t="s">
        <v>46</v>
      </c>
      <c r="P282" t="str">
        <f t="shared" si="19"/>
        <v>09000_E002</v>
      </c>
      <c r="Q282" s="180">
        <v>100</v>
      </c>
    </row>
    <row r="283" spans="1:17">
      <c r="A283" t="str">
        <f t="shared" si="16"/>
        <v>GSU_E003</v>
      </c>
      <c r="B283" t="str">
        <f t="shared" si="17"/>
        <v>GSU_BLDG 3N (Recreation Bldg.)</v>
      </c>
      <c r="C283" t="s">
        <v>441</v>
      </c>
      <c r="D283" s="180" t="s">
        <v>29</v>
      </c>
      <c r="E283" t="s">
        <v>976</v>
      </c>
      <c r="F283" t="s">
        <v>977</v>
      </c>
      <c r="G283" s="180">
        <v>10815</v>
      </c>
      <c r="H283">
        <v>2008</v>
      </c>
      <c r="J283" s="1334" t="s">
        <v>475</v>
      </c>
      <c r="K283" s="1335" t="s">
        <v>475</v>
      </c>
      <c r="L283" s="180">
        <v>100</v>
      </c>
      <c r="M283" t="s">
        <v>7816</v>
      </c>
      <c r="N283" t="str">
        <f t="shared" si="18"/>
        <v>BLDG 3N (Recreation Bldg.) (E003)</v>
      </c>
      <c r="O283" t="s">
        <v>46</v>
      </c>
      <c r="P283" t="str">
        <f t="shared" si="19"/>
        <v>09000_E003</v>
      </c>
      <c r="Q283" s="180">
        <v>100</v>
      </c>
    </row>
    <row r="284" spans="1:17">
      <c r="A284" t="str">
        <f t="shared" si="16"/>
        <v>GSU_H001</v>
      </c>
      <c r="B284" t="str">
        <f t="shared" si="17"/>
        <v>GSU_HARD LABOR CREEK MAIN BLDG</v>
      </c>
      <c r="C284" t="s">
        <v>441</v>
      </c>
      <c r="D284" s="180" t="s">
        <v>29</v>
      </c>
      <c r="E284" t="s">
        <v>978</v>
      </c>
      <c r="F284" t="s">
        <v>979</v>
      </c>
      <c r="G284" s="180">
        <v>1934</v>
      </c>
      <c r="H284">
        <v>1989</v>
      </c>
      <c r="J284" s="1334" t="s">
        <v>475</v>
      </c>
      <c r="K284" s="1335" t="s">
        <v>475</v>
      </c>
      <c r="L284" s="180">
        <v>100</v>
      </c>
      <c r="M284" t="s">
        <v>4</v>
      </c>
      <c r="N284" t="str">
        <f t="shared" si="18"/>
        <v>HARD LABOR CREEK MAIN BLDG (H001)</v>
      </c>
      <c r="O284" t="s">
        <v>46</v>
      </c>
      <c r="P284" t="str">
        <f t="shared" si="19"/>
        <v>09000_H001</v>
      </c>
      <c r="Q284" s="180">
        <v>100</v>
      </c>
    </row>
    <row r="285" spans="1:17">
      <c r="A285" t="str">
        <f t="shared" si="16"/>
        <v>GSU_H002</v>
      </c>
      <c r="B285" t="str">
        <f t="shared" si="17"/>
        <v>GSU_HARD LABOR CREEK SHED</v>
      </c>
      <c r="C285" t="s">
        <v>441</v>
      </c>
      <c r="D285" s="180" t="s">
        <v>29</v>
      </c>
      <c r="E285" t="s">
        <v>1044</v>
      </c>
      <c r="F285" t="s">
        <v>1045</v>
      </c>
      <c r="G285" s="180">
        <v>69</v>
      </c>
      <c r="H285">
        <v>1989</v>
      </c>
      <c r="J285" s="1334" t="s">
        <v>475</v>
      </c>
      <c r="K285" s="1335" t="s">
        <v>475</v>
      </c>
      <c r="L285" s="180">
        <v>100</v>
      </c>
      <c r="M285" t="s">
        <v>4</v>
      </c>
      <c r="N285" t="str">
        <f t="shared" si="18"/>
        <v>HARD LABOR CREEK SHED (H002)</v>
      </c>
      <c r="O285" t="s">
        <v>46</v>
      </c>
      <c r="P285" t="str">
        <f t="shared" si="19"/>
        <v>09000_H002</v>
      </c>
      <c r="Q285" s="180">
        <v>100</v>
      </c>
    </row>
    <row r="286" spans="1:17">
      <c r="A286" t="str">
        <f t="shared" si="16"/>
        <v>GSU_H003</v>
      </c>
      <c r="B286" t="str">
        <f t="shared" si="17"/>
        <v>GSU_HARD LABOR CREEK TELESCOPE</v>
      </c>
      <c r="C286" t="s">
        <v>441</v>
      </c>
      <c r="D286" s="180" t="s">
        <v>29</v>
      </c>
      <c r="E286" t="s">
        <v>987</v>
      </c>
      <c r="F286" t="s">
        <v>988</v>
      </c>
      <c r="G286" s="180">
        <v>288</v>
      </c>
      <c r="H286">
        <v>1989</v>
      </c>
      <c r="J286" s="1334" t="s">
        <v>475</v>
      </c>
      <c r="K286" s="1335" t="s">
        <v>475</v>
      </c>
      <c r="L286" s="180">
        <v>100</v>
      </c>
      <c r="M286" t="s">
        <v>4</v>
      </c>
      <c r="N286" t="str">
        <f t="shared" si="18"/>
        <v>HARD LABOR CREEK TELESCOPE (H003)</v>
      </c>
      <c r="O286" t="s">
        <v>46</v>
      </c>
      <c r="P286" t="str">
        <f t="shared" si="19"/>
        <v>09000_H003</v>
      </c>
      <c r="Q286" s="180">
        <v>100</v>
      </c>
    </row>
    <row r="287" spans="1:17">
      <c r="A287" t="str">
        <f t="shared" si="16"/>
        <v>GSU_K001</v>
      </c>
      <c r="B287" t="str">
        <f t="shared" si="17"/>
        <v>GSU_INDIAN CREEK LODGE BLDG</v>
      </c>
      <c r="C287" t="s">
        <v>441</v>
      </c>
      <c r="D287" s="180" t="s">
        <v>29</v>
      </c>
      <c r="E287" t="s">
        <v>938</v>
      </c>
      <c r="F287" t="s">
        <v>939</v>
      </c>
      <c r="G287" s="180">
        <v>5230</v>
      </c>
      <c r="H287">
        <v>1927</v>
      </c>
      <c r="J287" s="1334" t="s">
        <v>475</v>
      </c>
      <c r="K287" s="1335" t="s">
        <v>475</v>
      </c>
      <c r="L287" s="180">
        <v>100</v>
      </c>
      <c r="M287" t="s">
        <v>4</v>
      </c>
      <c r="N287" t="str">
        <f t="shared" si="18"/>
        <v>INDIAN CREEK LODGE BLDG (K001)</v>
      </c>
      <c r="O287" t="s">
        <v>46</v>
      </c>
      <c r="P287" t="str">
        <f t="shared" si="19"/>
        <v>09000_K001</v>
      </c>
      <c r="Q287" s="180">
        <v>100</v>
      </c>
    </row>
    <row r="288" spans="1:17">
      <c r="A288" t="str">
        <f t="shared" si="16"/>
        <v>GSU_K002</v>
      </c>
      <c r="B288" t="str">
        <f t="shared" si="17"/>
        <v>GSU_ICL ADMINISTRATION BLDG</v>
      </c>
      <c r="C288" t="s">
        <v>441</v>
      </c>
      <c r="D288" s="180" t="s">
        <v>29</v>
      </c>
      <c r="E288" t="s">
        <v>1135</v>
      </c>
      <c r="F288" t="s">
        <v>1136</v>
      </c>
      <c r="G288" s="180">
        <v>1424</v>
      </c>
      <c r="H288">
        <v>2016</v>
      </c>
      <c r="J288" s="1334" t="s">
        <v>475</v>
      </c>
      <c r="K288" s="1335" t="s">
        <v>475</v>
      </c>
      <c r="L288" s="180">
        <v>100</v>
      </c>
      <c r="M288" t="s">
        <v>4</v>
      </c>
      <c r="N288" t="str">
        <f t="shared" si="18"/>
        <v>ICL ADMINISTRATION BLDG (K002)</v>
      </c>
      <c r="O288" t="s">
        <v>46</v>
      </c>
      <c r="P288" t="str">
        <f t="shared" si="19"/>
        <v>09000_K002</v>
      </c>
      <c r="Q288" s="180">
        <v>100</v>
      </c>
    </row>
    <row r="289" spans="1:17">
      <c r="A289" t="str">
        <f t="shared" si="16"/>
        <v>GSU_K003</v>
      </c>
      <c r="B289" t="str">
        <f t="shared" si="17"/>
        <v>GSU_ICL ROPE COURSE ADMIN BLDG</v>
      </c>
      <c r="C289" t="s">
        <v>441</v>
      </c>
      <c r="D289" s="180" t="s">
        <v>29</v>
      </c>
      <c r="E289" t="s">
        <v>942</v>
      </c>
      <c r="F289" t="s">
        <v>943</v>
      </c>
      <c r="G289" s="180">
        <v>2271</v>
      </c>
      <c r="H289">
        <v>1927</v>
      </c>
      <c r="J289" s="1334" t="s">
        <v>475</v>
      </c>
      <c r="K289" s="1335" t="s">
        <v>475</v>
      </c>
      <c r="L289" s="180">
        <v>100</v>
      </c>
      <c r="M289" t="s">
        <v>4</v>
      </c>
      <c r="N289" t="str">
        <f t="shared" si="18"/>
        <v>ICL ROPE COURSE ADMIN BLDG (K003)</v>
      </c>
      <c r="O289" t="s">
        <v>46</v>
      </c>
      <c r="P289" t="str">
        <f t="shared" si="19"/>
        <v>09000_K003</v>
      </c>
      <c r="Q289" s="180">
        <v>100</v>
      </c>
    </row>
    <row r="290" spans="1:17">
      <c r="A290" t="str">
        <f t="shared" si="16"/>
        <v>GSU_K004</v>
      </c>
      <c r="B290" t="str">
        <f t="shared" si="17"/>
        <v>GSU_ICL ROPE COURSE PAVILLION</v>
      </c>
      <c r="C290" t="s">
        <v>441</v>
      </c>
      <c r="D290" s="180" t="s">
        <v>29</v>
      </c>
      <c r="E290" t="s">
        <v>7029</v>
      </c>
      <c r="F290" t="s">
        <v>7105</v>
      </c>
      <c r="G290" s="180">
        <v>828</v>
      </c>
      <c r="H290">
        <v>1927</v>
      </c>
      <c r="J290" s="1334" t="s">
        <v>475</v>
      </c>
      <c r="K290" s="1335" t="s">
        <v>475</v>
      </c>
      <c r="L290" s="180">
        <v>100</v>
      </c>
      <c r="M290" t="s">
        <v>4</v>
      </c>
      <c r="N290" t="str">
        <f t="shared" si="18"/>
        <v>ICL ROPE COURSE PAVILLION (K004)</v>
      </c>
      <c r="O290" t="s">
        <v>46</v>
      </c>
      <c r="P290" t="str">
        <f t="shared" si="19"/>
        <v>09000_K004</v>
      </c>
      <c r="Q290" s="180">
        <v>100</v>
      </c>
    </row>
    <row r="291" spans="1:17">
      <c r="A291" t="str">
        <f t="shared" si="16"/>
        <v>GSU_K006</v>
      </c>
      <c r="B291" t="str">
        <f t="shared" si="17"/>
        <v>GSU_ICL LIFE GUARD HOUSE</v>
      </c>
      <c r="C291" t="s">
        <v>441</v>
      </c>
      <c r="D291" s="180" t="s">
        <v>29</v>
      </c>
      <c r="E291" t="s">
        <v>1011</v>
      </c>
      <c r="F291" t="s">
        <v>1012</v>
      </c>
      <c r="G291" s="180">
        <v>1210</v>
      </c>
      <c r="H291">
        <v>1927</v>
      </c>
      <c r="J291" s="1334" t="s">
        <v>475</v>
      </c>
      <c r="K291" s="1335" t="s">
        <v>475</v>
      </c>
      <c r="L291" s="180">
        <v>100</v>
      </c>
      <c r="M291" t="s">
        <v>4</v>
      </c>
      <c r="N291" t="str">
        <f t="shared" si="18"/>
        <v>ICL LIFE GUARD HOUSE (K006)</v>
      </c>
      <c r="O291" t="s">
        <v>46</v>
      </c>
      <c r="P291" t="str">
        <f t="shared" si="19"/>
        <v>09000_K006</v>
      </c>
      <c r="Q291" s="180">
        <v>1</v>
      </c>
    </row>
    <row r="292" spans="1:17">
      <c r="A292" t="str">
        <f t="shared" si="16"/>
        <v>GSU_K007</v>
      </c>
      <c r="B292" t="str">
        <f t="shared" si="17"/>
        <v>GSU_ICL DRESSING ROOM BUILDING</v>
      </c>
      <c r="C292" t="s">
        <v>441</v>
      </c>
      <c r="D292" s="180" t="s">
        <v>29</v>
      </c>
      <c r="E292" t="s">
        <v>965</v>
      </c>
      <c r="F292" t="s">
        <v>966</v>
      </c>
      <c r="G292" s="180">
        <v>1294</v>
      </c>
      <c r="H292">
        <v>1927</v>
      </c>
      <c r="J292" s="1334" t="s">
        <v>475</v>
      </c>
      <c r="K292" s="1335" t="s">
        <v>475</v>
      </c>
      <c r="L292" s="180">
        <v>100</v>
      </c>
      <c r="M292" t="s">
        <v>4</v>
      </c>
      <c r="N292" t="str">
        <f t="shared" si="18"/>
        <v>ICL DRESSING ROOM BUILDING (K007)</v>
      </c>
      <c r="O292" t="s">
        <v>46</v>
      </c>
      <c r="P292" t="str">
        <f t="shared" si="19"/>
        <v>09000_K007</v>
      </c>
      <c r="Q292" s="180">
        <v>0</v>
      </c>
    </row>
    <row r="293" spans="1:17">
      <c r="A293" t="str">
        <f t="shared" si="16"/>
        <v>GSU_K008</v>
      </c>
      <c r="B293" t="str">
        <f t="shared" si="17"/>
        <v>GSU_ICL POOL EQUIP STORAGE BLDG</v>
      </c>
      <c r="C293" t="s">
        <v>441</v>
      </c>
      <c r="D293" s="180" t="s">
        <v>29</v>
      </c>
      <c r="E293" t="s">
        <v>7030</v>
      </c>
      <c r="F293" t="s">
        <v>7106</v>
      </c>
      <c r="G293" s="180">
        <v>148</v>
      </c>
      <c r="H293">
        <v>1927</v>
      </c>
      <c r="J293" s="1334" t="s">
        <v>475</v>
      </c>
      <c r="K293" s="1335" t="s">
        <v>475</v>
      </c>
      <c r="L293" s="180">
        <v>100</v>
      </c>
      <c r="M293" t="s">
        <v>4</v>
      </c>
      <c r="N293" t="str">
        <f t="shared" si="18"/>
        <v>ICL POOL EQUIP STORAGE BLDG (K008)</v>
      </c>
      <c r="O293" t="s">
        <v>46</v>
      </c>
      <c r="P293" t="str">
        <f t="shared" si="19"/>
        <v>09000_K008</v>
      </c>
      <c r="Q293" s="180">
        <v>1</v>
      </c>
    </row>
    <row r="294" spans="1:17">
      <c r="A294" t="str">
        <f t="shared" si="16"/>
        <v>GSU_L001</v>
      </c>
      <c r="B294" t="str">
        <f t="shared" si="17"/>
        <v>GSU_LRC ADMINISTRATION BUILDING</v>
      </c>
      <c r="C294" t="s">
        <v>441</v>
      </c>
      <c r="D294" s="180" t="s">
        <v>29</v>
      </c>
      <c r="E294" t="s">
        <v>1115</v>
      </c>
      <c r="F294" t="s">
        <v>1116</v>
      </c>
      <c r="G294" s="180">
        <v>9438</v>
      </c>
      <c r="H294">
        <v>1981</v>
      </c>
      <c r="J294" s="1334" t="s">
        <v>475</v>
      </c>
      <c r="K294" s="1335" t="s">
        <v>475</v>
      </c>
      <c r="L294" s="180">
        <v>100</v>
      </c>
      <c r="M294" t="s">
        <v>4</v>
      </c>
      <c r="N294" t="str">
        <f t="shared" si="18"/>
        <v>LRC ADMINISTRATION BUILDING (L001)</v>
      </c>
      <c r="O294" t="s">
        <v>46</v>
      </c>
      <c r="P294" t="str">
        <f t="shared" si="19"/>
        <v>09000_L001</v>
      </c>
      <c r="Q294" s="180">
        <v>100</v>
      </c>
    </row>
    <row r="295" spans="1:17">
      <c r="A295" t="str">
        <f t="shared" si="16"/>
        <v>GSU_L002</v>
      </c>
      <c r="B295" t="str">
        <f t="shared" si="17"/>
        <v>GSU_LRC LANSON BUILDING</v>
      </c>
      <c r="C295" t="s">
        <v>441</v>
      </c>
      <c r="D295" s="180" t="s">
        <v>29</v>
      </c>
      <c r="E295" t="s">
        <v>932</v>
      </c>
      <c r="F295" t="s">
        <v>933</v>
      </c>
      <c r="G295" s="180">
        <v>3923</v>
      </c>
      <c r="H295">
        <v>1981</v>
      </c>
      <c r="J295" s="1334" t="s">
        <v>475</v>
      </c>
      <c r="K295" s="1335" t="s">
        <v>475</v>
      </c>
      <c r="L295" s="180">
        <v>100</v>
      </c>
      <c r="M295" t="s">
        <v>4</v>
      </c>
      <c r="N295" t="str">
        <f t="shared" si="18"/>
        <v>LRC LANSON BUILDING (L002)</v>
      </c>
      <c r="O295" t="s">
        <v>46</v>
      </c>
      <c r="P295" t="str">
        <f t="shared" si="19"/>
        <v>09000_L002</v>
      </c>
      <c r="Q295" s="180">
        <v>100</v>
      </c>
    </row>
    <row r="296" spans="1:17">
      <c r="A296" t="str">
        <f t="shared" si="16"/>
        <v>GSU_L003</v>
      </c>
      <c r="B296" t="str">
        <f t="shared" si="17"/>
        <v>GSU_LRC CAPUCHIN BUILDING</v>
      </c>
      <c r="C296" t="s">
        <v>441</v>
      </c>
      <c r="D296" s="180" t="s">
        <v>29</v>
      </c>
      <c r="E296" t="s">
        <v>1143</v>
      </c>
      <c r="F296" t="s">
        <v>1144</v>
      </c>
      <c r="G296" s="180">
        <v>3488</v>
      </c>
      <c r="H296">
        <v>1981</v>
      </c>
      <c r="J296" s="1334" t="s">
        <v>475</v>
      </c>
      <c r="K296" s="1335" t="s">
        <v>475</v>
      </c>
      <c r="L296" s="180">
        <v>100</v>
      </c>
      <c r="M296" t="s">
        <v>4</v>
      </c>
      <c r="N296" t="str">
        <f t="shared" si="18"/>
        <v>LRC CAPUCHIN BUILDING (L003)</v>
      </c>
      <c r="O296" t="s">
        <v>46</v>
      </c>
      <c r="P296" t="str">
        <f t="shared" si="19"/>
        <v>09000_L003</v>
      </c>
      <c r="Q296" s="180">
        <v>100</v>
      </c>
    </row>
    <row r="297" spans="1:17">
      <c r="A297" t="str">
        <f t="shared" si="16"/>
        <v>GSU_L004</v>
      </c>
      <c r="B297" t="str">
        <f t="shared" si="17"/>
        <v>GSU_LRC CAGE WASH/MAINTENANCE BLDG</v>
      </c>
      <c r="C297" t="s">
        <v>441</v>
      </c>
      <c r="D297" s="180" t="s">
        <v>29</v>
      </c>
      <c r="E297" t="s">
        <v>1073</v>
      </c>
      <c r="F297" t="s">
        <v>1074</v>
      </c>
      <c r="G297" s="180">
        <v>3276</v>
      </c>
      <c r="H297">
        <v>1981</v>
      </c>
      <c r="J297" s="1334" t="s">
        <v>475</v>
      </c>
      <c r="K297" s="1335" t="s">
        <v>475</v>
      </c>
      <c r="L297" s="180">
        <v>100</v>
      </c>
      <c r="M297" t="s">
        <v>4</v>
      </c>
      <c r="N297" t="str">
        <f t="shared" si="18"/>
        <v>LRC CAGE WASH/MAINTENANCE BLDG (L004)</v>
      </c>
      <c r="O297" t="s">
        <v>46</v>
      </c>
      <c r="P297" t="str">
        <f t="shared" si="19"/>
        <v>09000_L004</v>
      </c>
      <c r="Q297" s="180">
        <v>86</v>
      </c>
    </row>
    <row r="298" spans="1:17">
      <c r="A298" t="str">
        <f t="shared" si="16"/>
        <v>GSU_L005</v>
      </c>
      <c r="B298" t="str">
        <f t="shared" si="17"/>
        <v>GSU_LRC NASA BUILDING</v>
      </c>
      <c r="C298" t="s">
        <v>441</v>
      </c>
      <c r="D298" s="180" t="s">
        <v>29</v>
      </c>
      <c r="E298" t="s">
        <v>1101</v>
      </c>
      <c r="F298" t="s">
        <v>1102</v>
      </c>
      <c r="G298" s="180">
        <v>3983</v>
      </c>
      <c r="H298">
        <v>1981</v>
      </c>
      <c r="J298" s="1334" t="s">
        <v>475</v>
      </c>
      <c r="K298" s="1335" t="s">
        <v>475</v>
      </c>
      <c r="L298" s="180">
        <v>100</v>
      </c>
      <c r="M298" t="s">
        <v>4</v>
      </c>
      <c r="N298" t="str">
        <f t="shared" si="18"/>
        <v>LRC NASA BUILDING (L005)</v>
      </c>
      <c r="O298" t="s">
        <v>46</v>
      </c>
      <c r="P298" t="str">
        <f t="shared" si="19"/>
        <v>09000_L005</v>
      </c>
      <c r="Q298" s="180">
        <v>100</v>
      </c>
    </row>
    <row r="299" spans="1:17">
      <c r="A299" t="str">
        <f t="shared" si="16"/>
        <v>GSU_N001</v>
      </c>
      <c r="B299" t="str">
        <f t="shared" si="17"/>
        <v>GSU_BLDG NA (Administration)</v>
      </c>
      <c r="C299" t="s">
        <v>441</v>
      </c>
      <c r="D299" s="180" t="s">
        <v>29</v>
      </c>
      <c r="E299" t="s">
        <v>991</v>
      </c>
      <c r="F299" t="s">
        <v>992</v>
      </c>
      <c r="G299" s="180">
        <v>34747</v>
      </c>
      <c r="H299">
        <v>1979</v>
      </c>
      <c r="J299" s="1334" t="s">
        <v>475</v>
      </c>
      <c r="K299" s="1335" t="s">
        <v>475</v>
      </c>
      <c r="L299" s="180">
        <v>91</v>
      </c>
      <c r="M299" t="s">
        <v>91</v>
      </c>
      <c r="N299" t="str">
        <f t="shared" si="18"/>
        <v>BLDG NA (Administration) (N001)</v>
      </c>
      <c r="O299" t="s">
        <v>46</v>
      </c>
      <c r="P299" t="str">
        <f t="shared" si="19"/>
        <v>09000_N001</v>
      </c>
      <c r="Q299" s="180">
        <v>100</v>
      </c>
    </row>
    <row r="300" spans="1:17">
      <c r="A300" t="str">
        <f t="shared" si="16"/>
        <v>GSU_N002</v>
      </c>
      <c r="B300" t="str">
        <f t="shared" si="17"/>
        <v>GSU_BLDG NB (Student Center)</v>
      </c>
      <c r="C300" t="s">
        <v>441</v>
      </c>
      <c r="D300" s="180" t="s">
        <v>29</v>
      </c>
      <c r="E300" t="s">
        <v>1075</v>
      </c>
      <c r="F300" t="s">
        <v>1076</v>
      </c>
      <c r="G300" s="180">
        <v>54675</v>
      </c>
      <c r="H300">
        <v>1979</v>
      </c>
      <c r="I300">
        <v>2008</v>
      </c>
      <c r="J300" s="1334" t="s">
        <v>486</v>
      </c>
      <c r="K300" s="1335" t="s">
        <v>475</v>
      </c>
      <c r="L300" s="180">
        <v>85</v>
      </c>
      <c r="M300" t="s">
        <v>91</v>
      </c>
      <c r="N300" t="str">
        <f t="shared" si="18"/>
        <v>BLDG NB (Student Center) (N002)</v>
      </c>
      <c r="O300" t="s">
        <v>46</v>
      </c>
      <c r="P300" t="str">
        <f t="shared" si="19"/>
        <v>09000_N002</v>
      </c>
      <c r="Q300" s="180">
        <v>100</v>
      </c>
    </row>
    <row r="301" spans="1:17">
      <c r="A301" t="str">
        <f t="shared" si="16"/>
        <v>GSU_N003</v>
      </c>
      <c r="B301" t="str">
        <f t="shared" si="17"/>
        <v>GSU_BLDG NC (Science)</v>
      </c>
      <c r="C301" t="s">
        <v>441</v>
      </c>
      <c r="D301" s="180" t="s">
        <v>29</v>
      </c>
      <c r="E301" t="s">
        <v>1019</v>
      </c>
      <c r="F301" t="s">
        <v>1020</v>
      </c>
      <c r="G301" s="180">
        <v>30241</v>
      </c>
      <c r="H301">
        <v>1979</v>
      </c>
      <c r="J301" s="1334" t="s">
        <v>475</v>
      </c>
      <c r="K301" s="1335" t="s">
        <v>475</v>
      </c>
      <c r="L301" s="180">
        <v>100</v>
      </c>
      <c r="M301" t="s">
        <v>91</v>
      </c>
      <c r="N301" t="str">
        <f t="shared" si="18"/>
        <v>BLDG NC (Science) (N003)</v>
      </c>
      <c r="O301" t="s">
        <v>46</v>
      </c>
      <c r="P301" t="str">
        <f t="shared" si="19"/>
        <v>09000_N003</v>
      </c>
      <c r="Q301" s="180">
        <v>100</v>
      </c>
    </row>
    <row r="302" spans="1:17">
      <c r="A302" t="str">
        <f t="shared" si="16"/>
        <v>GSU_N003a</v>
      </c>
      <c r="B302" t="str">
        <f t="shared" si="17"/>
        <v>GSU_BLDG NC (Dental)</v>
      </c>
      <c r="C302" t="s">
        <v>441</v>
      </c>
      <c r="D302" s="180" t="s">
        <v>29</v>
      </c>
      <c r="E302" t="s">
        <v>7031</v>
      </c>
      <c r="F302" t="s">
        <v>7107</v>
      </c>
      <c r="G302" s="180">
        <v>7880</v>
      </c>
      <c r="H302">
        <v>2022</v>
      </c>
      <c r="J302" s="1334" t="s">
        <v>520</v>
      </c>
      <c r="K302" s="1335" t="s">
        <v>475</v>
      </c>
      <c r="L302" s="180">
        <v>100</v>
      </c>
      <c r="M302" t="s">
        <v>91</v>
      </c>
      <c r="N302" t="str">
        <f t="shared" si="18"/>
        <v>BLDG NC (Dental) (N003a)</v>
      </c>
      <c r="O302" t="s">
        <v>46</v>
      </c>
      <c r="P302" t="str">
        <f t="shared" si="19"/>
        <v>09000_N003a</v>
      </c>
      <c r="Q302" s="180">
        <v>100</v>
      </c>
    </row>
    <row r="303" spans="1:17">
      <c r="A303" t="str">
        <f t="shared" si="16"/>
        <v>GSU_N004</v>
      </c>
      <c r="B303" t="str">
        <f t="shared" si="17"/>
        <v>GSU_BLDG ND (Classroom)</v>
      </c>
      <c r="C303" t="s">
        <v>441</v>
      </c>
      <c r="D303" s="180" t="s">
        <v>29</v>
      </c>
      <c r="E303" t="s">
        <v>924</v>
      </c>
      <c r="F303" t="s">
        <v>925</v>
      </c>
      <c r="G303" s="180">
        <v>19020</v>
      </c>
      <c r="H303">
        <v>1979</v>
      </c>
      <c r="J303" s="1334" t="s">
        <v>475</v>
      </c>
      <c r="K303" s="1335" t="s">
        <v>475</v>
      </c>
      <c r="L303" s="180">
        <v>100</v>
      </c>
      <c r="M303" t="s">
        <v>91</v>
      </c>
      <c r="N303" t="str">
        <f t="shared" si="18"/>
        <v>BLDG ND (Classroom) (N004)</v>
      </c>
      <c r="O303" t="s">
        <v>46</v>
      </c>
      <c r="P303" t="str">
        <f t="shared" si="19"/>
        <v>09000_N004</v>
      </c>
      <c r="Q303" s="180">
        <v>100</v>
      </c>
    </row>
    <row r="304" spans="1:17">
      <c r="A304" t="str">
        <f t="shared" si="16"/>
        <v>GSU_N005</v>
      </c>
      <c r="B304" t="str">
        <f t="shared" si="17"/>
        <v>GSU_BLDG NE (Classroom &amp; Office)</v>
      </c>
      <c r="C304" t="s">
        <v>441</v>
      </c>
      <c r="D304" s="180" t="s">
        <v>29</v>
      </c>
      <c r="E304" t="s">
        <v>1023</v>
      </c>
      <c r="F304" t="s">
        <v>1024</v>
      </c>
      <c r="G304" s="180">
        <v>102513</v>
      </c>
      <c r="H304">
        <v>1981</v>
      </c>
      <c r="J304" s="1334" t="s">
        <v>475</v>
      </c>
      <c r="K304" s="1335" t="s">
        <v>475</v>
      </c>
      <c r="L304" s="180">
        <v>100</v>
      </c>
      <c r="M304" t="s">
        <v>91</v>
      </c>
      <c r="N304" t="str">
        <f t="shared" si="18"/>
        <v>BLDG NE (Classroom &amp; Office) (N005)</v>
      </c>
      <c r="O304" t="s">
        <v>46</v>
      </c>
      <c r="P304" t="str">
        <f t="shared" si="19"/>
        <v>09000_N005</v>
      </c>
      <c r="Q304" s="180">
        <v>97</v>
      </c>
    </row>
    <row r="305" spans="1:17">
      <c r="A305" t="str">
        <f t="shared" si="16"/>
        <v>GSU_N006</v>
      </c>
      <c r="B305" t="str">
        <f t="shared" si="17"/>
        <v>GSU_BLDG NF (Physical Education)</v>
      </c>
      <c r="C305" t="s">
        <v>441</v>
      </c>
      <c r="D305" s="180" t="s">
        <v>29</v>
      </c>
      <c r="E305" t="s">
        <v>1092</v>
      </c>
      <c r="F305" t="s">
        <v>1093</v>
      </c>
      <c r="G305" s="180">
        <v>21263</v>
      </c>
      <c r="H305">
        <v>2002</v>
      </c>
      <c r="I305">
        <v>2008</v>
      </c>
      <c r="J305" s="1334" t="s">
        <v>475</v>
      </c>
      <c r="K305" s="1335" t="s">
        <v>475</v>
      </c>
      <c r="L305" s="180">
        <v>100</v>
      </c>
      <c r="M305" t="s">
        <v>91</v>
      </c>
      <c r="N305" t="str">
        <f t="shared" si="18"/>
        <v>BLDG NF (Physical Education) (N006)</v>
      </c>
      <c r="O305" t="s">
        <v>46</v>
      </c>
      <c r="P305" t="str">
        <f t="shared" si="19"/>
        <v>09000_N006</v>
      </c>
      <c r="Q305" s="180">
        <v>100</v>
      </c>
    </row>
    <row r="306" spans="1:17">
      <c r="A306" t="str">
        <f t="shared" si="16"/>
        <v>GSU_N007</v>
      </c>
      <c r="B306" t="str">
        <f t="shared" si="17"/>
        <v>GSU_BLDG NI (Protective Services)</v>
      </c>
      <c r="C306" t="s">
        <v>441</v>
      </c>
      <c r="D306" s="180" t="s">
        <v>29</v>
      </c>
      <c r="E306" t="s">
        <v>1052</v>
      </c>
      <c r="F306" t="s">
        <v>1053</v>
      </c>
      <c r="G306" s="180">
        <v>645</v>
      </c>
      <c r="H306">
        <v>1989</v>
      </c>
      <c r="J306" s="1334" t="s">
        <v>475</v>
      </c>
      <c r="K306" s="1335" t="s">
        <v>475</v>
      </c>
      <c r="L306" s="180">
        <v>100</v>
      </c>
      <c r="M306" t="s">
        <v>91</v>
      </c>
      <c r="N306" t="str">
        <f t="shared" si="18"/>
        <v>BLDG NI (Protective Services) (N007)</v>
      </c>
      <c r="O306" t="s">
        <v>46</v>
      </c>
      <c r="P306" t="str">
        <f t="shared" si="19"/>
        <v>09000_N007</v>
      </c>
      <c r="Q306" s="180">
        <v>100</v>
      </c>
    </row>
    <row r="307" spans="1:17">
      <c r="A307" t="str">
        <f t="shared" si="16"/>
        <v>GSU_N008</v>
      </c>
      <c r="B307" t="str">
        <f t="shared" si="17"/>
        <v>GSU_BLDG NN (Plant Operations)</v>
      </c>
      <c r="C307" t="s">
        <v>441</v>
      </c>
      <c r="D307" s="180" t="s">
        <v>29</v>
      </c>
      <c r="E307" t="s">
        <v>1015</v>
      </c>
      <c r="F307" t="s">
        <v>1016</v>
      </c>
      <c r="G307" s="180">
        <v>6453</v>
      </c>
      <c r="H307">
        <v>1998</v>
      </c>
      <c r="J307" s="1334" t="s">
        <v>520</v>
      </c>
      <c r="K307" s="1335" t="s">
        <v>475</v>
      </c>
      <c r="L307" s="180">
        <v>100</v>
      </c>
      <c r="M307" t="s">
        <v>91</v>
      </c>
      <c r="N307" t="str">
        <f t="shared" si="18"/>
        <v>BLDG NN (Plant Operations) (N008)</v>
      </c>
      <c r="O307" t="s">
        <v>46</v>
      </c>
      <c r="P307" t="str">
        <f t="shared" si="19"/>
        <v>09000_N008</v>
      </c>
      <c r="Q307" s="180">
        <v>91</v>
      </c>
    </row>
    <row r="308" spans="1:17">
      <c r="A308" t="str">
        <f t="shared" si="16"/>
        <v>GSU_N009</v>
      </c>
      <c r="B308" t="str">
        <f t="shared" si="17"/>
        <v>GSU_BLDG NT (Faculty Offices)</v>
      </c>
      <c r="C308" t="s">
        <v>441</v>
      </c>
      <c r="D308" s="180" t="s">
        <v>29</v>
      </c>
      <c r="E308" t="s">
        <v>1046</v>
      </c>
      <c r="F308" t="s">
        <v>1047</v>
      </c>
      <c r="G308" s="180">
        <v>3545</v>
      </c>
      <c r="H308">
        <v>2008</v>
      </c>
      <c r="J308" s="1334" t="s">
        <v>475</v>
      </c>
      <c r="K308" s="1335" t="s">
        <v>475</v>
      </c>
      <c r="L308" s="180">
        <v>100</v>
      </c>
      <c r="M308" t="s">
        <v>91</v>
      </c>
      <c r="N308" t="str">
        <f t="shared" si="18"/>
        <v>BLDG NT (Faculty Offices) (N009)</v>
      </c>
      <c r="O308" t="s">
        <v>46</v>
      </c>
      <c r="P308" t="str">
        <f t="shared" si="19"/>
        <v>09000_N009</v>
      </c>
      <c r="Q308" s="180">
        <v>100</v>
      </c>
    </row>
    <row r="309" spans="1:17">
      <c r="A309" t="str">
        <f t="shared" si="16"/>
        <v>GSU_N010</v>
      </c>
      <c r="B309" t="str">
        <f t="shared" si="17"/>
        <v>GSU_LEARNING RESOURCES CTR (Dunw)</v>
      </c>
      <c r="C309" t="s">
        <v>441</v>
      </c>
      <c r="D309" s="180" t="s">
        <v>29</v>
      </c>
      <c r="E309" t="s">
        <v>7032</v>
      </c>
      <c r="F309" t="s">
        <v>7108</v>
      </c>
      <c r="G309" s="180">
        <v>46618</v>
      </c>
      <c r="H309">
        <v>2000</v>
      </c>
      <c r="J309" s="1334" t="s">
        <v>520</v>
      </c>
      <c r="K309" s="1335" t="s">
        <v>475</v>
      </c>
      <c r="L309" s="180">
        <v>100</v>
      </c>
      <c r="M309" t="s">
        <v>91</v>
      </c>
      <c r="N309" t="str">
        <f t="shared" si="18"/>
        <v>LEARNING RESOURCES CTR (Dunw) (N010)</v>
      </c>
      <c r="O309" t="s">
        <v>46</v>
      </c>
      <c r="P309" t="str">
        <f t="shared" si="19"/>
        <v>09000_N010</v>
      </c>
      <c r="Q309" s="180">
        <v>100</v>
      </c>
    </row>
    <row r="310" spans="1:17">
      <c r="A310" t="str">
        <f t="shared" si="16"/>
        <v>GSU_N011</v>
      </c>
      <c r="B310" t="str">
        <f t="shared" si="17"/>
        <v>GSU_BLDG NM (Plant Operations #2)</v>
      </c>
      <c r="C310" t="s">
        <v>441</v>
      </c>
      <c r="D310" s="180" t="s">
        <v>29</v>
      </c>
      <c r="E310" t="s">
        <v>1094</v>
      </c>
      <c r="F310" t="s">
        <v>1095</v>
      </c>
      <c r="G310" s="180">
        <v>3640</v>
      </c>
      <c r="H310">
        <v>1998</v>
      </c>
      <c r="J310" s="1334" t="s">
        <v>475</v>
      </c>
      <c r="K310" s="1335" t="s">
        <v>475</v>
      </c>
      <c r="L310" s="180">
        <v>100</v>
      </c>
      <c r="M310" t="s">
        <v>91</v>
      </c>
      <c r="N310" t="str">
        <f t="shared" si="18"/>
        <v>BLDG NM (Plant Operations #2) (N011)</v>
      </c>
      <c r="O310" t="s">
        <v>46</v>
      </c>
      <c r="P310" t="str">
        <f t="shared" si="19"/>
        <v>09000_N011</v>
      </c>
      <c r="Q310" s="180">
        <v>100</v>
      </c>
    </row>
    <row r="311" spans="1:17">
      <c r="A311" t="str">
        <f t="shared" si="16"/>
        <v>GSU_N012</v>
      </c>
      <c r="B311" t="str">
        <f t="shared" si="17"/>
        <v>GSU_BLDG NS (Parking Deck )</v>
      </c>
      <c r="C311" t="s">
        <v>441</v>
      </c>
      <c r="D311" s="180" t="s">
        <v>29</v>
      </c>
      <c r="E311" t="s">
        <v>1137</v>
      </c>
      <c r="F311" t="s">
        <v>1138</v>
      </c>
      <c r="G311" s="180">
        <v>162870</v>
      </c>
      <c r="H311">
        <v>1998</v>
      </c>
      <c r="J311" s="1334" t="s">
        <v>475</v>
      </c>
      <c r="K311" s="1335" t="s">
        <v>475</v>
      </c>
      <c r="L311" s="180">
        <v>0</v>
      </c>
      <c r="M311" t="s">
        <v>91</v>
      </c>
      <c r="N311" t="str">
        <f t="shared" si="18"/>
        <v>BLDG NS (Parking Deck ) (N012)</v>
      </c>
      <c r="O311" t="s">
        <v>46</v>
      </c>
      <c r="P311" t="str">
        <f t="shared" si="19"/>
        <v>09000_N012</v>
      </c>
      <c r="Q311" s="180">
        <v>100</v>
      </c>
    </row>
    <row r="312" spans="1:17">
      <c r="A312" t="str">
        <f t="shared" si="16"/>
        <v>GSU_N013</v>
      </c>
      <c r="B312" t="str">
        <f t="shared" si="17"/>
        <v>GSU_BLDG NU (Parking Deck)</v>
      </c>
      <c r="C312" t="s">
        <v>441</v>
      </c>
      <c r="D312" s="180" t="s">
        <v>29</v>
      </c>
      <c r="E312" t="s">
        <v>981</v>
      </c>
      <c r="F312" t="s">
        <v>982</v>
      </c>
      <c r="G312" s="180">
        <v>183833</v>
      </c>
      <c r="H312">
        <v>2007</v>
      </c>
      <c r="J312" s="1334" t="s">
        <v>486</v>
      </c>
      <c r="K312" s="1335" t="s">
        <v>475</v>
      </c>
      <c r="L312" s="180">
        <v>0</v>
      </c>
      <c r="M312" t="s">
        <v>91</v>
      </c>
      <c r="N312" t="str">
        <f t="shared" si="18"/>
        <v>BLDG NU (Parking Deck) (N013)</v>
      </c>
      <c r="O312" t="s">
        <v>46</v>
      </c>
      <c r="P312" t="str">
        <f t="shared" si="19"/>
        <v>09000_N013</v>
      </c>
      <c r="Q312" s="180">
        <v>100</v>
      </c>
    </row>
    <row r="313" spans="1:17">
      <c r="A313" t="str">
        <f t="shared" si="16"/>
        <v>GSU_P001</v>
      </c>
      <c r="B313" t="str">
        <f t="shared" si="17"/>
        <v>GSU_SOFTBALL RESTROOMS BLDG</v>
      </c>
      <c r="C313" t="s">
        <v>441</v>
      </c>
      <c r="D313" s="180" t="s">
        <v>29</v>
      </c>
      <c r="E313" t="s">
        <v>934</v>
      </c>
      <c r="F313" t="s">
        <v>935</v>
      </c>
      <c r="G313" s="180">
        <v>550</v>
      </c>
      <c r="H313">
        <v>1987</v>
      </c>
      <c r="J313" s="1334" t="s">
        <v>475</v>
      </c>
      <c r="K313" s="1335" t="s">
        <v>475</v>
      </c>
      <c r="L313" s="180">
        <v>0</v>
      </c>
      <c r="M313" t="s">
        <v>4</v>
      </c>
      <c r="N313" t="str">
        <f t="shared" si="18"/>
        <v>SOFTBALL RESTROOMS BLDG (P001)</v>
      </c>
      <c r="O313" t="s">
        <v>46</v>
      </c>
      <c r="P313" t="str">
        <f t="shared" si="19"/>
        <v>09000_P001</v>
      </c>
      <c r="Q313" s="180">
        <v>100</v>
      </c>
    </row>
    <row r="314" spans="1:17">
      <c r="A314" t="str">
        <f t="shared" si="16"/>
        <v>GSU_P002</v>
      </c>
      <c r="B314" t="str">
        <f t="shared" si="17"/>
        <v>GSU_SOFTBALL STORAGE BLDG</v>
      </c>
      <c r="C314" t="s">
        <v>441</v>
      </c>
      <c r="D314" s="180" t="s">
        <v>29</v>
      </c>
      <c r="E314" t="s">
        <v>1077</v>
      </c>
      <c r="F314" t="s">
        <v>1078</v>
      </c>
      <c r="G314" s="180">
        <v>239</v>
      </c>
      <c r="H314">
        <v>1987</v>
      </c>
      <c r="J314" s="1334" t="s">
        <v>475</v>
      </c>
      <c r="K314" s="1335" t="s">
        <v>475</v>
      </c>
      <c r="L314" s="180">
        <v>0</v>
      </c>
      <c r="M314" t="s">
        <v>4</v>
      </c>
      <c r="N314" t="str">
        <f t="shared" si="18"/>
        <v>SOFTBALL STORAGE BLDG (P002)</v>
      </c>
      <c r="O314" t="s">
        <v>46</v>
      </c>
      <c r="P314" t="str">
        <f t="shared" si="19"/>
        <v>09000_P002</v>
      </c>
      <c r="Q314" s="180">
        <v>100</v>
      </c>
    </row>
    <row r="315" spans="1:17">
      <c r="A315" t="str">
        <f t="shared" si="16"/>
        <v>GSU_P003</v>
      </c>
      <c r="B315" t="str">
        <f t="shared" si="17"/>
        <v>GSU_SOFTBALL UTILITY SHED</v>
      </c>
      <c r="C315" t="s">
        <v>441</v>
      </c>
      <c r="D315" s="180" t="s">
        <v>29</v>
      </c>
      <c r="E315" t="s">
        <v>1117</v>
      </c>
      <c r="F315" t="s">
        <v>1118</v>
      </c>
      <c r="G315" s="180">
        <v>120</v>
      </c>
      <c r="H315">
        <v>1987</v>
      </c>
      <c r="J315" s="1334" t="s">
        <v>475</v>
      </c>
      <c r="K315" s="1335" t="s">
        <v>475</v>
      </c>
      <c r="L315" s="180">
        <v>0</v>
      </c>
      <c r="M315" t="s">
        <v>4</v>
      </c>
      <c r="N315" t="str">
        <f t="shared" si="18"/>
        <v>SOFTBALL UTILITY SHED (P003)</v>
      </c>
      <c r="O315" t="s">
        <v>46</v>
      </c>
      <c r="P315" t="str">
        <f t="shared" si="19"/>
        <v>09000_P003</v>
      </c>
      <c r="Q315" s="180">
        <v>100</v>
      </c>
    </row>
    <row r="316" spans="1:17">
      <c r="A316" t="str">
        <f t="shared" si="16"/>
        <v>GSU_P004</v>
      </c>
      <c r="B316" t="str">
        <f t="shared" si="17"/>
        <v>GSU_SOFTBALL EQUIP STORAGE BLDG 1</v>
      </c>
      <c r="C316" t="s">
        <v>441</v>
      </c>
      <c r="D316" s="180" t="s">
        <v>29</v>
      </c>
      <c r="E316" t="s">
        <v>967</v>
      </c>
      <c r="F316" t="s">
        <v>968</v>
      </c>
      <c r="G316" s="180">
        <v>131</v>
      </c>
      <c r="H316">
        <v>1987</v>
      </c>
      <c r="J316" s="1334" t="s">
        <v>475</v>
      </c>
      <c r="K316" s="1335" t="s">
        <v>475</v>
      </c>
      <c r="L316" s="180">
        <v>0</v>
      </c>
      <c r="M316" t="s">
        <v>4</v>
      </c>
      <c r="N316" t="str">
        <f t="shared" si="18"/>
        <v>SOFTBALL EQUIP STORAGE BLDG 1 (P004)</v>
      </c>
      <c r="O316" t="s">
        <v>46</v>
      </c>
      <c r="P316" t="str">
        <f t="shared" si="19"/>
        <v>09000_P004</v>
      </c>
      <c r="Q316" s="180">
        <v>100</v>
      </c>
    </row>
    <row r="317" spans="1:17">
      <c r="A317" t="str">
        <f t="shared" si="16"/>
        <v>GSU_P005</v>
      </c>
      <c r="B317" t="str">
        <f t="shared" si="17"/>
        <v>GSU_SOFTBALL EQUIP STORAGE BLDG 2</v>
      </c>
      <c r="C317" t="s">
        <v>441</v>
      </c>
      <c r="D317" s="180" t="s">
        <v>29</v>
      </c>
      <c r="E317" t="s">
        <v>1057</v>
      </c>
      <c r="F317" t="s">
        <v>1058</v>
      </c>
      <c r="G317" s="180">
        <v>131</v>
      </c>
      <c r="H317">
        <v>1987</v>
      </c>
      <c r="J317" s="1334" t="s">
        <v>475</v>
      </c>
      <c r="K317" s="1335" t="s">
        <v>475</v>
      </c>
      <c r="L317" s="180">
        <v>0</v>
      </c>
      <c r="M317" t="s">
        <v>4</v>
      </c>
      <c r="N317" t="str">
        <f t="shared" si="18"/>
        <v>SOFTBALL EQUIP STORAGE BLDG 2 (P005)</v>
      </c>
      <c r="O317" t="s">
        <v>46</v>
      </c>
      <c r="P317" t="str">
        <f t="shared" si="19"/>
        <v>09000_P005</v>
      </c>
      <c r="Q317" s="180">
        <v>100</v>
      </c>
    </row>
    <row r="318" spans="1:17">
      <c r="A318" t="str">
        <f t="shared" si="16"/>
        <v>GSU_P006</v>
      </c>
      <c r="B318" t="str">
        <f t="shared" si="17"/>
        <v>GSU_SOFTBALL INDOOR PRACTICE FIELD</v>
      </c>
      <c r="C318" t="s">
        <v>441</v>
      </c>
      <c r="D318" s="180" t="s">
        <v>29</v>
      </c>
      <c r="E318" t="s">
        <v>940</v>
      </c>
      <c r="F318" t="s">
        <v>941</v>
      </c>
      <c r="G318" s="180">
        <v>16280</v>
      </c>
      <c r="H318">
        <v>1987</v>
      </c>
      <c r="J318" s="1334" t="s">
        <v>475</v>
      </c>
      <c r="K318" s="1335" t="s">
        <v>475</v>
      </c>
      <c r="L318" s="180">
        <v>0</v>
      </c>
      <c r="M318" t="s">
        <v>4</v>
      </c>
      <c r="N318" t="str">
        <f t="shared" si="18"/>
        <v>SOFTBALL INDOOR PRACTICE FIELD (P006)</v>
      </c>
      <c r="O318" t="s">
        <v>46</v>
      </c>
      <c r="P318" t="str">
        <f t="shared" si="19"/>
        <v>09000_P006</v>
      </c>
      <c r="Q318" s="180">
        <v>100</v>
      </c>
    </row>
    <row r="319" spans="1:17">
      <c r="A319" t="str">
        <f t="shared" si="16"/>
        <v>GSU_P007</v>
      </c>
      <c r="B319" t="str">
        <f t="shared" si="17"/>
        <v>GSU_FACILITIES GROUNDS MAINT BLDG</v>
      </c>
      <c r="C319" t="s">
        <v>441</v>
      </c>
      <c r="D319" s="180" t="s">
        <v>29</v>
      </c>
      <c r="E319" t="s">
        <v>927</v>
      </c>
      <c r="F319" t="s">
        <v>928</v>
      </c>
      <c r="G319" s="180">
        <v>398</v>
      </c>
      <c r="H319">
        <v>1987</v>
      </c>
      <c r="J319" s="1334" t="s">
        <v>475</v>
      </c>
      <c r="K319" s="1335" t="s">
        <v>475</v>
      </c>
      <c r="L319" s="180">
        <v>100</v>
      </c>
      <c r="M319" t="s">
        <v>4</v>
      </c>
      <c r="N319" t="str">
        <f t="shared" si="18"/>
        <v>FACILITIES GROUNDS MAINT BLDG (P007)</v>
      </c>
      <c r="O319" t="s">
        <v>46</v>
      </c>
      <c r="P319" t="str">
        <f t="shared" si="19"/>
        <v>09000_P007</v>
      </c>
      <c r="Q319" s="180">
        <v>99</v>
      </c>
    </row>
    <row r="320" spans="1:17">
      <c r="A320" t="str">
        <f t="shared" si="16"/>
        <v>GSU_P008</v>
      </c>
      <c r="B320" t="str">
        <f t="shared" si="17"/>
        <v>GSU_SOFTBALL PRESSBOX BLDG</v>
      </c>
      <c r="C320" t="s">
        <v>441</v>
      </c>
      <c r="D320" s="180" t="s">
        <v>29</v>
      </c>
      <c r="E320" t="s">
        <v>1025</v>
      </c>
      <c r="F320" t="s">
        <v>1026</v>
      </c>
      <c r="G320" s="180">
        <v>597</v>
      </c>
      <c r="H320">
        <v>1987</v>
      </c>
      <c r="J320" s="1334" t="s">
        <v>475</v>
      </c>
      <c r="K320" s="1335" t="s">
        <v>475</v>
      </c>
      <c r="L320" s="180">
        <v>0</v>
      </c>
      <c r="M320" t="s">
        <v>4</v>
      </c>
      <c r="N320" t="str">
        <f t="shared" si="18"/>
        <v>SOFTBALL PRESSBOX BLDG (P008)</v>
      </c>
      <c r="O320" t="s">
        <v>46</v>
      </c>
      <c r="P320" t="str">
        <f t="shared" si="19"/>
        <v>09000_P008</v>
      </c>
      <c r="Q320" s="180">
        <v>100</v>
      </c>
    </row>
    <row r="321" spans="1:17">
      <c r="A321" t="str">
        <f t="shared" si="16"/>
        <v>GSU_P009</v>
      </c>
      <c r="B321" t="str">
        <f t="shared" si="17"/>
        <v>GSU_FACILITIES TOOL SHOP BLDG</v>
      </c>
      <c r="C321" t="s">
        <v>441</v>
      </c>
      <c r="D321" s="180" t="s">
        <v>29</v>
      </c>
      <c r="E321" t="s">
        <v>969</v>
      </c>
      <c r="F321" t="s">
        <v>970</v>
      </c>
      <c r="G321" s="180">
        <v>2870</v>
      </c>
      <c r="H321">
        <v>1987</v>
      </c>
      <c r="J321" s="1334" t="s">
        <v>475</v>
      </c>
      <c r="K321" s="1335" t="s">
        <v>475</v>
      </c>
      <c r="L321" s="180">
        <v>100</v>
      </c>
      <c r="M321" t="s">
        <v>4</v>
      </c>
      <c r="N321" t="str">
        <f t="shared" si="18"/>
        <v>FACILITIES TOOL SHOP BLDG (P009)</v>
      </c>
      <c r="O321" t="s">
        <v>46</v>
      </c>
      <c r="P321" t="str">
        <f t="shared" si="19"/>
        <v>09000_P009</v>
      </c>
      <c r="Q321" s="180">
        <v>100</v>
      </c>
    </row>
    <row r="322" spans="1:17">
      <c r="A322" t="str">
        <f t="shared" si="16"/>
        <v>GSU_P010</v>
      </c>
      <c r="B322" t="str">
        <f t="shared" si="17"/>
        <v>GSU_RECREATION STORAGE BLDG</v>
      </c>
      <c r="C322" t="s">
        <v>441</v>
      </c>
      <c r="D322" s="180" t="s">
        <v>29</v>
      </c>
      <c r="E322" t="s">
        <v>961</v>
      </c>
      <c r="F322" t="s">
        <v>962</v>
      </c>
      <c r="G322" s="180">
        <v>156</v>
      </c>
      <c r="H322">
        <v>1987</v>
      </c>
      <c r="J322" s="1334" t="s">
        <v>475</v>
      </c>
      <c r="K322" s="1335" t="s">
        <v>475</v>
      </c>
      <c r="L322" s="180">
        <v>100</v>
      </c>
      <c r="M322" t="s">
        <v>4</v>
      </c>
      <c r="N322" t="str">
        <f t="shared" si="18"/>
        <v>RECREATION STORAGE BLDG (P010)</v>
      </c>
      <c r="O322" t="s">
        <v>46</v>
      </c>
      <c r="P322" t="str">
        <f t="shared" si="19"/>
        <v>09000_P010</v>
      </c>
      <c r="Q322" s="180">
        <v>100</v>
      </c>
    </row>
    <row r="323" spans="1:17">
      <c r="A323" t="str">
        <f t="shared" ref="A323:A386" si="20">_xlfn.CONCAT(D323,"_",E323)</f>
        <v>GSU_P011</v>
      </c>
      <c r="B323" t="str">
        <f t="shared" ref="B323:B386" si="21">_xlfn.CONCAT(D323,"_",F323)</f>
        <v>GSU_RECREATION RESTROOMS BLDG</v>
      </c>
      <c r="C323" t="s">
        <v>441</v>
      </c>
      <c r="D323" s="180" t="s">
        <v>29</v>
      </c>
      <c r="E323" t="s">
        <v>971</v>
      </c>
      <c r="F323" t="s">
        <v>972</v>
      </c>
      <c r="G323" s="180">
        <v>757</v>
      </c>
      <c r="H323">
        <v>1987</v>
      </c>
      <c r="J323" s="1334" t="s">
        <v>475</v>
      </c>
      <c r="K323" s="1335" t="s">
        <v>475</v>
      </c>
      <c r="L323" s="180">
        <v>100</v>
      </c>
      <c r="M323" t="s">
        <v>4</v>
      </c>
      <c r="N323" t="str">
        <f t="shared" ref="N323:N386" si="22">_xlfn.CONCAT(F323," (",E323,")")</f>
        <v>RECREATION RESTROOMS BLDG (P011)</v>
      </c>
      <c r="O323" t="s">
        <v>46</v>
      </c>
      <c r="P323" t="str">
        <f t="shared" ref="P323:P386" si="23">_xlfn.CONCAT(C323,"_",E323)</f>
        <v>09000_P011</v>
      </c>
      <c r="Q323" s="180">
        <v>100</v>
      </c>
    </row>
    <row r="324" spans="1:17">
      <c r="A324" t="str">
        <f t="shared" si="20"/>
        <v>GSU_P012</v>
      </c>
      <c r="B324" t="str">
        <f t="shared" si="21"/>
        <v>GSU_RECREATION EQUIP STORAGE BLDG</v>
      </c>
      <c r="C324" t="s">
        <v>441</v>
      </c>
      <c r="D324" s="180" t="s">
        <v>29</v>
      </c>
      <c r="E324" t="s">
        <v>1017</v>
      </c>
      <c r="F324" t="s">
        <v>1018</v>
      </c>
      <c r="G324" s="180">
        <v>852</v>
      </c>
      <c r="H324">
        <v>1987</v>
      </c>
      <c r="J324" s="1334" t="s">
        <v>475</v>
      </c>
      <c r="K324" s="1335" t="s">
        <v>475</v>
      </c>
      <c r="L324" s="180">
        <v>100</v>
      </c>
      <c r="M324" t="s">
        <v>4</v>
      </c>
      <c r="N324" t="str">
        <f t="shared" si="22"/>
        <v>RECREATION EQUIP STORAGE BLDG (P012)</v>
      </c>
      <c r="O324" t="s">
        <v>46</v>
      </c>
      <c r="P324" t="str">
        <f t="shared" si="23"/>
        <v>09000_P012</v>
      </c>
      <c r="Q324" s="180">
        <v>100</v>
      </c>
    </row>
    <row r="325" spans="1:17">
      <c r="A325" t="str">
        <f t="shared" si="20"/>
        <v>GSU_P013</v>
      </c>
      <c r="B325" t="str">
        <f t="shared" si="21"/>
        <v>GSU_SOCCER LOCKER ROOMS BLDG</v>
      </c>
      <c r="C325" t="s">
        <v>441</v>
      </c>
      <c r="D325" s="180" t="s">
        <v>29</v>
      </c>
      <c r="E325" t="s">
        <v>1103</v>
      </c>
      <c r="F325" t="s">
        <v>1104</v>
      </c>
      <c r="G325" s="180">
        <v>1895</v>
      </c>
      <c r="H325">
        <v>1987</v>
      </c>
      <c r="J325" s="1334" t="s">
        <v>475</v>
      </c>
      <c r="K325" s="1335" t="s">
        <v>475</v>
      </c>
      <c r="L325" s="180">
        <v>0</v>
      </c>
      <c r="M325" t="s">
        <v>4</v>
      </c>
      <c r="N325" t="str">
        <f t="shared" si="22"/>
        <v>SOCCER LOCKER ROOMS BLDG (P013)</v>
      </c>
      <c r="O325" t="s">
        <v>46</v>
      </c>
      <c r="P325" t="str">
        <f t="shared" si="23"/>
        <v>09000_P013</v>
      </c>
      <c r="Q325" s="180">
        <v>97</v>
      </c>
    </row>
    <row r="326" spans="1:17">
      <c r="A326" t="str">
        <f t="shared" si="20"/>
        <v>GSU_P014</v>
      </c>
      <c r="B326" t="str">
        <f t="shared" si="21"/>
        <v>GSU_SOCCER PRESSBOX BLDG</v>
      </c>
      <c r="C326" t="s">
        <v>441</v>
      </c>
      <c r="D326" s="180" t="s">
        <v>29</v>
      </c>
      <c r="E326" t="s">
        <v>996</v>
      </c>
      <c r="F326" t="s">
        <v>997</v>
      </c>
      <c r="G326" s="180">
        <v>142</v>
      </c>
      <c r="H326">
        <v>1987</v>
      </c>
      <c r="J326" s="1334" t="s">
        <v>475</v>
      </c>
      <c r="K326" s="1335" t="s">
        <v>475</v>
      </c>
      <c r="L326" s="180">
        <v>0</v>
      </c>
      <c r="M326" t="s">
        <v>4</v>
      </c>
      <c r="N326" t="str">
        <f t="shared" si="22"/>
        <v>SOCCER PRESSBOX BLDG (P014)</v>
      </c>
      <c r="O326" t="s">
        <v>46</v>
      </c>
      <c r="P326" t="str">
        <f t="shared" si="23"/>
        <v>09000_P014</v>
      </c>
      <c r="Q326" s="180">
        <v>100</v>
      </c>
    </row>
    <row r="327" spans="1:17">
      <c r="A327" t="str">
        <f t="shared" si="20"/>
        <v>GSU_P015</v>
      </c>
      <c r="B327" t="str">
        <f t="shared" si="21"/>
        <v>GSU_BASEBALL LOCKER ROOMS BLDG</v>
      </c>
      <c r="C327" t="s">
        <v>441</v>
      </c>
      <c r="D327" s="180" t="s">
        <v>29</v>
      </c>
      <c r="E327" t="s">
        <v>1037</v>
      </c>
      <c r="F327" t="s">
        <v>1038</v>
      </c>
      <c r="G327" s="180">
        <v>2280</v>
      </c>
      <c r="H327">
        <v>1987</v>
      </c>
      <c r="J327" s="1334" t="s">
        <v>475</v>
      </c>
      <c r="K327" s="1335" t="s">
        <v>475</v>
      </c>
      <c r="L327" s="180">
        <v>0</v>
      </c>
      <c r="M327" t="s">
        <v>4</v>
      </c>
      <c r="N327" t="str">
        <f t="shared" si="22"/>
        <v>BASEBALL LOCKER ROOMS BLDG (P015)</v>
      </c>
      <c r="O327" t="s">
        <v>46</v>
      </c>
      <c r="P327" t="str">
        <f t="shared" si="23"/>
        <v>09000_P015</v>
      </c>
      <c r="Q327" s="180">
        <v>88</v>
      </c>
    </row>
    <row r="328" spans="1:17">
      <c r="A328" t="str">
        <f t="shared" si="20"/>
        <v>GSU_P016</v>
      </c>
      <c r="B328" t="str">
        <f t="shared" si="21"/>
        <v>GSU_BASEBALL RESTROOOMS BLDG</v>
      </c>
      <c r="C328" t="s">
        <v>441</v>
      </c>
      <c r="D328" s="180" t="s">
        <v>29</v>
      </c>
      <c r="E328" t="s">
        <v>944</v>
      </c>
      <c r="F328" t="s">
        <v>945</v>
      </c>
      <c r="G328" s="180">
        <v>936</v>
      </c>
      <c r="H328">
        <v>1987</v>
      </c>
      <c r="J328" s="1334" t="s">
        <v>475</v>
      </c>
      <c r="K328" s="1335" t="s">
        <v>475</v>
      </c>
      <c r="L328" s="180">
        <v>0</v>
      </c>
      <c r="M328" t="s">
        <v>4</v>
      </c>
      <c r="N328" t="str">
        <f t="shared" si="22"/>
        <v>BASEBALL RESTROOOMS BLDG (P016)</v>
      </c>
      <c r="O328" t="s">
        <v>46</v>
      </c>
      <c r="P328" t="str">
        <f t="shared" si="23"/>
        <v>09000_P016</v>
      </c>
      <c r="Q328" s="180">
        <v>100</v>
      </c>
    </row>
    <row r="329" spans="1:17">
      <c r="A329" t="str">
        <f t="shared" si="20"/>
        <v>GSU_P017</v>
      </c>
      <c r="B329" t="str">
        <f t="shared" si="21"/>
        <v>GSU_BASEBALL STORAGE BLDG</v>
      </c>
      <c r="C329" t="s">
        <v>441</v>
      </c>
      <c r="D329" s="180" t="s">
        <v>29</v>
      </c>
      <c r="E329" t="s">
        <v>1123</v>
      </c>
      <c r="F329" t="s">
        <v>1124</v>
      </c>
      <c r="G329" s="180">
        <v>713</v>
      </c>
      <c r="H329">
        <v>1987</v>
      </c>
      <c r="J329" s="1334" t="s">
        <v>475</v>
      </c>
      <c r="K329" s="1335" t="s">
        <v>475</v>
      </c>
      <c r="L329" s="180">
        <v>0</v>
      </c>
      <c r="M329" t="s">
        <v>4</v>
      </c>
      <c r="N329" t="str">
        <f t="shared" si="22"/>
        <v>BASEBALL STORAGE BLDG (P017)</v>
      </c>
      <c r="O329" t="s">
        <v>46</v>
      </c>
      <c r="P329" t="str">
        <f t="shared" si="23"/>
        <v>09000_P017</v>
      </c>
      <c r="Q329" s="180">
        <v>100</v>
      </c>
    </row>
    <row r="330" spans="1:17">
      <c r="A330" t="str">
        <f t="shared" si="20"/>
        <v>GSU_S001</v>
      </c>
      <c r="B330" t="str">
        <f t="shared" si="21"/>
        <v>GSU_BLDG SA (Administration)</v>
      </c>
      <c r="C330" t="s">
        <v>441</v>
      </c>
      <c r="D330" s="180" t="s">
        <v>29</v>
      </c>
      <c r="E330" t="s">
        <v>1021</v>
      </c>
      <c r="F330" t="s">
        <v>1022</v>
      </c>
      <c r="G330" s="180">
        <v>62955</v>
      </c>
      <c r="H330">
        <v>1970</v>
      </c>
      <c r="J330" s="1334" t="s">
        <v>475</v>
      </c>
      <c r="K330" s="1335" t="s">
        <v>475</v>
      </c>
      <c r="L330" s="180">
        <v>100</v>
      </c>
      <c r="M330" t="s">
        <v>90</v>
      </c>
      <c r="N330" t="str">
        <f t="shared" si="22"/>
        <v>BLDG SA (Administration) (S001)</v>
      </c>
      <c r="O330" t="s">
        <v>46</v>
      </c>
      <c r="P330" t="str">
        <f t="shared" si="23"/>
        <v>09000_S001</v>
      </c>
      <c r="Q330" s="180">
        <v>100</v>
      </c>
    </row>
    <row r="331" spans="1:17">
      <c r="A331" t="str">
        <f t="shared" si="20"/>
        <v>GSU_S002</v>
      </c>
      <c r="B331" t="str">
        <f t="shared" si="21"/>
        <v>GSU_BLDG SB (Main Classroom)</v>
      </c>
      <c r="C331" t="s">
        <v>441</v>
      </c>
      <c r="D331" s="180" t="s">
        <v>29</v>
      </c>
      <c r="E331" t="s">
        <v>973</v>
      </c>
      <c r="F331" t="s">
        <v>974</v>
      </c>
      <c r="G331" s="180">
        <v>52075</v>
      </c>
      <c r="H331">
        <v>1970</v>
      </c>
      <c r="J331" s="1334" t="s">
        <v>475</v>
      </c>
      <c r="K331" s="1335" t="s">
        <v>475</v>
      </c>
      <c r="L331" s="180">
        <v>99</v>
      </c>
      <c r="M331" t="s">
        <v>90</v>
      </c>
      <c r="N331" t="str">
        <f t="shared" si="22"/>
        <v>BLDG SB (Main Classroom) (S002)</v>
      </c>
      <c r="O331" t="s">
        <v>46</v>
      </c>
      <c r="P331" t="str">
        <f t="shared" si="23"/>
        <v>09000_S002</v>
      </c>
      <c r="Q331" s="180">
        <v>100</v>
      </c>
    </row>
    <row r="332" spans="1:17">
      <c r="A332" t="str">
        <f t="shared" si="20"/>
        <v>GSU_S003</v>
      </c>
      <c r="B332" t="str">
        <f t="shared" si="21"/>
        <v>GSU_BLDG SC (Physical Education)</v>
      </c>
      <c r="C332" t="s">
        <v>441</v>
      </c>
      <c r="D332" s="180" t="s">
        <v>29</v>
      </c>
      <c r="E332" t="s">
        <v>1048</v>
      </c>
      <c r="F332" t="s">
        <v>1049</v>
      </c>
      <c r="G332" s="180">
        <v>105344</v>
      </c>
      <c r="H332">
        <v>1970</v>
      </c>
      <c r="J332" s="1334" t="s">
        <v>475</v>
      </c>
      <c r="K332" s="1335" t="s">
        <v>475</v>
      </c>
      <c r="L332" s="180">
        <v>97</v>
      </c>
      <c r="M332" t="s">
        <v>90</v>
      </c>
      <c r="N332" t="str">
        <f t="shared" si="22"/>
        <v>BLDG SC (Physical Education) (S003)</v>
      </c>
      <c r="O332" t="s">
        <v>46</v>
      </c>
      <c r="P332" t="str">
        <f t="shared" si="23"/>
        <v>09000_S003</v>
      </c>
      <c r="Q332" s="180">
        <v>100</v>
      </c>
    </row>
    <row r="333" spans="1:17">
      <c r="A333" t="str">
        <f t="shared" si="20"/>
        <v>GSU_S004</v>
      </c>
      <c r="B333" t="str">
        <f t="shared" si="21"/>
        <v>GSU_BLDG SD (Plant Operations)</v>
      </c>
      <c r="C333" t="s">
        <v>441</v>
      </c>
      <c r="D333" s="180" t="s">
        <v>29</v>
      </c>
      <c r="E333" t="s">
        <v>936</v>
      </c>
      <c r="F333" t="s">
        <v>937</v>
      </c>
      <c r="G333" s="180">
        <v>5620</v>
      </c>
      <c r="H333">
        <v>1981</v>
      </c>
      <c r="J333" s="1334" t="s">
        <v>475</v>
      </c>
      <c r="K333" s="1335" t="s">
        <v>475</v>
      </c>
      <c r="L333" s="180">
        <v>100</v>
      </c>
      <c r="M333" t="s">
        <v>90</v>
      </c>
      <c r="N333" t="str">
        <f t="shared" si="22"/>
        <v>BLDG SD (Plant Operations) (S004)</v>
      </c>
      <c r="O333" t="s">
        <v>46</v>
      </c>
      <c r="P333" t="str">
        <f t="shared" si="23"/>
        <v>09000_S004</v>
      </c>
      <c r="Q333" s="180">
        <v>100</v>
      </c>
    </row>
    <row r="334" spans="1:17">
      <c r="A334" t="str">
        <f t="shared" si="20"/>
        <v>GSU_S005</v>
      </c>
      <c r="B334" t="str">
        <f t="shared" si="21"/>
        <v>GSU_BLDG SE (Greenhouse)</v>
      </c>
      <c r="C334" t="s">
        <v>441</v>
      </c>
      <c r="D334" s="180" t="s">
        <v>29</v>
      </c>
      <c r="E334" t="s">
        <v>1128</v>
      </c>
      <c r="F334" t="s">
        <v>1129</v>
      </c>
      <c r="G334" s="180">
        <v>1898</v>
      </c>
      <c r="H334">
        <v>1983</v>
      </c>
      <c r="J334" s="1334" t="s">
        <v>475</v>
      </c>
      <c r="K334" s="1335" t="s">
        <v>475</v>
      </c>
      <c r="L334" s="180">
        <v>100</v>
      </c>
      <c r="M334" t="s">
        <v>90</v>
      </c>
      <c r="N334" t="str">
        <f t="shared" si="22"/>
        <v>BLDG SE (Greenhouse) (S005)</v>
      </c>
      <c r="O334" t="s">
        <v>46</v>
      </c>
      <c r="P334" t="str">
        <f t="shared" si="23"/>
        <v>09000_S005</v>
      </c>
      <c r="Q334" s="180">
        <v>100</v>
      </c>
    </row>
    <row r="335" spans="1:17">
      <c r="A335" t="str">
        <f t="shared" si="20"/>
        <v>GSU_S006</v>
      </c>
      <c r="B335" t="str">
        <f t="shared" si="21"/>
        <v>GSU_BLDG SF (Student Success)</v>
      </c>
      <c r="C335" t="s">
        <v>441</v>
      </c>
      <c r="D335" s="180" t="s">
        <v>29</v>
      </c>
      <c r="E335" t="s">
        <v>1065</v>
      </c>
      <c r="F335" t="s">
        <v>1066</v>
      </c>
      <c r="G335" s="180">
        <v>29596</v>
      </c>
      <c r="H335">
        <v>2009</v>
      </c>
      <c r="J335" s="1334" t="s">
        <v>486</v>
      </c>
      <c r="K335" s="1335" t="s">
        <v>475</v>
      </c>
      <c r="L335" s="180">
        <v>100</v>
      </c>
      <c r="M335" t="s">
        <v>90</v>
      </c>
      <c r="N335" t="str">
        <f t="shared" si="22"/>
        <v>BLDG SF (Student Success) (S006)</v>
      </c>
      <c r="O335" t="s">
        <v>46</v>
      </c>
      <c r="P335" t="str">
        <f t="shared" si="23"/>
        <v>09000_S006</v>
      </c>
      <c r="Q335" s="180">
        <v>100</v>
      </c>
    </row>
    <row r="336" spans="1:17">
      <c r="A336" t="str">
        <f t="shared" si="20"/>
        <v>GSU_S007</v>
      </c>
      <c r="B336" t="str">
        <f t="shared" si="21"/>
        <v>GSU_BLDG SG (Protective Services)</v>
      </c>
      <c r="C336" t="s">
        <v>441</v>
      </c>
      <c r="D336" s="180" t="s">
        <v>29</v>
      </c>
      <c r="E336" t="s">
        <v>1090</v>
      </c>
      <c r="F336" t="s">
        <v>1091</v>
      </c>
      <c r="G336" s="180">
        <v>464</v>
      </c>
      <c r="H336">
        <v>1994</v>
      </c>
      <c r="J336" s="1334" t="s">
        <v>475</v>
      </c>
      <c r="K336" s="1335" t="s">
        <v>475</v>
      </c>
      <c r="L336" s="180">
        <v>100</v>
      </c>
      <c r="M336" t="s">
        <v>90</v>
      </c>
      <c r="N336" t="str">
        <f t="shared" si="22"/>
        <v>BLDG SG (Protective Services) (S007)</v>
      </c>
      <c r="O336" t="s">
        <v>46</v>
      </c>
      <c r="P336" t="str">
        <f t="shared" si="23"/>
        <v>09000_S007</v>
      </c>
      <c r="Q336" s="180">
        <v>80</v>
      </c>
    </row>
    <row r="337" spans="1:17">
      <c r="A337" t="str">
        <f t="shared" si="20"/>
        <v>GSU_S008</v>
      </c>
      <c r="B337" t="str">
        <f t="shared" si="21"/>
        <v>GSU_BLDG SH (Classrooms)</v>
      </c>
      <c r="C337" t="s">
        <v>441</v>
      </c>
      <c r="D337" s="180" t="s">
        <v>29</v>
      </c>
      <c r="E337" t="s">
        <v>1034</v>
      </c>
      <c r="F337" t="s">
        <v>1035</v>
      </c>
      <c r="G337" s="180">
        <v>6614</v>
      </c>
      <c r="H337">
        <v>2010</v>
      </c>
      <c r="I337">
        <v>2010</v>
      </c>
      <c r="J337" s="1334" t="s">
        <v>475</v>
      </c>
      <c r="K337" s="1335" t="s">
        <v>475</v>
      </c>
      <c r="L337" s="180">
        <v>100</v>
      </c>
      <c r="M337" t="s">
        <v>90</v>
      </c>
      <c r="N337" t="str">
        <f t="shared" si="22"/>
        <v>BLDG SH (Classrooms) (S008)</v>
      </c>
      <c r="O337" t="s">
        <v>46</v>
      </c>
      <c r="P337" t="str">
        <f t="shared" si="23"/>
        <v>09000_S008</v>
      </c>
      <c r="Q337" s="180">
        <v>100</v>
      </c>
    </row>
    <row r="338" spans="1:17">
      <c r="A338" t="str">
        <f t="shared" si="20"/>
        <v>AU_F101</v>
      </c>
      <c r="B338" t="str">
        <f t="shared" si="21"/>
        <v>AU_Field House Stor 1Minor</v>
      </c>
      <c r="C338" t="s">
        <v>442</v>
      </c>
      <c r="D338" s="180" t="s">
        <v>61</v>
      </c>
      <c r="E338" t="s">
        <v>1360</v>
      </c>
      <c r="F338" t="s">
        <v>1361</v>
      </c>
      <c r="G338" s="180">
        <v>1920</v>
      </c>
      <c r="H338">
        <v>1994</v>
      </c>
      <c r="J338" s="1334" t="s">
        <v>475</v>
      </c>
      <c r="K338" s="1335" t="s">
        <v>475</v>
      </c>
      <c r="L338" s="180">
        <v>100</v>
      </c>
      <c r="M338" t="s">
        <v>74</v>
      </c>
      <c r="N338" t="str">
        <f t="shared" si="22"/>
        <v>Field House Stor 1Minor (F101)</v>
      </c>
      <c r="O338" t="s">
        <v>62</v>
      </c>
      <c r="P338" t="str">
        <f t="shared" si="23"/>
        <v>12000_F101</v>
      </c>
      <c r="Q338" s="180">
        <v>100</v>
      </c>
    </row>
    <row r="339" spans="1:17">
      <c r="A339" t="str">
        <f t="shared" si="20"/>
        <v>AU_F102</v>
      </c>
      <c r="B339" t="str">
        <f t="shared" si="21"/>
        <v>AU_Field House Storage 3</v>
      </c>
      <c r="C339" t="s">
        <v>442</v>
      </c>
      <c r="D339" s="180" t="s">
        <v>61</v>
      </c>
      <c r="E339" t="s">
        <v>1317</v>
      </c>
      <c r="F339" t="s">
        <v>1318</v>
      </c>
      <c r="G339" s="180">
        <v>1845</v>
      </c>
      <c r="H339">
        <v>1998</v>
      </c>
      <c r="J339" s="1334" t="s">
        <v>475</v>
      </c>
      <c r="K339" s="1335" t="s">
        <v>475</v>
      </c>
      <c r="L339" s="180">
        <v>100</v>
      </c>
      <c r="M339" t="s">
        <v>74</v>
      </c>
      <c r="N339" t="str">
        <f t="shared" si="22"/>
        <v>Field House Storage 3 (F102)</v>
      </c>
      <c r="O339" t="s">
        <v>62</v>
      </c>
      <c r="P339" t="str">
        <f t="shared" si="23"/>
        <v>12000_F102</v>
      </c>
      <c r="Q339" s="180">
        <v>100</v>
      </c>
    </row>
    <row r="340" spans="1:17">
      <c r="A340" t="str">
        <f t="shared" si="20"/>
        <v>AU_F103</v>
      </c>
      <c r="B340" t="str">
        <f t="shared" si="21"/>
        <v>AU_Christenberry Field House</v>
      </c>
      <c r="C340" t="s">
        <v>442</v>
      </c>
      <c r="D340" s="180" t="s">
        <v>61</v>
      </c>
      <c r="E340" t="s">
        <v>1418</v>
      </c>
      <c r="F340" t="s">
        <v>1419</v>
      </c>
      <c r="G340" s="180">
        <v>110630</v>
      </c>
      <c r="H340">
        <v>1987</v>
      </c>
      <c r="J340" s="1334" t="s">
        <v>475</v>
      </c>
      <c r="K340" s="1335" t="s">
        <v>475</v>
      </c>
      <c r="L340" s="180">
        <v>99</v>
      </c>
      <c r="M340" t="s">
        <v>74</v>
      </c>
      <c r="N340" t="str">
        <f t="shared" si="22"/>
        <v>Christenberry Field House (F103)</v>
      </c>
      <c r="O340" t="s">
        <v>62</v>
      </c>
      <c r="P340" t="str">
        <f t="shared" si="23"/>
        <v>12000_F103</v>
      </c>
      <c r="Q340" s="180">
        <v>0</v>
      </c>
    </row>
    <row r="341" spans="1:17">
      <c r="A341" t="str">
        <f t="shared" si="20"/>
        <v>AU_F104</v>
      </c>
      <c r="B341" t="str">
        <f t="shared" si="21"/>
        <v>AU_Norvell Golf House</v>
      </c>
      <c r="C341" t="s">
        <v>442</v>
      </c>
      <c r="D341" s="180" t="s">
        <v>61</v>
      </c>
      <c r="E341" t="s">
        <v>1335</v>
      </c>
      <c r="F341" t="s">
        <v>1336</v>
      </c>
      <c r="G341" s="180">
        <v>5942</v>
      </c>
      <c r="H341">
        <v>2006</v>
      </c>
      <c r="J341" s="1334" t="s">
        <v>475</v>
      </c>
      <c r="K341" s="1335" t="s">
        <v>475</v>
      </c>
      <c r="L341" s="180">
        <v>100</v>
      </c>
      <c r="M341" t="s">
        <v>74</v>
      </c>
      <c r="N341" t="str">
        <f t="shared" si="22"/>
        <v>Norvell Golf House (F104)</v>
      </c>
      <c r="O341" t="s">
        <v>62</v>
      </c>
      <c r="P341" t="str">
        <f t="shared" si="23"/>
        <v>12000_F104</v>
      </c>
      <c r="Q341" s="180">
        <v>50</v>
      </c>
    </row>
    <row r="342" spans="1:17">
      <c r="A342" t="str">
        <f t="shared" si="20"/>
        <v>AU_F105</v>
      </c>
      <c r="B342" t="str">
        <f t="shared" si="21"/>
        <v>AU_Norvell Golf Hitting Bay</v>
      </c>
      <c r="C342" t="s">
        <v>442</v>
      </c>
      <c r="D342" s="180" t="s">
        <v>61</v>
      </c>
      <c r="E342" t="s">
        <v>1224</v>
      </c>
      <c r="F342" t="s">
        <v>1225</v>
      </c>
      <c r="G342" s="180">
        <v>1328</v>
      </c>
      <c r="H342">
        <v>2006</v>
      </c>
      <c r="J342" s="1334" t="s">
        <v>475</v>
      </c>
      <c r="K342" s="1335" t="s">
        <v>475</v>
      </c>
      <c r="L342" s="180">
        <v>100</v>
      </c>
      <c r="M342" t="s">
        <v>74</v>
      </c>
      <c r="N342" t="str">
        <f t="shared" si="22"/>
        <v>Norvell Golf Hitting Bay (F105)</v>
      </c>
      <c r="O342" t="s">
        <v>62</v>
      </c>
      <c r="P342" t="str">
        <f t="shared" si="23"/>
        <v>12000_F105</v>
      </c>
      <c r="Q342" s="180">
        <v>0</v>
      </c>
    </row>
    <row r="343" spans="1:17">
      <c r="A343" t="str">
        <f t="shared" si="20"/>
        <v>AU_F106</v>
      </c>
      <c r="B343" t="str">
        <f t="shared" si="21"/>
        <v>AU_Athletic Field #1 Shed</v>
      </c>
      <c r="C343" t="s">
        <v>442</v>
      </c>
      <c r="D343" s="180" t="s">
        <v>61</v>
      </c>
      <c r="E343" t="s">
        <v>7596</v>
      </c>
      <c r="F343" t="s">
        <v>7663</v>
      </c>
      <c r="G343" s="180">
        <v>64</v>
      </c>
      <c r="H343">
        <v>2021</v>
      </c>
      <c r="J343" s="1334" t="s">
        <v>475</v>
      </c>
      <c r="K343" s="1335" t="s">
        <v>475</v>
      </c>
      <c r="L343" s="180">
        <v>100</v>
      </c>
      <c r="M343" t="s">
        <v>74</v>
      </c>
      <c r="N343" t="str">
        <f t="shared" si="22"/>
        <v>Athletic Field #1 Shed (F106)</v>
      </c>
      <c r="O343" t="s">
        <v>62</v>
      </c>
      <c r="P343" t="str">
        <f t="shared" si="23"/>
        <v>12000_F106</v>
      </c>
      <c r="Q343" s="180">
        <v>0</v>
      </c>
    </row>
    <row r="344" spans="1:17">
      <c r="A344" t="str">
        <f t="shared" si="20"/>
        <v>AU_F107</v>
      </c>
      <c r="B344" t="str">
        <f t="shared" si="21"/>
        <v>AU_Athletic Field #2 Shed</v>
      </c>
      <c r="C344" t="s">
        <v>442</v>
      </c>
      <c r="D344" s="180" t="s">
        <v>61</v>
      </c>
      <c r="E344" t="s">
        <v>7597</v>
      </c>
      <c r="F344" t="s">
        <v>7664</v>
      </c>
      <c r="G344" s="180">
        <v>64</v>
      </c>
      <c r="H344">
        <v>2021</v>
      </c>
      <c r="J344" s="1334" t="s">
        <v>475</v>
      </c>
      <c r="K344" s="1335" t="s">
        <v>475</v>
      </c>
      <c r="L344" s="180">
        <v>100</v>
      </c>
      <c r="M344" t="s">
        <v>74</v>
      </c>
      <c r="N344" t="str">
        <f t="shared" si="22"/>
        <v>Athletic Field #2 Shed (F107)</v>
      </c>
      <c r="O344" t="s">
        <v>62</v>
      </c>
      <c r="P344" t="str">
        <f t="shared" si="23"/>
        <v>12000_F107</v>
      </c>
      <c r="Q344" s="180">
        <v>0</v>
      </c>
    </row>
    <row r="345" spans="1:17">
      <c r="A345" t="str">
        <f t="shared" si="20"/>
        <v>AU_F108</v>
      </c>
      <c r="B345" t="str">
        <f t="shared" si="21"/>
        <v>AU_Christenberry Batting Cage</v>
      </c>
      <c r="C345" t="s">
        <v>442</v>
      </c>
      <c r="D345" s="180" t="s">
        <v>61</v>
      </c>
      <c r="E345" t="s">
        <v>7598</v>
      </c>
      <c r="F345" t="s">
        <v>7665</v>
      </c>
      <c r="G345" s="180">
        <v>2100</v>
      </c>
      <c r="H345">
        <v>2024</v>
      </c>
      <c r="J345" s="1334" t="s">
        <v>475</v>
      </c>
      <c r="K345" s="1335" t="s">
        <v>475</v>
      </c>
      <c r="L345" s="180">
        <v>0</v>
      </c>
      <c r="M345" t="s">
        <v>74</v>
      </c>
      <c r="N345" t="str">
        <f t="shared" si="22"/>
        <v>Christenberry Batting Cage (F108)</v>
      </c>
      <c r="O345" t="s">
        <v>62</v>
      </c>
      <c r="P345" t="str">
        <f t="shared" si="23"/>
        <v>12000_F108</v>
      </c>
      <c r="Q345" s="180">
        <v>0</v>
      </c>
    </row>
    <row r="346" spans="1:17">
      <c r="A346" t="str">
        <f t="shared" si="20"/>
        <v>AU_F201</v>
      </c>
      <c r="B346" t="str">
        <f t="shared" si="21"/>
        <v>AU_Forest Hills Range Building</v>
      </c>
      <c r="C346" t="s">
        <v>442</v>
      </c>
      <c r="D346" s="180" t="s">
        <v>61</v>
      </c>
      <c r="E346" t="s">
        <v>1283</v>
      </c>
      <c r="F346" t="s">
        <v>1284</v>
      </c>
      <c r="G346" s="180">
        <v>163</v>
      </c>
      <c r="H346">
        <v>1986</v>
      </c>
      <c r="J346" s="1334" t="s">
        <v>475</v>
      </c>
      <c r="K346" s="1335" t="s">
        <v>475</v>
      </c>
      <c r="L346" s="180">
        <v>100</v>
      </c>
      <c r="M346" t="s">
        <v>74</v>
      </c>
      <c r="N346" t="str">
        <f t="shared" si="22"/>
        <v>Forest Hills Range Building (F201)</v>
      </c>
      <c r="O346" t="s">
        <v>62</v>
      </c>
      <c r="P346" t="str">
        <f t="shared" si="23"/>
        <v>12000_F201</v>
      </c>
      <c r="Q346" s="180">
        <v>0</v>
      </c>
    </row>
    <row r="347" spans="1:17">
      <c r="A347" t="str">
        <f t="shared" si="20"/>
        <v>AU_F202</v>
      </c>
      <c r="B347" t="str">
        <f t="shared" si="21"/>
        <v>AU_Forest Hills #3 Shed</v>
      </c>
      <c r="C347" t="s">
        <v>442</v>
      </c>
      <c r="D347" s="180" t="s">
        <v>61</v>
      </c>
      <c r="E347" t="s">
        <v>1216</v>
      </c>
      <c r="F347" t="s">
        <v>1217</v>
      </c>
      <c r="G347" s="180">
        <v>324</v>
      </c>
      <c r="H347">
        <v>2000</v>
      </c>
      <c r="J347" s="1334" t="s">
        <v>475</v>
      </c>
      <c r="K347" s="1335" t="s">
        <v>475</v>
      </c>
      <c r="L347" s="180">
        <v>100</v>
      </c>
      <c r="M347" t="s">
        <v>74</v>
      </c>
      <c r="N347" t="str">
        <f t="shared" si="22"/>
        <v>Forest Hills #3 Shed (F202)</v>
      </c>
      <c r="O347" t="s">
        <v>62</v>
      </c>
      <c r="P347" t="str">
        <f t="shared" si="23"/>
        <v>12000_F202</v>
      </c>
      <c r="Q347" s="180">
        <v>0</v>
      </c>
    </row>
    <row r="348" spans="1:17">
      <c r="A348" t="str">
        <f t="shared" si="20"/>
        <v>AU_F203</v>
      </c>
      <c r="B348" t="str">
        <f t="shared" si="21"/>
        <v>AU_Forest Hills Storage</v>
      </c>
      <c r="C348" t="s">
        <v>442</v>
      </c>
      <c r="D348" s="180" t="s">
        <v>61</v>
      </c>
      <c r="E348" t="s">
        <v>1171</v>
      </c>
      <c r="F348" t="s">
        <v>1172</v>
      </c>
      <c r="G348" s="180">
        <v>64</v>
      </c>
      <c r="H348">
        <v>2000</v>
      </c>
      <c r="J348" s="1334" t="s">
        <v>475</v>
      </c>
      <c r="K348" s="1335" t="s">
        <v>475</v>
      </c>
      <c r="L348" s="180">
        <v>100</v>
      </c>
      <c r="M348" t="s">
        <v>74</v>
      </c>
      <c r="N348" t="str">
        <f t="shared" si="22"/>
        <v>Forest Hills Storage (F203)</v>
      </c>
      <c r="O348" t="s">
        <v>62</v>
      </c>
      <c r="P348" t="str">
        <f t="shared" si="23"/>
        <v>12000_F203</v>
      </c>
      <c r="Q348" s="180">
        <v>0</v>
      </c>
    </row>
    <row r="349" spans="1:17">
      <c r="A349" t="str">
        <f t="shared" si="20"/>
        <v>AU_F204</v>
      </c>
      <c r="B349" t="str">
        <f t="shared" si="21"/>
        <v>AU_Forest Hills Lower Pumphouse</v>
      </c>
      <c r="C349" t="s">
        <v>442</v>
      </c>
      <c r="D349" s="180" t="s">
        <v>61</v>
      </c>
      <c r="E349" t="s">
        <v>1149</v>
      </c>
      <c r="F349" t="s">
        <v>1150</v>
      </c>
      <c r="G349" s="180">
        <v>194</v>
      </c>
      <c r="H349">
        <v>2000</v>
      </c>
      <c r="J349" s="1334" t="s">
        <v>475</v>
      </c>
      <c r="K349" s="1335" t="s">
        <v>475</v>
      </c>
      <c r="L349" s="180">
        <v>100</v>
      </c>
      <c r="M349" t="s">
        <v>74</v>
      </c>
      <c r="N349" t="str">
        <f t="shared" si="22"/>
        <v>Forest Hills Lower Pumphouse (F204)</v>
      </c>
      <c r="O349" t="s">
        <v>62</v>
      </c>
      <c r="P349" t="str">
        <f t="shared" si="23"/>
        <v>12000_F204</v>
      </c>
      <c r="Q349" s="180">
        <v>0</v>
      </c>
    </row>
    <row r="350" spans="1:17">
      <c r="A350" t="str">
        <f t="shared" si="20"/>
        <v>AU_F205</v>
      </c>
      <c r="B350" t="str">
        <f t="shared" si="21"/>
        <v>AU_Forest Hills Cart Storage</v>
      </c>
      <c r="C350" t="s">
        <v>442</v>
      </c>
      <c r="D350" s="180" t="s">
        <v>61</v>
      </c>
      <c r="E350" t="s">
        <v>1241</v>
      </c>
      <c r="F350" t="s">
        <v>1242</v>
      </c>
      <c r="G350" s="180">
        <v>8930</v>
      </c>
      <c r="H350">
        <v>1950</v>
      </c>
      <c r="J350" s="1334" t="s">
        <v>475</v>
      </c>
      <c r="K350" s="1335" t="s">
        <v>475</v>
      </c>
      <c r="L350" s="180">
        <v>100</v>
      </c>
      <c r="M350" t="s">
        <v>74</v>
      </c>
      <c r="N350" t="str">
        <f t="shared" si="22"/>
        <v>Forest Hills Cart Storage (F205)</v>
      </c>
      <c r="O350" t="s">
        <v>62</v>
      </c>
      <c r="P350" t="str">
        <f t="shared" si="23"/>
        <v>12000_F205</v>
      </c>
      <c r="Q350" s="180">
        <v>60</v>
      </c>
    </row>
    <row r="351" spans="1:17">
      <c r="A351" t="str">
        <f t="shared" si="20"/>
        <v>AU_F206</v>
      </c>
      <c r="B351" t="str">
        <f t="shared" si="21"/>
        <v>AU_Forest Hills Golf Club</v>
      </c>
      <c r="C351" t="s">
        <v>442</v>
      </c>
      <c r="D351" s="180" t="s">
        <v>61</v>
      </c>
      <c r="E351" t="s">
        <v>1234</v>
      </c>
      <c r="F351" t="s">
        <v>1235</v>
      </c>
      <c r="G351" s="180">
        <v>11450</v>
      </c>
      <c r="H351">
        <v>1991</v>
      </c>
      <c r="J351" s="1334" t="s">
        <v>475</v>
      </c>
      <c r="K351" s="1335" t="s">
        <v>475</v>
      </c>
      <c r="L351" s="180">
        <v>100</v>
      </c>
      <c r="M351" t="s">
        <v>74</v>
      </c>
      <c r="N351" t="str">
        <f t="shared" si="22"/>
        <v>Forest Hills Golf Club (F206)</v>
      </c>
      <c r="O351" t="s">
        <v>62</v>
      </c>
      <c r="P351" t="str">
        <f t="shared" si="23"/>
        <v>12000_F206</v>
      </c>
      <c r="Q351" s="180">
        <v>70</v>
      </c>
    </row>
    <row r="352" spans="1:17">
      <c r="A352" t="str">
        <f t="shared" si="20"/>
        <v>AU_F207</v>
      </c>
      <c r="B352" t="str">
        <f t="shared" si="21"/>
        <v>AU_Forest Hills Warehouse 1</v>
      </c>
      <c r="C352" t="s">
        <v>442</v>
      </c>
      <c r="D352" s="180" t="s">
        <v>61</v>
      </c>
      <c r="E352" t="s">
        <v>1194</v>
      </c>
      <c r="F352" t="s">
        <v>1195</v>
      </c>
      <c r="G352" s="180">
        <v>8061</v>
      </c>
      <c r="H352">
        <v>1986</v>
      </c>
      <c r="J352" s="1334" t="s">
        <v>475</v>
      </c>
      <c r="K352" s="1335" t="s">
        <v>475</v>
      </c>
      <c r="L352" s="180">
        <v>100</v>
      </c>
      <c r="M352" t="s">
        <v>74</v>
      </c>
      <c r="N352" t="str">
        <f t="shared" si="22"/>
        <v>Forest Hills Warehouse 1 (F207)</v>
      </c>
      <c r="O352" t="s">
        <v>62</v>
      </c>
      <c r="P352" t="str">
        <f t="shared" si="23"/>
        <v>12000_F207</v>
      </c>
      <c r="Q352" s="180">
        <v>100</v>
      </c>
    </row>
    <row r="353" spans="1:17">
      <c r="A353" t="str">
        <f t="shared" si="20"/>
        <v>AU_F208</v>
      </c>
      <c r="B353" t="str">
        <f t="shared" si="21"/>
        <v>AU_Forest Hills #10 Shed</v>
      </c>
      <c r="C353" t="s">
        <v>442</v>
      </c>
      <c r="D353" s="180" t="s">
        <v>61</v>
      </c>
      <c r="E353" t="s">
        <v>1236</v>
      </c>
      <c r="F353" t="s">
        <v>1237</v>
      </c>
      <c r="G353" s="180">
        <v>200</v>
      </c>
      <c r="H353">
        <v>2000</v>
      </c>
      <c r="J353" s="1334" t="s">
        <v>475</v>
      </c>
      <c r="K353" s="1335" t="s">
        <v>475</v>
      </c>
      <c r="L353" s="180">
        <v>100</v>
      </c>
      <c r="M353" t="s">
        <v>74</v>
      </c>
      <c r="N353" t="str">
        <f t="shared" si="22"/>
        <v>Forest Hills #10 Shed (F208)</v>
      </c>
      <c r="O353" t="s">
        <v>62</v>
      </c>
      <c r="P353" t="str">
        <f t="shared" si="23"/>
        <v>12000_F208</v>
      </c>
      <c r="Q353" s="180">
        <v>100</v>
      </c>
    </row>
    <row r="354" spans="1:17">
      <c r="A354" t="str">
        <f t="shared" si="20"/>
        <v>AU_F209</v>
      </c>
      <c r="B354" t="str">
        <f t="shared" si="21"/>
        <v>AU_Freeman Pavillion</v>
      </c>
      <c r="C354" t="s">
        <v>442</v>
      </c>
      <c r="D354" s="180" t="s">
        <v>61</v>
      </c>
      <c r="E354" t="s">
        <v>1362</v>
      </c>
      <c r="F354" t="s">
        <v>1363</v>
      </c>
      <c r="G354" s="180">
        <v>741</v>
      </c>
      <c r="H354">
        <v>2005</v>
      </c>
      <c r="J354" s="1334" t="s">
        <v>475</v>
      </c>
      <c r="K354" s="1335" t="s">
        <v>475</v>
      </c>
      <c r="L354" s="180">
        <v>100</v>
      </c>
      <c r="M354" t="s">
        <v>74</v>
      </c>
      <c r="N354" t="str">
        <f t="shared" si="22"/>
        <v>Freeman Pavillion (F209)</v>
      </c>
      <c r="O354" t="s">
        <v>62</v>
      </c>
      <c r="P354" t="str">
        <f t="shared" si="23"/>
        <v>12000_F209</v>
      </c>
      <c r="Q354" s="180">
        <v>100</v>
      </c>
    </row>
    <row r="355" spans="1:17">
      <c r="A355" t="str">
        <f t="shared" si="20"/>
        <v>AU_F210</v>
      </c>
      <c r="B355" t="str">
        <f t="shared" si="21"/>
        <v>AU_Forest Hills Upper Pumphouse</v>
      </c>
      <c r="C355" t="s">
        <v>442</v>
      </c>
      <c r="D355" s="180" t="s">
        <v>61</v>
      </c>
      <c r="E355" t="s">
        <v>1289</v>
      </c>
      <c r="F355" t="s">
        <v>1290</v>
      </c>
      <c r="G355" s="180">
        <v>157</v>
      </c>
      <c r="H355">
        <v>1987</v>
      </c>
      <c r="J355" s="1334" t="s">
        <v>475</v>
      </c>
      <c r="K355" s="1335" t="s">
        <v>475</v>
      </c>
      <c r="L355" s="180">
        <v>100</v>
      </c>
      <c r="M355" t="s">
        <v>74</v>
      </c>
      <c r="N355" t="str">
        <f t="shared" si="22"/>
        <v>Forest Hills Upper Pumphouse (F210)</v>
      </c>
      <c r="O355" t="s">
        <v>62</v>
      </c>
      <c r="P355" t="str">
        <f t="shared" si="23"/>
        <v>12000_F210</v>
      </c>
      <c r="Q355" s="180">
        <v>100</v>
      </c>
    </row>
    <row r="356" spans="1:17">
      <c r="A356" t="str">
        <f t="shared" si="20"/>
        <v>AU_F211</v>
      </c>
      <c r="B356" t="str">
        <f t="shared" si="21"/>
        <v>AU_Lower Maintenance Shed</v>
      </c>
      <c r="C356" t="s">
        <v>442</v>
      </c>
      <c r="D356" s="180" t="s">
        <v>61</v>
      </c>
      <c r="E356" t="s">
        <v>1381</v>
      </c>
      <c r="F356" t="s">
        <v>1382</v>
      </c>
      <c r="G356" s="180">
        <v>1916</v>
      </c>
      <c r="H356">
        <v>1995</v>
      </c>
      <c r="J356" s="1334" t="s">
        <v>475</v>
      </c>
      <c r="K356" s="1335" t="s">
        <v>475</v>
      </c>
      <c r="L356" s="180">
        <v>100</v>
      </c>
      <c r="M356" t="s">
        <v>74</v>
      </c>
      <c r="N356" t="str">
        <f t="shared" si="22"/>
        <v>Lower Maintenance Shed (F211)</v>
      </c>
      <c r="O356" t="s">
        <v>62</v>
      </c>
      <c r="P356" t="str">
        <f t="shared" si="23"/>
        <v>12000_F211</v>
      </c>
      <c r="Q356" s="180">
        <v>100</v>
      </c>
    </row>
    <row r="357" spans="1:17">
      <c r="A357" t="str">
        <f t="shared" si="20"/>
        <v>AU_F212</v>
      </c>
      <c r="B357" t="str">
        <f t="shared" si="21"/>
        <v>AU_Haz. Mat. Building #1</v>
      </c>
      <c r="C357" t="s">
        <v>442</v>
      </c>
      <c r="D357" s="180" t="s">
        <v>61</v>
      </c>
      <c r="E357" t="s">
        <v>1397</v>
      </c>
      <c r="F357" t="s">
        <v>1398</v>
      </c>
      <c r="G357" s="180">
        <v>122</v>
      </c>
      <c r="H357">
        <v>1998</v>
      </c>
      <c r="J357" s="1334" t="s">
        <v>475</v>
      </c>
      <c r="K357" s="1335" t="s">
        <v>475</v>
      </c>
      <c r="L357" s="180">
        <v>100</v>
      </c>
      <c r="M357" t="s">
        <v>74</v>
      </c>
      <c r="N357" t="str">
        <f t="shared" si="22"/>
        <v>Haz. Mat. Building #1 (F212)</v>
      </c>
      <c r="O357" t="s">
        <v>62</v>
      </c>
      <c r="P357" t="str">
        <f t="shared" si="23"/>
        <v>12000_F212</v>
      </c>
      <c r="Q357" s="180">
        <v>100</v>
      </c>
    </row>
    <row r="358" spans="1:17">
      <c r="A358" t="str">
        <f t="shared" si="20"/>
        <v>AU_F213</v>
      </c>
      <c r="B358" t="str">
        <f t="shared" si="21"/>
        <v>AU_Literacy Center</v>
      </c>
      <c r="C358" t="s">
        <v>442</v>
      </c>
      <c r="D358" s="180" t="s">
        <v>61</v>
      </c>
      <c r="E358" t="s">
        <v>1387</v>
      </c>
      <c r="F358" t="s">
        <v>1388</v>
      </c>
      <c r="G358" s="180">
        <v>2569</v>
      </c>
      <c r="H358">
        <v>1950</v>
      </c>
      <c r="J358" s="1334" t="s">
        <v>475</v>
      </c>
      <c r="K358" s="1335" t="s">
        <v>475</v>
      </c>
      <c r="L358" s="180">
        <v>100</v>
      </c>
      <c r="M358" t="s">
        <v>74</v>
      </c>
      <c r="N358" t="str">
        <f t="shared" si="22"/>
        <v>Literacy Center (F213)</v>
      </c>
      <c r="O358" t="s">
        <v>62</v>
      </c>
      <c r="P358" t="str">
        <f t="shared" si="23"/>
        <v>12000_F213</v>
      </c>
      <c r="Q358" s="180">
        <v>100</v>
      </c>
    </row>
    <row r="359" spans="1:17">
      <c r="A359" t="str">
        <f t="shared" si="20"/>
        <v>AU_F214</v>
      </c>
      <c r="B359" t="str">
        <f t="shared" si="21"/>
        <v>AU_Forest Hills #5 Shed</v>
      </c>
      <c r="C359" t="s">
        <v>442</v>
      </c>
      <c r="D359" s="180" t="s">
        <v>61</v>
      </c>
      <c r="E359" t="s">
        <v>1351</v>
      </c>
      <c r="F359" t="s">
        <v>1352</v>
      </c>
      <c r="G359" s="180">
        <v>324</v>
      </c>
      <c r="H359">
        <v>2005</v>
      </c>
      <c r="J359" s="1334" t="s">
        <v>475</v>
      </c>
      <c r="K359" s="1335" t="s">
        <v>475</v>
      </c>
      <c r="L359" s="180">
        <v>100</v>
      </c>
      <c r="M359" t="s">
        <v>74</v>
      </c>
      <c r="N359" t="str">
        <f t="shared" si="22"/>
        <v>Forest Hills #5 Shed (F214)</v>
      </c>
      <c r="O359" t="s">
        <v>62</v>
      </c>
      <c r="P359" t="str">
        <f t="shared" si="23"/>
        <v>12000_F214</v>
      </c>
      <c r="Q359" s="180">
        <v>100</v>
      </c>
    </row>
    <row r="360" spans="1:17">
      <c r="A360" t="str">
        <f t="shared" si="20"/>
        <v>AU_F215</v>
      </c>
      <c r="B360" t="str">
        <f t="shared" si="21"/>
        <v>AU_Forest Hills Scoring Shelter</v>
      </c>
      <c r="C360" t="s">
        <v>442</v>
      </c>
      <c r="D360" s="180" t="s">
        <v>61</v>
      </c>
      <c r="E360" t="s">
        <v>1401</v>
      </c>
      <c r="F360" t="s">
        <v>1402</v>
      </c>
      <c r="G360" s="180">
        <v>176</v>
      </c>
      <c r="H360">
        <v>2005</v>
      </c>
      <c r="J360" s="1334" t="s">
        <v>475</v>
      </c>
      <c r="K360" s="1335" t="s">
        <v>475</v>
      </c>
      <c r="L360" s="180">
        <v>100</v>
      </c>
      <c r="M360" t="s">
        <v>74</v>
      </c>
      <c r="N360" t="str">
        <f t="shared" si="22"/>
        <v>Forest Hills Scoring Shelter (F215)</v>
      </c>
      <c r="O360" t="s">
        <v>62</v>
      </c>
      <c r="P360" t="str">
        <f t="shared" si="23"/>
        <v>12000_F215</v>
      </c>
      <c r="Q360" s="180">
        <v>100</v>
      </c>
    </row>
    <row r="361" spans="1:17">
      <c r="A361" t="str">
        <f t="shared" si="20"/>
        <v>AU_F216</v>
      </c>
      <c r="B361" t="str">
        <f t="shared" si="21"/>
        <v>AU_CFH Concession</v>
      </c>
      <c r="C361" t="s">
        <v>442</v>
      </c>
      <c r="D361" s="180" t="s">
        <v>61</v>
      </c>
      <c r="E361" t="s">
        <v>7012</v>
      </c>
      <c r="F361" t="s">
        <v>7074</v>
      </c>
      <c r="G361" s="180">
        <v>1281</v>
      </c>
      <c r="H361">
        <v>2020</v>
      </c>
      <c r="J361" s="1334" t="s">
        <v>475</v>
      </c>
      <c r="K361" s="1335" t="s">
        <v>475</v>
      </c>
      <c r="L361" s="180">
        <v>0</v>
      </c>
      <c r="M361" t="s">
        <v>74</v>
      </c>
      <c r="N361" t="str">
        <f t="shared" si="22"/>
        <v>CFH Concession (F216)</v>
      </c>
      <c r="O361" t="s">
        <v>62</v>
      </c>
      <c r="P361" t="str">
        <f t="shared" si="23"/>
        <v>12000_F216</v>
      </c>
      <c r="Q361" s="180">
        <v>100</v>
      </c>
    </row>
    <row r="362" spans="1:17">
      <c r="A362" t="str">
        <f t="shared" si="20"/>
        <v>AU_F400</v>
      </c>
      <c r="B362" t="str">
        <f t="shared" si="21"/>
        <v>AU_University Village Clubhouse</v>
      </c>
      <c r="C362" t="s">
        <v>442</v>
      </c>
      <c r="D362" s="180" t="s">
        <v>61</v>
      </c>
      <c r="E362" t="s">
        <v>1403</v>
      </c>
      <c r="F362" t="s">
        <v>1404</v>
      </c>
      <c r="G362" s="180">
        <v>7028</v>
      </c>
      <c r="H362">
        <v>2005</v>
      </c>
      <c r="J362" s="1334" t="s">
        <v>486</v>
      </c>
      <c r="K362" s="1335" t="s">
        <v>475</v>
      </c>
      <c r="L362" s="180">
        <v>0</v>
      </c>
      <c r="M362" t="s">
        <v>74</v>
      </c>
      <c r="N362" t="str">
        <f t="shared" si="22"/>
        <v>University Village Clubhouse (F400)</v>
      </c>
      <c r="O362" t="s">
        <v>62</v>
      </c>
      <c r="P362" t="str">
        <f t="shared" si="23"/>
        <v>12000_F400</v>
      </c>
      <c r="Q362" s="180">
        <v>100</v>
      </c>
    </row>
    <row r="363" spans="1:17">
      <c r="A363" t="str">
        <f t="shared" si="20"/>
        <v>AU_F401</v>
      </c>
      <c r="B363" t="str">
        <f t="shared" si="21"/>
        <v>AU_University Village 1000 Bldg</v>
      </c>
      <c r="C363" t="s">
        <v>442</v>
      </c>
      <c r="D363" s="180" t="s">
        <v>61</v>
      </c>
      <c r="E363" t="s">
        <v>1394</v>
      </c>
      <c r="F363" t="s">
        <v>1395</v>
      </c>
      <c r="G363" s="180">
        <v>35711</v>
      </c>
      <c r="H363">
        <v>2004</v>
      </c>
      <c r="J363" s="1334" t="s">
        <v>486</v>
      </c>
      <c r="K363" s="1335" t="s">
        <v>475</v>
      </c>
      <c r="L363" s="180">
        <v>0</v>
      </c>
      <c r="M363" t="s">
        <v>74</v>
      </c>
      <c r="N363" t="str">
        <f t="shared" si="22"/>
        <v>University Village 1000 Bldg (F401)</v>
      </c>
      <c r="O363" t="s">
        <v>62</v>
      </c>
      <c r="P363" t="str">
        <f t="shared" si="23"/>
        <v>12000_F401</v>
      </c>
      <c r="Q363" s="180">
        <v>100</v>
      </c>
    </row>
    <row r="364" spans="1:17">
      <c r="A364" t="str">
        <f t="shared" si="20"/>
        <v>AU_F402</v>
      </c>
      <c r="B364" t="str">
        <f t="shared" si="21"/>
        <v>AU_University Village 2000 Bldg</v>
      </c>
      <c r="C364" t="s">
        <v>442</v>
      </c>
      <c r="D364" s="180" t="s">
        <v>61</v>
      </c>
      <c r="E364" t="s">
        <v>1157</v>
      </c>
      <c r="F364" t="s">
        <v>1158</v>
      </c>
      <c r="G364" s="180">
        <v>37983</v>
      </c>
      <c r="H364">
        <v>2004</v>
      </c>
      <c r="J364" s="1334" t="s">
        <v>486</v>
      </c>
      <c r="K364" s="1335" t="s">
        <v>475</v>
      </c>
      <c r="L364" s="180">
        <v>0</v>
      </c>
      <c r="M364" t="s">
        <v>74</v>
      </c>
      <c r="N364" t="str">
        <f t="shared" si="22"/>
        <v>University Village 2000 Bldg (F402)</v>
      </c>
      <c r="O364" t="s">
        <v>62</v>
      </c>
      <c r="P364" t="str">
        <f t="shared" si="23"/>
        <v>12000_F402</v>
      </c>
      <c r="Q364" s="180">
        <v>100</v>
      </c>
    </row>
    <row r="365" spans="1:17">
      <c r="A365" t="str">
        <f t="shared" si="20"/>
        <v>AU_F403</v>
      </c>
      <c r="B365" t="str">
        <f t="shared" si="21"/>
        <v>AU_University Village 3000 Bldg</v>
      </c>
      <c r="C365" t="s">
        <v>442</v>
      </c>
      <c r="D365" s="180" t="s">
        <v>61</v>
      </c>
      <c r="E365" t="s">
        <v>1201</v>
      </c>
      <c r="F365" t="s">
        <v>1202</v>
      </c>
      <c r="G365" s="180">
        <v>37985</v>
      </c>
      <c r="H365">
        <v>2004</v>
      </c>
      <c r="J365" s="1334" t="s">
        <v>486</v>
      </c>
      <c r="K365" s="1335" t="s">
        <v>475</v>
      </c>
      <c r="L365" s="180">
        <v>0</v>
      </c>
      <c r="M365" t="s">
        <v>74</v>
      </c>
      <c r="N365" t="str">
        <f t="shared" si="22"/>
        <v>University Village 3000 Bldg (F403)</v>
      </c>
      <c r="O365" t="s">
        <v>62</v>
      </c>
      <c r="P365" t="str">
        <f t="shared" si="23"/>
        <v>12000_F403</v>
      </c>
      <c r="Q365" s="180">
        <v>100</v>
      </c>
    </row>
    <row r="366" spans="1:17">
      <c r="A366" t="str">
        <f t="shared" si="20"/>
        <v>AU_F404</v>
      </c>
      <c r="B366" t="str">
        <f t="shared" si="21"/>
        <v>AU_University Village 4000 Bldg</v>
      </c>
      <c r="C366" t="s">
        <v>442</v>
      </c>
      <c r="D366" s="180" t="s">
        <v>61</v>
      </c>
      <c r="E366" t="s">
        <v>1203</v>
      </c>
      <c r="F366" t="s">
        <v>1204</v>
      </c>
      <c r="G366" s="180">
        <v>42788</v>
      </c>
      <c r="H366">
        <v>2004</v>
      </c>
      <c r="J366" s="1334" t="s">
        <v>486</v>
      </c>
      <c r="K366" s="1335" t="s">
        <v>475</v>
      </c>
      <c r="L366" s="180">
        <v>0</v>
      </c>
      <c r="M366" t="s">
        <v>74</v>
      </c>
      <c r="N366" t="str">
        <f t="shared" si="22"/>
        <v>University Village 4000 Bldg (F404)</v>
      </c>
      <c r="O366" t="s">
        <v>62</v>
      </c>
      <c r="P366" t="str">
        <f t="shared" si="23"/>
        <v>12000_F404</v>
      </c>
      <c r="Q366" s="180">
        <v>100</v>
      </c>
    </row>
    <row r="367" spans="1:17">
      <c r="A367" t="str">
        <f t="shared" si="20"/>
        <v>AU_F405</v>
      </c>
      <c r="B367" t="str">
        <f t="shared" si="21"/>
        <v>AU_University Village 5000 Bldg</v>
      </c>
      <c r="C367" t="s">
        <v>442</v>
      </c>
      <c r="D367" s="180" t="s">
        <v>61</v>
      </c>
      <c r="E367" t="s">
        <v>1411</v>
      </c>
      <c r="F367" t="s">
        <v>1412</v>
      </c>
      <c r="G367" s="180">
        <v>31966</v>
      </c>
      <c r="H367">
        <v>2004</v>
      </c>
      <c r="J367" s="1334" t="s">
        <v>486</v>
      </c>
      <c r="K367" s="1335" t="s">
        <v>475</v>
      </c>
      <c r="L367" s="180">
        <v>0</v>
      </c>
      <c r="M367" t="s">
        <v>74</v>
      </c>
      <c r="N367" t="str">
        <f t="shared" si="22"/>
        <v>University Village 5000 Bldg (F405)</v>
      </c>
      <c r="O367" t="s">
        <v>62</v>
      </c>
      <c r="P367" t="str">
        <f t="shared" si="23"/>
        <v>12000_F405</v>
      </c>
      <c r="Q367" s="180">
        <v>100</v>
      </c>
    </row>
    <row r="368" spans="1:17">
      <c r="A368" t="str">
        <f t="shared" si="20"/>
        <v>AU_F406</v>
      </c>
      <c r="B368" t="str">
        <f t="shared" si="21"/>
        <v>AU_University Village Maint. Bldg</v>
      </c>
      <c r="C368" t="s">
        <v>442</v>
      </c>
      <c r="D368" s="180" t="s">
        <v>61</v>
      </c>
      <c r="E368" t="s">
        <v>1369</v>
      </c>
      <c r="F368" t="s">
        <v>1370</v>
      </c>
      <c r="G368" s="180">
        <v>541</v>
      </c>
      <c r="H368">
        <v>2004</v>
      </c>
      <c r="J368" s="1334" t="s">
        <v>486</v>
      </c>
      <c r="K368" s="1335" t="s">
        <v>475</v>
      </c>
      <c r="L368" s="180">
        <v>0</v>
      </c>
      <c r="M368" t="s">
        <v>74</v>
      </c>
      <c r="N368" t="str">
        <f t="shared" si="22"/>
        <v>University Village Maint. Bldg (F406)</v>
      </c>
      <c r="O368" t="s">
        <v>62</v>
      </c>
      <c r="P368" t="str">
        <f t="shared" si="23"/>
        <v>12000_F406</v>
      </c>
      <c r="Q368" s="180">
        <v>100</v>
      </c>
    </row>
    <row r="369" spans="1:17">
      <c r="A369" t="str">
        <f t="shared" si="20"/>
        <v>AU_F407</v>
      </c>
      <c r="B369" t="str">
        <f t="shared" si="21"/>
        <v>AU_University Village Guardhouse</v>
      </c>
      <c r="C369" t="s">
        <v>442</v>
      </c>
      <c r="D369" s="180" t="s">
        <v>61</v>
      </c>
      <c r="E369" t="s">
        <v>1279</v>
      </c>
      <c r="F369" t="s">
        <v>1280</v>
      </c>
      <c r="G369" s="180">
        <v>41</v>
      </c>
      <c r="H369">
        <v>2004</v>
      </c>
      <c r="J369" s="1334" t="s">
        <v>486</v>
      </c>
      <c r="K369" s="1335" t="s">
        <v>475</v>
      </c>
      <c r="L369" s="180">
        <v>0</v>
      </c>
      <c r="M369" t="s">
        <v>74</v>
      </c>
      <c r="N369" t="str">
        <f t="shared" si="22"/>
        <v>University Village Guardhouse (F407)</v>
      </c>
      <c r="O369" t="s">
        <v>62</v>
      </c>
      <c r="P369" t="str">
        <f t="shared" si="23"/>
        <v>12000_F407</v>
      </c>
      <c r="Q369" s="180">
        <v>100</v>
      </c>
    </row>
    <row r="370" spans="1:17">
      <c r="A370" t="str">
        <f t="shared" si="20"/>
        <v>AU_F408</v>
      </c>
      <c r="B370" t="str">
        <f t="shared" si="21"/>
        <v>AU_University Village Bus Stop</v>
      </c>
      <c r="C370" t="s">
        <v>442</v>
      </c>
      <c r="D370" s="180" t="s">
        <v>61</v>
      </c>
      <c r="E370" t="s">
        <v>1226</v>
      </c>
      <c r="F370" t="s">
        <v>1227</v>
      </c>
      <c r="G370" s="180">
        <v>127</v>
      </c>
      <c r="H370">
        <v>2004</v>
      </c>
      <c r="J370" s="1334" t="s">
        <v>486</v>
      </c>
      <c r="K370" s="1335" t="s">
        <v>475</v>
      </c>
      <c r="L370" s="180">
        <v>0</v>
      </c>
      <c r="M370" t="s">
        <v>74</v>
      </c>
      <c r="N370" t="str">
        <f t="shared" si="22"/>
        <v>University Village Bus Stop (F408)</v>
      </c>
      <c r="O370" t="s">
        <v>62</v>
      </c>
      <c r="P370" t="str">
        <f t="shared" si="23"/>
        <v>12000_F408</v>
      </c>
      <c r="Q370" s="180">
        <v>100</v>
      </c>
    </row>
    <row r="371" spans="1:17">
      <c r="A371" t="str">
        <f t="shared" si="20"/>
        <v>AU_G101</v>
      </c>
      <c r="B371" t="str">
        <f t="shared" si="21"/>
        <v>AU_Gracewood Research Building</v>
      </c>
      <c r="C371" t="s">
        <v>442</v>
      </c>
      <c r="D371" s="180" t="s">
        <v>61</v>
      </c>
      <c r="E371" t="s">
        <v>1254</v>
      </c>
      <c r="F371" t="s">
        <v>1255</v>
      </c>
      <c r="G371" s="180">
        <v>21408</v>
      </c>
      <c r="H371">
        <v>1965</v>
      </c>
      <c r="J371" s="1334" t="s">
        <v>475</v>
      </c>
      <c r="K371" s="1335" t="s">
        <v>475</v>
      </c>
      <c r="L371" s="180">
        <v>100</v>
      </c>
      <c r="M371" t="s">
        <v>4</v>
      </c>
      <c r="N371" t="str">
        <f t="shared" si="22"/>
        <v>Gracewood Research Building (G101)</v>
      </c>
      <c r="O371" t="s">
        <v>62</v>
      </c>
      <c r="P371" t="str">
        <f t="shared" si="23"/>
        <v>12000_G101</v>
      </c>
      <c r="Q371" s="180">
        <v>100</v>
      </c>
    </row>
    <row r="372" spans="1:17">
      <c r="A372" t="str">
        <f t="shared" si="20"/>
        <v>AU_H102</v>
      </c>
      <c r="B372" t="str">
        <f t="shared" si="21"/>
        <v>AU_Neurology Center</v>
      </c>
      <c r="C372" t="s">
        <v>442</v>
      </c>
      <c r="D372" s="180" t="s">
        <v>61</v>
      </c>
      <c r="E372" t="s">
        <v>1364</v>
      </c>
      <c r="F372" t="s">
        <v>7666</v>
      </c>
      <c r="G372" s="180">
        <v>4000</v>
      </c>
      <c r="H372">
        <v>1995</v>
      </c>
      <c r="J372" s="1334" t="s">
        <v>475</v>
      </c>
      <c r="K372" s="1335" t="s">
        <v>475</v>
      </c>
      <c r="L372" s="180">
        <v>8</v>
      </c>
      <c r="M372" t="s">
        <v>73</v>
      </c>
      <c r="N372" t="str">
        <f t="shared" si="22"/>
        <v>Neurology Center (H102)</v>
      </c>
      <c r="O372" t="s">
        <v>62</v>
      </c>
      <c r="P372" t="str">
        <f t="shared" si="23"/>
        <v>12000_H102</v>
      </c>
      <c r="Q372" s="180">
        <v>100</v>
      </c>
    </row>
    <row r="373" spans="1:17">
      <c r="A373" t="str">
        <f t="shared" si="20"/>
        <v>AU_H107</v>
      </c>
      <c r="B373" t="str">
        <f t="shared" si="21"/>
        <v>AU_Moore Avenue Clinic</v>
      </c>
      <c r="C373" t="s">
        <v>442</v>
      </c>
      <c r="D373" s="180" t="s">
        <v>61</v>
      </c>
      <c r="E373" t="s">
        <v>1312</v>
      </c>
      <c r="F373" t="s">
        <v>7667</v>
      </c>
      <c r="G373" s="180">
        <v>17747</v>
      </c>
      <c r="H373">
        <v>2019</v>
      </c>
      <c r="J373" s="1334" t="s">
        <v>475</v>
      </c>
      <c r="K373" s="1335" t="s">
        <v>475</v>
      </c>
      <c r="L373" s="180">
        <v>98</v>
      </c>
      <c r="M373" t="s">
        <v>73</v>
      </c>
      <c r="N373" t="str">
        <f t="shared" si="22"/>
        <v>Moore Avenue Clinic (H107)</v>
      </c>
      <c r="O373" t="s">
        <v>62</v>
      </c>
      <c r="P373" t="str">
        <f t="shared" si="23"/>
        <v>12000_H107</v>
      </c>
      <c r="Q373" s="180">
        <v>100</v>
      </c>
    </row>
    <row r="374" spans="1:17">
      <c r="A374" t="str">
        <f t="shared" si="20"/>
        <v>AU_H108</v>
      </c>
      <c r="B374" t="str">
        <f t="shared" si="21"/>
        <v>AU_1004 Chafee Avenue</v>
      </c>
      <c r="C374" t="s">
        <v>442</v>
      </c>
      <c r="D374" s="180" t="s">
        <v>61</v>
      </c>
      <c r="E374" t="s">
        <v>1214</v>
      </c>
      <c r="F374" t="s">
        <v>1215</v>
      </c>
      <c r="G374" s="180">
        <v>4148</v>
      </c>
      <c r="H374">
        <v>1970</v>
      </c>
      <c r="J374" s="1334" t="s">
        <v>475</v>
      </c>
      <c r="K374" s="1335" t="s">
        <v>475</v>
      </c>
      <c r="L374" s="180">
        <v>100</v>
      </c>
      <c r="M374" t="s">
        <v>73</v>
      </c>
      <c r="N374" t="str">
        <f t="shared" si="22"/>
        <v>1004 Chafee Avenue (H108)</v>
      </c>
      <c r="O374" t="s">
        <v>62</v>
      </c>
      <c r="P374" t="str">
        <f t="shared" si="23"/>
        <v>12000_H108</v>
      </c>
      <c r="Q374" s="180">
        <v>100</v>
      </c>
    </row>
    <row r="375" spans="1:17">
      <c r="A375" t="str">
        <f t="shared" si="20"/>
        <v>AU_H109</v>
      </c>
      <c r="B375" t="str">
        <f t="shared" si="21"/>
        <v>AU_907 15th Street</v>
      </c>
      <c r="C375" t="s">
        <v>442</v>
      </c>
      <c r="D375" s="180" t="s">
        <v>61</v>
      </c>
      <c r="E375" t="s">
        <v>1420</v>
      </c>
      <c r="F375" t="s">
        <v>7668</v>
      </c>
      <c r="G375" s="180">
        <v>3480</v>
      </c>
      <c r="H375">
        <v>1990</v>
      </c>
      <c r="J375" s="1334" t="s">
        <v>475</v>
      </c>
      <c r="K375" s="1335" t="s">
        <v>475</v>
      </c>
      <c r="L375" s="180">
        <v>0</v>
      </c>
      <c r="M375" t="s">
        <v>73</v>
      </c>
      <c r="N375" t="str">
        <f t="shared" si="22"/>
        <v>907 15th Street (H109)</v>
      </c>
      <c r="O375" t="s">
        <v>62</v>
      </c>
      <c r="P375" t="str">
        <f t="shared" si="23"/>
        <v>12000_H109</v>
      </c>
      <c r="Q375" s="180">
        <v>100</v>
      </c>
    </row>
    <row r="376" spans="1:17">
      <c r="A376" t="str">
        <f t="shared" si="20"/>
        <v>AU_H110</v>
      </c>
      <c r="B376" t="str">
        <f t="shared" si="21"/>
        <v>AU_939 15th Street</v>
      </c>
      <c r="C376" t="s">
        <v>442</v>
      </c>
      <c r="D376" s="180" t="s">
        <v>61</v>
      </c>
      <c r="E376" t="s">
        <v>7599</v>
      </c>
      <c r="F376" t="s">
        <v>7669</v>
      </c>
      <c r="G376" s="180">
        <v>1437</v>
      </c>
      <c r="H376">
        <v>2006</v>
      </c>
      <c r="J376" s="1334" t="s">
        <v>475</v>
      </c>
      <c r="K376" s="1335" t="s">
        <v>520</v>
      </c>
      <c r="L376" s="180">
        <v>0</v>
      </c>
      <c r="M376" t="s">
        <v>73</v>
      </c>
      <c r="N376" t="str">
        <f t="shared" si="22"/>
        <v>939 15th Street (H110)</v>
      </c>
      <c r="O376" t="s">
        <v>62</v>
      </c>
      <c r="P376" t="str">
        <f t="shared" si="23"/>
        <v>12000_H110</v>
      </c>
      <c r="Q376" s="180">
        <v>100</v>
      </c>
    </row>
    <row r="377" spans="1:17">
      <c r="A377" t="str">
        <f t="shared" si="20"/>
        <v>AU_H111</v>
      </c>
      <c r="B377" t="str">
        <f t="shared" si="21"/>
        <v>AU_Cardiovasular Center</v>
      </c>
      <c r="C377" t="s">
        <v>442</v>
      </c>
      <c r="D377" s="180" t="s">
        <v>61</v>
      </c>
      <c r="E377" t="s">
        <v>1413</v>
      </c>
      <c r="F377" t="s">
        <v>1414</v>
      </c>
      <c r="G377" s="180">
        <v>16054</v>
      </c>
      <c r="H377">
        <v>1975</v>
      </c>
      <c r="J377" s="1334" t="s">
        <v>475</v>
      </c>
      <c r="K377" s="1335" t="s">
        <v>475</v>
      </c>
      <c r="L377" s="180">
        <v>3</v>
      </c>
      <c r="M377" t="s">
        <v>73</v>
      </c>
      <c r="N377" t="str">
        <f t="shared" si="22"/>
        <v>Cardiovasular Center (H111)</v>
      </c>
      <c r="O377" t="s">
        <v>62</v>
      </c>
      <c r="P377" t="str">
        <f t="shared" si="23"/>
        <v>12000_H111</v>
      </c>
      <c r="Q377" s="180">
        <v>100</v>
      </c>
    </row>
    <row r="378" spans="1:17">
      <c r="A378" t="str">
        <f t="shared" si="20"/>
        <v>AU_H112</v>
      </c>
      <c r="B378" t="str">
        <f t="shared" si="21"/>
        <v>AU_1512 Pope Avenue</v>
      </c>
      <c r="C378" t="s">
        <v>442</v>
      </c>
      <c r="D378" s="180" t="s">
        <v>61</v>
      </c>
      <c r="E378" t="s">
        <v>1262</v>
      </c>
      <c r="F378" t="s">
        <v>7670</v>
      </c>
      <c r="G378" s="180">
        <v>4510</v>
      </c>
      <c r="H378">
        <v>1970</v>
      </c>
      <c r="J378" s="1334" t="s">
        <v>475</v>
      </c>
      <c r="K378" s="1335" t="s">
        <v>520</v>
      </c>
      <c r="L378" s="180">
        <v>0</v>
      </c>
      <c r="M378" t="s">
        <v>73</v>
      </c>
      <c r="N378" t="str">
        <f t="shared" si="22"/>
        <v>1512 Pope Avenue (H112)</v>
      </c>
      <c r="O378" t="s">
        <v>62</v>
      </c>
      <c r="P378" t="str">
        <f t="shared" si="23"/>
        <v>12000_H112</v>
      </c>
      <c r="Q378" s="180">
        <v>100</v>
      </c>
    </row>
    <row r="379" spans="1:17">
      <c r="A379" t="str">
        <f t="shared" si="20"/>
        <v>AU_H113</v>
      </c>
      <c r="B379" t="str">
        <f t="shared" si="21"/>
        <v>AU_Clinical Trails Office</v>
      </c>
      <c r="C379" t="s">
        <v>442</v>
      </c>
      <c r="D379" s="180" t="s">
        <v>61</v>
      </c>
      <c r="E379" t="s">
        <v>1209</v>
      </c>
      <c r="F379" t="s">
        <v>1210</v>
      </c>
      <c r="G379" s="180">
        <v>5907</v>
      </c>
      <c r="H379">
        <v>1970</v>
      </c>
      <c r="J379" s="1334" t="s">
        <v>475</v>
      </c>
      <c r="K379" s="1335" t="s">
        <v>475</v>
      </c>
      <c r="L379" s="180">
        <v>100</v>
      </c>
      <c r="M379" t="s">
        <v>73</v>
      </c>
      <c r="N379" t="str">
        <f t="shared" si="22"/>
        <v>Clinical Trails Office (H113)</v>
      </c>
      <c r="O379" t="s">
        <v>62</v>
      </c>
      <c r="P379" t="str">
        <f t="shared" si="23"/>
        <v>12000_H113</v>
      </c>
      <c r="Q379" s="180">
        <v>100</v>
      </c>
    </row>
    <row r="380" spans="1:17">
      <c r="A380" t="str">
        <f t="shared" si="20"/>
        <v>AU_H114</v>
      </c>
      <c r="B380" t="str">
        <f t="shared" si="21"/>
        <v>AU_Employ/Fac Assistance Center</v>
      </c>
      <c r="C380" t="s">
        <v>442</v>
      </c>
      <c r="D380" s="180" t="s">
        <v>61</v>
      </c>
      <c r="E380" t="s">
        <v>1405</v>
      </c>
      <c r="F380" t="s">
        <v>1406</v>
      </c>
      <c r="G380" s="180">
        <v>1145</v>
      </c>
      <c r="H380">
        <v>1924</v>
      </c>
      <c r="J380" s="1334" t="s">
        <v>475</v>
      </c>
      <c r="K380" s="1335" t="s">
        <v>475</v>
      </c>
      <c r="L380" s="180">
        <v>100</v>
      </c>
      <c r="M380" t="s">
        <v>73</v>
      </c>
      <c r="N380" t="str">
        <f t="shared" si="22"/>
        <v>Employ/Fac Assistance Center (H114)</v>
      </c>
      <c r="O380" t="s">
        <v>62</v>
      </c>
      <c r="P380" t="str">
        <f t="shared" si="23"/>
        <v>12000_H114</v>
      </c>
      <c r="Q380" s="180">
        <v>100</v>
      </c>
    </row>
    <row r="381" spans="1:17">
      <c r="A381" t="str">
        <f t="shared" si="20"/>
        <v>AU_H115</v>
      </c>
      <c r="B381" t="str">
        <f t="shared" si="21"/>
        <v>AU_Cardiovascular Health</v>
      </c>
      <c r="C381" t="s">
        <v>442</v>
      </c>
      <c r="D381" s="180" t="s">
        <v>61</v>
      </c>
      <c r="E381" t="s">
        <v>7600</v>
      </c>
      <c r="F381" t="s">
        <v>7671</v>
      </c>
      <c r="G381" s="180">
        <v>10568</v>
      </c>
      <c r="H381">
        <v>1991</v>
      </c>
      <c r="J381" s="1334" t="s">
        <v>475</v>
      </c>
      <c r="K381" s="1335" t="s">
        <v>475</v>
      </c>
      <c r="L381" s="180">
        <v>0</v>
      </c>
      <c r="M381" t="s">
        <v>73</v>
      </c>
      <c r="N381" t="str">
        <f t="shared" si="22"/>
        <v>Cardiovascular Health (H115)</v>
      </c>
      <c r="O381" t="s">
        <v>62</v>
      </c>
      <c r="P381" t="str">
        <f t="shared" si="23"/>
        <v>12000_H115</v>
      </c>
      <c r="Q381" s="180">
        <v>80</v>
      </c>
    </row>
    <row r="382" spans="1:17">
      <c r="A382" t="str">
        <f t="shared" si="20"/>
        <v>AU_H117</v>
      </c>
      <c r="B382" t="str">
        <f t="shared" si="21"/>
        <v>AU_Reprod Med &amp; Infert Assoc.</v>
      </c>
      <c r="C382" t="s">
        <v>442</v>
      </c>
      <c r="D382" s="180" t="s">
        <v>61</v>
      </c>
      <c r="E382" t="s">
        <v>1415</v>
      </c>
      <c r="F382" t="s">
        <v>7672</v>
      </c>
      <c r="G382" s="180">
        <v>9399</v>
      </c>
      <c r="H382">
        <v>1995</v>
      </c>
      <c r="J382" s="1334" t="s">
        <v>475</v>
      </c>
      <c r="K382" s="1335" t="s">
        <v>475</v>
      </c>
      <c r="L382" s="180">
        <v>3</v>
      </c>
      <c r="M382" t="s">
        <v>73</v>
      </c>
      <c r="N382" t="str">
        <f t="shared" si="22"/>
        <v>Reprod Med &amp; Infert Assoc. (H117)</v>
      </c>
      <c r="O382" t="s">
        <v>62</v>
      </c>
      <c r="P382" t="str">
        <f t="shared" si="23"/>
        <v>12000_H117</v>
      </c>
      <c r="Q382" s="180">
        <v>50</v>
      </c>
    </row>
    <row r="383" spans="1:17">
      <c r="A383" t="str">
        <f t="shared" si="20"/>
        <v>AU_H201</v>
      </c>
      <c r="B383" t="str">
        <f t="shared" si="21"/>
        <v>AU_Professional Bldg 1</v>
      </c>
      <c r="C383" t="s">
        <v>442</v>
      </c>
      <c r="D383" s="180" t="s">
        <v>61</v>
      </c>
      <c r="E383" t="s">
        <v>1188</v>
      </c>
      <c r="F383" t="s">
        <v>1189</v>
      </c>
      <c r="G383" s="180">
        <v>205375</v>
      </c>
      <c r="H383">
        <v>1970</v>
      </c>
      <c r="J383" s="1334" t="s">
        <v>475</v>
      </c>
      <c r="K383" s="1335" t="s">
        <v>475</v>
      </c>
      <c r="L383" s="180">
        <v>7</v>
      </c>
      <c r="M383" t="s">
        <v>73</v>
      </c>
      <c r="N383" t="str">
        <f t="shared" si="22"/>
        <v>Professional Bldg 1 (H201)</v>
      </c>
      <c r="O383" t="s">
        <v>62</v>
      </c>
      <c r="P383" t="str">
        <f t="shared" si="23"/>
        <v>12000_H201</v>
      </c>
      <c r="Q383" s="180">
        <v>100</v>
      </c>
    </row>
    <row r="384" spans="1:17">
      <c r="A384" t="str">
        <f t="shared" si="20"/>
        <v>AU_H202</v>
      </c>
      <c r="B384" t="str">
        <f t="shared" si="21"/>
        <v>AU_Emerg Management Office</v>
      </c>
      <c r="C384" t="s">
        <v>442</v>
      </c>
      <c r="D384" s="180" t="s">
        <v>61</v>
      </c>
      <c r="E384" t="s">
        <v>1365</v>
      </c>
      <c r="F384" t="s">
        <v>1366</v>
      </c>
      <c r="G384" s="180">
        <v>787</v>
      </c>
      <c r="H384">
        <v>1987</v>
      </c>
      <c r="J384" s="1334" t="s">
        <v>475</v>
      </c>
      <c r="K384" s="1335" t="s">
        <v>475</v>
      </c>
      <c r="L384" s="180">
        <v>0</v>
      </c>
      <c r="M384" t="s">
        <v>73</v>
      </c>
      <c r="N384" t="str">
        <f t="shared" si="22"/>
        <v>Emerg Management Office (H202)</v>
      </c>
      <c r="O384" t="s">
        <v>62</v>
      </c>
      <c r="P384" t="str">
        <f t="shared" si="23"/>
        <v>12000_H202</v>
      </c>
      <c r="Q384" s="180">
        <v>100</v>
      </c>
    </row>
    <row r="385" spans="1:17">
      <c r="A385" t="str">
        <f t="shared" si="20"/>
        <v>AU_H203</v>
      </c>
      <c r="B385" t="str">
        <f t="shared" si="21"/>
        <v>AU_Medical Ctr Parking Deck -15th</v>
      </c>
      <c r="C385" t="s">
        <v>442</v>
      </c>
      <c r="D385" s="180" t="s">
        <v>61</v>
      </c>
      <c r="E385" t="s">
        <v>1353</v>
      </c>
      <c r="F385" t="s">
        <v>1354</v>
      </c>
      <c r="G385" s="180">
        <v>327741</v>
      </c>
      <c r="H385">
        <v>1986</v>
      </c>
      <c r="J385" s="1334" t="s">
        <v>475</v>
      </c>
      <c r="K385" s="1335" t="s">
        <v>475</v>
      </c>
      <c r="L385" s="180">
        <v>0</v>
      </c>
      <c r="M385" t="s">
        <v>73</v>
      </c>
      <c r="N385" t="str">
        <f t="shared" si="22"/>
        <v>Medical Ctr Parking Deck -15th (H203)</v>
      </c>
      <c r="O385" t="s">
        <v>62</v>
      </c>
      <c r="P385" t="str">
        <f t="shared" si="23"/>
        <v>12000_H203</v>
      </c>
      <c r="Q385" s="180">
        <v>80</v>
      </c>
    </row>
    <row r="386" spans="1:17">
      <c r="A386" t="str">
        <f t="shared" si="20"/>
        <v>AU_H204</v>
      </c>
      <c r="B386" t="str">
        <f t="shared" si="21"/>
        <v>AU_Laney Walker Bridge</v>
      </c>
      <c r="C386" t="s">
        <v>442</v>
      </c>
      <c r="D386" s="180" t="s">
        <v>61</v>
      </c>
      <c r="E386" t="s">
        <v>1371</v>
      </c>
      <c r="F386" t="s">
        <v>1372</v>
      </c>
      <c r="G386" s="180">
        <v>4155</v>
      </c>
      <c r="H386">
        <v>1973</v>
      </c>
      <c r="J386" s="1334" t="s">
        <v>520</v>
      </c>
      <c r="K386" s="1335" t="s">
        <v>475</v>
      </c>
      <c r="L386" s="180">
        <v>100</v>
      </c>
      <c r="M386" t="s">
        <v>73</v>
      </c>
      <c r="N386" t="str">
        <f t="shared" si="22"/>
        <v>Laney Walker Bridge (H204)</v>
      </c>
      <c r="O386" t="s">
        <v>62</v>
      </c>
      <c r="P386" t="str">
        <f t="shared" si="23"/>
        <v>12000_H204</v>
      </c>
      <c r="Q386" s="180">
        <v>100</v>
      </c>
    </row>
    <row r="387" spans="1:17">
      <c r="A387" t="str">
        <f t="shared" ref="A387:A450" si="24">_xlfn.CONCAT(D387,"_",E387)</f>
        <v>AU_H205</v>
      </c>
      <c r="B387" t="str">
        <f t="shared" ref="B387:B450" si="25">_xlfn.CONCAT(D387,"_",F387)</f>
        <v>AU_Pavilion I</v>
      </c>
      <c r="C387" t="s">
        <v>442</v>
      </c>
      <c r="D387" s="180" t="s">
        <v>61</v>
      </c>
      <c r="E387" t="s">
        <v>1159</v>
      </c>
      <c r="F387" t="s">
        <v>1160</v>
      </c>
      <c r="G387" s="180">
        <v>35778</v>
      </c>
      <c r="H387">
        <v>1956</v>
      </c>
      <c r="J387" s="1334" t="s">
        <v>475</v>
      </c>
      <c r="K387" s="1335" t="s">
        <v>475</v>
      </c>
      <c r="L387" s="180">
        <v>90</v>
      </c>
      <c r="M387" t="s">
        <v>73</v>
      </c>
      <c r="N387" t="str">
        <f t="shared" ref="N387:N450" si="26">_xlfn.CONCAT(F387," (",E387,")")</f>
        <v>Pavilion I (H205)</v>
      </c>
      <c r="O387" t="s">
        <v>62</v>
      </c>
      <c r="P387" t="str">
        <f t="shared" ref="P387:P450" si="27">_xlfn.CONCAT(C387,"_",E387)</f>
        <v>12000_H205</v>
      </c>
      <c r="Q387" s="180">
        <v>100</v>
      </c>
    </row>
    <row r="388" spans="1:17">
      <c r="A388" t="str">
        <f t="shared" si="24"/>
        <v>AU_H208</v>
      </c>
      <c r="B388" t="str">
        <f t="shared" si="25"/>
        <v>AU_Med Ctr (Talmadge Bldg)</v>
      </c>
      <c r="C388" t="s">
        <v>442</v>
      </c>
      <c r="D388" s="180" t="s">
        <v>61</v>
      </c>
      <c r="E388" t="s">
        <v>1151</v>
      </c>
      <c r="F388" t="s">
        <v>1152</v>
      </c>
      <c r="G388" s="180">
        <v>504804</v>
      </c>
      <c r="H388">
        <v>1956</v>
      </c>
      <c r="I388">
        <v>1984</v>
      </c>
      <c r="J388" s="1334" t="s">
        <v>475</v>
      </c>
      <c r="K388" s="1335" t="s">
        <v>475</v>
      </c>
      <c r="L388" s="180">
        <v>11</v>
      </c>
      <c r="M388" t="s">
        <v>73</v>
      </c>
      <c r="N388" t="str">
        <f t="shared" si="26"/>
        <v>Med Ctr (Talmadge Bldg) (H208)</v>
      </c>
      <c r="O388" t="s">
        <v>62</v>
      </c>
      <c r="P388" t="str">
        <f t="shared" si="27"/>
        <v>12000_H208</v>
      </c>
      <c r="Q388" s="180">
        <v>100</v>
      </c>
    </row>
    <row r="389" spans="1:17">
      <c r="A389" t="str">
        <f t="shared" si="24"/>
        <v>AU_H209</v>
      </c>
      <c r="B389" t="str">
        <f t="shared" si="25"/>
        <v>AU_Med Ctr - Sydenstricker</v>
      </c>
      <c r="C389" t="s">
        <v>442</v>
      </c>
      <c r="D389" s="180" t="s">
        <v>61</v>
      </c>
      <c r="E389" t="s">
        <v>1256</v>
      </c>
      <c r="F389" t="s">
        <v>1257</v>
      </c>
      <c r="G389" s="180">
        <v>324121</v>
      </c>
      <c r="H389">
        <v>1976</v>
      </c>
      <c r="J389" s="1334" t="s">
        <v>475</v>
      </c>
      <c r="K389" s="1335" t="s">
        <v>475</v>
      </c>
      <c r="L389" s="180">
        <v>12</v>
      </c>
      <c r="M389" t="s">
        <v>73</v>
      </c>
      <c r="N389" t="str">
        <f t="shared" si="26"/>
        <v>Med Ctr - Sydenstricker (H209)</v>
      </c>
      <c r="O389" t="s">
        <v>62</v>
      </c>
      <c r="P389" t="str">
        <f t="shared" si="27"/>
        <v>12000_H209</v>
      </c>
      <c r="Q389" s="180">
        <v>100</v>
      </c>
    </row>
    <row r="390" spans="1:17">
      <c r="A390" t="str">
        <f t="shared" si="24"/>
        <v>AU_H210</v>
      </c>
      <c r="B390" t="str">
        <f t="shared" si="25"/>
        <v>AU_Medical Center (East Wing)</v>
      </c>
      <c r="C390" t="s">
        <v>442</v>
      </c>
      <c r="D390" s="180" t="s">
        <v>61</v>
      </c>
      <c r="E390" t="s">
        <v>1258</v>
      </c>
      <c r="F390" t="s">
        <v>1259</v>
      </c>
      <c r="G390" s="180">
        <v>54947</v>
      </c>
      <c r="H390">
        <v>1960</v>
      </c>
      <c r="J390" s="1334" t="s">
        <v>475</v>
      </c>
      <c r="K390" s="1335" t="s">
        <v>475</v>
      </c>
      <c r="L390" s="180">
        <v>53</v>
      </c>
      <c r="M390" t="s">
        <v>73</v>
      </c>
      <c r="N390" t="str">
        <f t="shared" si="26"/>
        <v>Medical Center (East Wing) (H210)</v>
      </c>
      <c r="O390" t="s">
        <v>62</v>
      </c>
      <c r="P390" t="str">
        <f t="shared" si="27"/>
        <v>12000_H210</v>
      </c>
      <c r="Q390" s="180">
        <v>100</v>
      </c>
    </row>
    <row r="391" spans="1:17">
      <c r="A391" t="str">
        <f t="shared" si="24"/>
        <v>AU_H211</v>
      </c>
      <c r="B391" t="str">
        <f t="shared" si="25"/>
        <v>AU_Lee Auditoria Center</v>
      </c>
      <c r="C391" t="s">
        <v>442</v>
      </c>
      <c r="D391" s="180" t="s">
        <v>61</v>
      </c>
      <c r="E391" t="s">
        <v>1228</v>
      </c>
      <c r="F391" t="s">
        <v>1229</v>
      </c>
      <c r="G391" s="180">
        <v>18619</v>
      </c>
      <c r="H391">
        <v>1956</v>
      </c>
      <c r="I391">
        <v>2006</v>
      </c>
      <c r="J391" s="1334" t="s">
        <v>475</v>
      </c>
      <c r="K391" s="1335" t="s">
        <v>475</v>
      </c>
      <c r="L391" s="180">
        <v>100</v>
      </c>
      <c r="M391" t="s">
        <v>73</v>
      </c>
      <c r="N391" t="str">
        <f t="shared" si="26"/>
        <v>Lee Auditoria Center (H211)</v>
      </c>
      <c r="O391" t="s">
        <v>62</v>
      </c>
      <c r="P391" t="str">
        <f t="shared" si="27"/>
        <v>12000_H211</v>
      </c>
      <c r="Q391" s="180">
        <v>100</v>
      </c>
    </row>
    <row r="392" spans="1:17">
      <c r="A392" t="str">
        <f t="shared" si="24"/>
        <v>AU_H212</v>
      </c>
      <c r="B392" t="str">
        <f t="shared" si="25"/>
        <v>AU_Central Services</v>
      </c>
      <c r="C392" t="s">
        <v>442</v>
      </c>
      <c r="D392" s="180" t="s">
        <v>61</v>
      </c>
      <c r="E392" t="s">
        <v>1184</v>
      </c>
      <c r="F392" t="s">
        <v>1185</v>
      </c>
      <c r="G392" s="180">
        <v>39585</v>
      </c>
      <c r="H392">
        <v>1956</v>
      </c>
      <c r="J392" s="1334" t="s">
        <v>475</v>
      </c>
      <c r="K392" s="1335" t="s">
        <v>475</v>
      </c>
      <c r="L392" s="180">
        <v>60</v>
      </c>
      <c r="M392" t="s">
        <v>73</v>
      </c>
      <c r="N392" t="str">
        <f t="shared" si="26"/>
        <v>Central Services (H212)</v>
      </c>
      <c r="O392" t="s">
        <v>62</v>
      </c>
      <c r="P392" t="str">
        <f t="shared" si="27"/>
        <v>12000_H212</v>
      </c>
      <c r="Q392" s="180">
        <v>100</v>
      </c>
    </row>
    <row r="393" spans="1:17">
      <c r="A393" t="str">
        <f t="shared" si="24"/>
        <v>AU_H213</v>
      </c>
      <c r="B393" t="str">
        <f t="shared" si="25"/>
        <v>AU_Critical Care Ctr/MOB 1</v>
      </c>
      <c r="C393" t="s">
        <v>442</v>
      </c>
      <c r="D393" s="180" t="s">
        <v>61</v>
      </c>
      <c r="E393" t="s">
        <v>1285</v>
      </c>
      <c r="F393" t="s">
        <v>1286</v>
      </c>
      <c r="G393" s="180">
        <v>367173</v>
      </c>
      <c r="H393">
        <v>1992</v>
      </c>
      <c r="J393" s="1334" t="s">
        <v>475</v>
      </c>
      <c r="K393" s="1335" t="s">
        <v>475</v>
      </c>
      <c r="L393" s="180">
        <v>9</v>
      </c>
      <c r="M393" t="s">
        <v>73</v>
      </c>
      <c r="N393" t="str">
        <f t="shared" si="26"/>
        <v>Critical Care Ctr/MOB 1 (H213)</v>
      </c>
      <c r="O393" t="s">
        <v>62</v>
      </c>
      <c r="P393" t="str">
        <f t="shared" si="27"/>
        <v>12000_H213</v>
      </c>
      <c r="Q393" s="180">
        <v>0</v>
      </c>
    </row>
    <row r="394" spans="1:17">
      <c r="A394" t="str">
        <f t="shared" si="24"/>
        <v>AU_H214</v>
      </c>
      <c r="B394" t="str">
        <f t="shared" si="25"/>
        <v>AU_Children's Hospital Of Georgia</v>
      </c>
      <c r="C394" t="s">
        <v>442</v>
      </c>
      <c r="D394" s="180" t="s">
        <v>61</v>
      </c>
      <c r="E394" t="s">
        <v>1373</v>
      </c>
      <c r="F394" t="s">
        <v>1374</v>
      </c>
      <c r="G394" s="180">
        <v>268738</v>
      </c>
      <c r="H394">
        <v>1997</v>
      </c>
      <c r="J394" s="1334" t="s">
        <v>475</v>
      </c>
      <c r="K394" s="1335" t="s">
        <v>475</v>
      </c>
      <c r="L394" s="180">
        <v>4</v>
      </c>
      <c r="M394" t="s">
        <v>73</v>
      </c>
      <c r="N394" t="str">
        <f t="shared" si="26"/>
        <v>Children's Hospital Of Georgia (H214)</v>
      </c>
      <c r="O394" t="s">
        <v>62</v>
      </c>
      <c r="P394" t="str">
        <f t="shared" si="27"/>
        <v>12000_H214</v>
      </c>
      <c r="Q394" s="180">
        <v>0</v>
      </c>
    </row>
    <row r="395" spans="1:17">
      <c r="A395" t="str">
        <f t="shared" si="24"/>
        <v>AU_H215</v>
      </c>
      <c r="B395" t="str">
        <f t="shared" si="25"/>
        <v>AU_Faculty Office Bldg</v>
      </c>
      <c r="C395" t="s">
        <v>442</v>
      </c>
      <c r="D395" s="180" t="s">
        <v>61</v>
      </c>
      <c r="E395" t="s">
        <v>1165</v>
      </c>
      <c r="F395" t="s">
        <v>1166</v>
      </c>
      <c r="G395" s="180">
        <v>33773</v>
      </c>
      <c r="H395">
        <v>1955</v>
      </c>
      <c r="J395" s="1334" t="s">
        <v>475</v>
      </c>
      <c r="K395" s="1335" t="s">
        <v>475</v>
      </c>
      <c r="L395" s="180">
        <v>83</v>
      </c>
      <c r="M395" t="s">
        <v>73</v>
      </c>
      <c r="N395" t="str">
        <f t="shared" si="26"/>
        <v>Faculty Office Bldg (H215)</v>
      </c>
      <c r="O395" t="s">
        <v>62</v>
      </c>
      <c r="P395" t="str">
        <f t="shared" si="27"/>
        <v>12000_H215</v>
      </c>
      <c r="Q395" s="180">
        <v>100</v>
      </c>
    </row>
    <row r="396" spans="1:17">
      <c r="A396" t="str">
        <f t="shared" si="24"/>
        <v>AU_H216</v>
      </c>
      <c r="B396" t="str">
        <f t="shared" si="25"/>
        <v>AU_Central Energy Plant</v>
      </c>
      <c r="C396" t="s">
        <v>442</v>
      </c>
      <c r="D396" s="180" t="s">
        <v>61</v>
      </c>
      <c r="E396" t="s">
        <v>1230</v>
      </c>
      <c r="F396" t="s">
        <v>1231</v>
      </c>
      <c r="G396" s="180">
        <v>24479</v>
      </c>
      <c r="H396">
        <v>1975</v>
      </c>
      <c r="J396" s="1334" t="s">
        <v>475</v>
      </c>
      <c r="K396" s="1335" t="s">
        <v>475</v>
      </c>
      <c r="L396" s="180">
        <v>52</v>
      </c>
      <c r="M396" t="s">
        <v>73</v>
      </c>
      <c r="N396" t="str">
        <f t="shared" si="26"/>
        <v>Central Energy Plant (H216)</v>
      </c>
      <c r="O396" t="s">
        <v>62</v>
      </c>
      <c r="P396" t="str">
        <f t="shared" si="27"/>
        <v>12000_H216</v>
      </c>
      <c r="Q396" s="180">
        <v>100</v>
      </c>
    </row>
    <row r="397" spans="1:17">
      <c r="A397" t="str">
        <f t="shared" si="24"/>
        <v>AU_H217</v>
      </c>
      <c r="B397" t="str">
        <f t="shared" si="25"/>
        <v>AU_Pavilion 2</v>
      </c>
      <c r="C397" t="s">
        <v>442</v>
      </c>
      <c r="D397" s="180" t="s">
        <v>61</v>
      </c>
      <c r="E397" t="s">
        <v>1271</v>
      </c>
      <c r="F397" t="s">
        <v>1272</v>
      </c>
      <c r="G397" s="180">
        <v>26458</v>
      </c>
      <c r="H397">
        <v>1956</v>
      </c>
      <c r="J397" s="1334" t="s">
        <v>475</v>
      </c>
      <c r="K397" s="1335" t="s">
        <v>475</v>
      </c>
      <c r="L397" s="180">
        <v>100</v>
      </c>
      <c r="M397" t="s">
        <v>73</v>
      </c>
      <c r="N397" t="str">
        <f t="shared" si="26"/>
        <v>Pavilion 2 (H217)</v>
      </c>
      <c r="O397" t="s">
        <v>62</v>
      </c>
      <c r="P397" t="str">
        <f t="shared" si="27"/>
        <v>12000_H217</v>
      </c>
      <c r="Q397" s="180">
        <v>87</v>
      </c>
    </row>
    <row r="398" spans="1:17">
      <c r="A398" t="str">
        <f t="shared" si="24"/>
        <v>AU_H218</v>
      </c>
      <c r="B398" t="str">
        <f t="shared" si="25"/>
        <v>AU_Kelly Bldg</v>
      </c>
      <c r="C398" t="s">
        <v>442</v>
      </c>
      <c r="D398" s="180" t="s">
        <v>61</v>
      </c>
      <c r="E398" t="s">
        <v>1385</v>
      </c>
      <c r="F398" t="s">
        <v>1386</v>
      </c>
      <c r="G398" s="180">
        <v>40615</v>
      </c>
      <c r="H398">
        <v>1954</v>
      </c>
      <c r="J398" s="1334" t="s">
        <v>475</v>
      </c>
      <c r="K398" s="1335" t="s">
        <v>475</v>
      </c>
      <c r="L398" s="180">
        <v>100</v>
      </c>
      <c r="M398" t="s">
        <v>73</v>
      </c>
      <c r="N398" t="str">
        <f t="shared" si="26"/>
        <v>Kelly Bldg (H218)</v>
      </c>
      <c r="O398" t="s">
        <v>62</v>
      </c>
      <c r="P398" t="str">
        <f t="shared" si="27"/>
        <v>12000_H218</v>
      </c>
      <c r="Q398" s="180">
        <v>90</v>
      </c>
    </row>
    <row r="399" spans="1:17">
      <c r="A399" t="str">
        <f t="shared" si="24"/>
        <v>AU_H219</v>
      </c>
      <c r="B399" t="str">
        <f t="shared" si="25"/>
        <v>AU_Murphey Bldg</v>
      </c>
      <c r="C399" t="s">
        <v>442</v>
      </c>
      <c r="D399" s="180" t="s">
        <v>61</v>
      </c>
      <c r="E399" t="s">
        <v>1409</v>
      </c>
      <c r="F399" t="s">
        <v>1410</v>
      </c>
      <c r="G399" s="180">
        <v>30236</v>
      </c>
      <c r="H399">
        <v>1939</v>
      </c>
      <c r="I399">
        <v>1985</v>
      </c>
      <c r="J399" s="1334" t="s">
        <v>475</v>
      </c>
      <c r="K399" s="1335" t="s">
        <v>475</v>
      </c>
      <c r="L399" s="180">
        <v>68</v>
      </c>
      <c r="M399" t="s">
        <v>73</v>
      </c>
      <c r="N399" t="str">
        <f t="shared" si="26"/>
        <v>Murphey Bldg (H219)</v>
      </c>
      <c r="O399" t="s">
        <v>62</v>
      </c>
      <c r="P399" t="str">
        <f t="shared" si="27"/>
        <v>12000_H219</v>
      </c>
      <c r="Q399" s="180">
        <v>100</v>
      </c>
    </row>
    <row r="400" spans="1:17">
      <c r="A400" t="str">
        <f t="shared" si="24"/>
        <v>AU_H220</v>
      </c>
      <c r="B400" t="str">
        <f t="shared" si="25"/>
        <v>AU_Dugas Bldg</v>
      </c>
      <c r="C400" t="s">
        <v>442</v>
      </c>
      <c r="D400" s="180" t="s">
        <v>61</v>
      </c>
      <c r="E400" t="s">
        <v>1263</v>
      </c>
      <c r="F400" t="s">
        <v>1264</v>
      </c>
      <c r="G400" s="180">
        <v>42868</v>
      </c>
      <c r="H400">
        <v>1939</v>
      </c>
      <c r="I400">
        <v>1999</v>
      </c>
      <c r="J400" s="1334" t="s">
        <v>475</v>
      </c>
      <c r="K400" s="1335" t="s">
        <v>475</v>
      </c>
      <c r="L400" s="180">
        <v>100</v>
      </c>
      <c r="M400" t="s">
        <v>73</v>
      </c>
      <c r="N400" t="str">
        <f t="shared" si="26"/>
        <v>Dugas Bldg (H220)</v>
      </c>
      <c r="O400" t="s">
        <v>62</v>
      </c>
      <c r="P400" t="str">
        <f t="shared" si="27"/>
        <v>12000_H220</v>
      </c>
      <c r="Q400" s="180">
        <v>100</v>
      </c>
    </row>
    <row r="401" spans="1:17">
      <c r="A401" t="str">
        <f t="shared" si="24"/>
        <v>AU_H222</v>
      </c>
      <c r="B401" t="str">
        <f t="shared" si="25"/>
        <v>AU_Medical Ofc Bldg Parking Deck</v>
      </c>
      <c r="C401" t="s">
        <v>442</v>
      </c>
      <c r="D401" s="180" t="s">
        <v>61</v>
      </c>
      <c r="E401" t="s">
        <v>1389</v>
      </c>
      <c r="F401" t="s">
        <v>1390</v>
      </c>
      <c r="G401" s="180">
        <v>323882</v>
      </c>
      <c r="H401">
        <v>1995</v>
      </c>
      <c r="J401" s="1334" t="s">
        <v>475</v>
      </c>
      <c r="K401" s="1335" t="s">
        <v>475</v>
      </c>
      <c r="L401" s="180">
        <v>0</v>
      </c>
      <c r="M401" t="s">
        <v>73</v>
      </c>
      <c r="N401" t="str">
        <f t="shared" si="26"/>
        <v>Medical Ofc Bldg Parking Deck (H222)</v>
      </c>
      <c r="O401" t="s">
        <v>62</v>
      </c>
      <c r="P401" t="str">
        <f t="shared" si="27"/>
        <v>12000_H222</v>
      </c>
      <c r="Q401" s="180">
        <v>100</v>
      </c>
    </row>
    <row r="402" spans="1:17">
      <c r="A402" t="str">
        <f t="shared" si="24"/>
        <v>AU_H223</v>
      </c>
      <c r="B402" t="str">
        <f t="shared" si="25"/>
        <v>AU_Annex 1</v>
      </c>
      <c r="C402" t="s">
        <v>442</v>
      </c>
      <c r="D402" s="180" t="s">
        <v>61</v>
      </c>
      <c r="E402" t="s">
        <v>1416</v>
      </c>
      <c r="F402" t="s">
        <v>1417</v>
      </c>
      <c r="G402" s="180">
        <v>178049</v>
      </c>
      <c r="H402">
        <v>1957</v>
      </c>
      <c r="J402" s="1334" t="s">
        <v>475</v>
      </c>
      <c r="K402" s="1335" t="s">
        <v>475</v>
      </c>
      <c r="L402" s="180">
        <v>100</v>
      </c>
      <c r="M402" t="s">
        <v>73</v>
      </c>
      <c r="N402" t="str">
        <f t="shared" si="26"/>
        <v>Annex 1 (H223)</v>
      </c>
      <c r="O402" t="s">
        <v>62</v>
      </c>
      <c r="P402" t="str">
        <f t="shared" si="27"/>
        <v>12000_H223</v>
      </c>
      <c r="Q402" s="180">
        <v>100</v>
      </c>
    </row>
    <row r="403" spans="1:17">
      <c r="A403" t="str">
        <f t="shared" si="24"/>
        <v>AU_H224</v>
      </c>
      <c r="B403" t="str">
        <f t="shared" si="25"/>
        <v>AU_Annex 2</v>
      </c>
      <c r="C403" t="s">
        <v>442</v>
      </c>
      <c r="D403" s="180" t="s">
        <v>61</v>
      </c>
      <c r="E403" t="s">
        <v>1296</v>
      </c>
      <c r="F403" t="s">
        <v>1297</v>
      </c>
      <c r="G403" s="180">
        <v>37675</v>
      </c>
      <c r="H403">
        <v>1973</v>
      </c>
      <c r="J403" s="1334" t="s">
        <v>475</v>
      </c>
      <c r="K403" s="1335" t="s">
        <v>475</v>
      </c>
      <c r="L403" s="180">
        <v>100</v>
      </c>
      <c r="M403" t="s">
        <v>73</v>
      </c>
      <c r="N403" t="str">
        <f t="shared" si="26"/>
        <v>Annex 2 (H224)</v>
      </c>
      <c r="O403" t="s">
        <v>62</v>
      </c>
      <c r="P403" t="str">
        <f t="shared" si="27"/>
        <v>12000_H224</v>
      </c>
      <c r="Q403" s="180">
        <v>100</v>
      </c>
    </row>
    <row r="404" spans="1:17">
      <c r="A404" t="str">
        <f t="shared" si="24"/>
        <v>AU_H225</v>
      </c>
      <c r="B404" t="str">
        <f t="shared" si="25"/>
        <v>AU_Cntr for Outdoor Rec &amp; Educ.</v>
      </c>
      <c r="C404" t="s">
        <v>442</v>
      </c>
      <c r="D404" s="180" t="s">
        <v>61</v>
      </c>
      <c r="E404" t="s">
        <v>1291</v>
      </c>
      <c r="F404" t="s">
        <v>7673</v>
      </c>
      <c r="G404" s="180">
        <v>6058</v>
      </c>
      <c r="H404">
        <v>1986</v>
      </c>
      <c r="J404" s="1334" t="s">
        <v>475</v>
      </c>
      <c r="K404" s="1335" t="s">
        <v>475</v>
      </c>
      <c r="L404" s="180">
        <v>0</v>
      </c>
      <c r="M404" t="s">
        <v>4</v>
      </c>
      <c r="N404" t="str">
        <f t="shared" si="26"/>
        <v>Cntr for Outdoor Rec &amp; Educ. (H225)</v>
      </c>
      <c r="O404" t="s">
        <v>62</v>
      </c>
      <c r="P404" t="str">
        <f t="shared" si="27"/>
        <v>12000_H225</v>
      </c>
      <c r="Q404" s="180">
        <v>0</v>
      </c>
    </row>
    <row r="405" spans="1:17">
      <c r="A405" t="str">
        <f t="shared" si="24"/>
        <v>AU_H226</v>
      </c>
      <c r="B405" t="str">
        <f t="shared" si="25"/>
        <v>AU_Greenblatt Library</v>
      </c>
      <c r="C405" t="s">
        <v>442</v>
      </c>
      <c r="D405" s="180" t="s">
        <v>61</v>
      </c>
      <c r="E405" t="s">
        <v>1205</v>
      </c>
      <c r="F405" t="s">
        <v>1206</v>
      </c>
      <c r="G405" s="180">
        <v>77437</v>
      </c>
      <c r="H405">
        <v>1963</v>
      </c>
      <c r="J405" s="1334" t="s">
        <v>475</v>
      </c>
      <c r="K405" s="1335" t="s">
        <v>475</v>
      </c>
      <c r="L405" s="180">
        <v>100</v>
      </c>
      <c r="M405" t="s">
        <v>73</v>
      </c>
      <c r="N405" t="str">
        <f t="shared" si="26"/>
        <v>Greenblatt Library (H226)</v>
      </c>
      <c r="O405" t="s">
        <v>62</v>
      </c>
      <c r="P405" t="str">
        <f t="shared" si="27"/>
        <v>12000_H226</v>
      </c>
      <c r="Q405" s="180">
        <v>100</v>
      </c>
    </row>
    <row r="406" spans="1:17">
      <c r="A406" t="str">
        <f t="shared" si="24"/>
        <v>AU_H231</v>
      </c>
      <c r="B406" t="str">
        <f t="shared" si="25"/>
        <v>AU_CHOG Parking Deck</v>
      </c>
      <c r="C406" t="s">
        <v>442</v>
      </c>
      <c r="D406" s="180" t="s">
        <v>61</v>
      </c>
      <c r="E406" t="s">
        <v>1173</v>
      </c>
      <c r="F406" t="s">
        <v>1174</v>
      </c>
      <c r="G406" s="180">
        <v>169197</v>
      </c>
      <c r="H406">
        <v>1975</v>
      </c>
      <c r="J406" s="1334" t="s">
        <v>475</v>
      </c>
      <c r="K406" s="1335" t="s">
        <v>475</v>
      </c>
      <c r="L406" s="180">
        <v>0</v>
      </c>
      <c r="M406" t="s">
        <v>73</v>
      </c>
      <c r="N406" t="str">
        <f t="shared" si="26"/>
        <v>CHOG Parking Deck (H231)</v>
      </c>
      <c r="O406" t="s">
        <v>62</v>
      </c>
      <c r="P406" t="str">
        <f t="shared" si="27"/>
        <v>12000_H231</v>
      </c>
      <c r="Q406" s="180">
        <v>99</v>
      </c>
    </row>
    <row r="407" spans="1:17">
      <c r="A407" t="str">
        <f t="shared" si="24"/>
        <v>AU_H232</v>
      </c>
      <c r="B407" t="str">
        <f t="shared" si="25"/>
        <v>AU_Jennings Bldg</v>
      </c>
      <c r="C407" t="s">
        <v>442</v>
      </c>
      <c r="D407" s="180" t="s">
        <v>61</v>
      </c>
      <c r="E407" t="s">
        <v>1178</v>
      </c>
      <c r="F407" t="s">
        <v>1179</v>
      </c>
      <c r="G407" s="180">
        <v>17773</v>
      </c>
      <c r="H407">
        <v>1945</v>
      </c>
      <c r="I407">
        <v>2008</v>
      </c>
      <c r="J407" s="1334" t="s">
        <v>475</v>
      </c>
      <c r="K407" s="1335" t="s">
        <v>475</v>
      </c>
      <c r="L407" s="180">
        <v>100</v>
      </c>
      <c r="M407" t="s">
        <v>73</v>
      </c>
      <c r="N407" t="str">
        <f t="shared" si="26"/>
        <v>Jennings Bldg (H232)</v>
      </c>
      <c r="O407" t="s">
        <v>62</v>
      </c>
      <c r="P407" t="str">
        <f t="shared" si="27"/>
        <v>12000_H232</v>
      </c>
      <c r="Q407" s="180">
        <v>100</v>
      </c>
    </row>
    <row r="408" spans="1:17">
      <c r="A408" t="str">
        <f t="shared" si="24"/>
        <v>AU_H233</v>
      </c>
      <c r="B408" t="str">
        <f t="shared" si="25"/>
        <v>AU_Marks Bldg</v>
      </c>
      <c r="C408" t="s">
        <v>442</v>
      </c>
      <c r="D408" s="180" t="s">
        <v>61</v>
      </c>
      <c r="E408" t="s">
        <v>1265</v>
      </c>
      <c r="F408" t="s">
        <v>1266</v>
      </c>
      <c r="G408" s="180">
        <v>10248</v>
      </c>
      <c r="H408">
        <v>1957</v>
      </c>
      <c r="J408" s="1334" t="s">
        <v>475</v>
      </c>
      <c r="K408" s="1335" t="s">
        <v>475</v>
      </c>
      <c r="L408" s="180">
        <v>100</v>
      </c>
      <c r="M408" t="s">
        <v>73</v>
      </c>
      <c r="N408" t="str">
        <f t="shared" si="26"/>
        <v>Marks Bldg (H233)</v>
      </c>
      <c r="O408" t="s">
        <v>62</v>
      </c>
      <c r="P408" t="str">
        <f t="shared" si="27"/>
        <v>12000_H233</v>
      </c>
      <c r="Q408" s="180">
        <v>100</v>
      </c>
    </row>
    <row r="409" spans="1:17">
      <c r="A409" t="str">
        <f t="shared" si="24"/>
        <v>AU_H234</v>
      </c>
      <c r="B409" t="str">
        <f t="shared" si="25"/>
        <v>AU_Community Medicine Offices</v>
      </c>
      <c r="C409" t="s">
        <v>442</v>
      </c>
      <c r="D409" s="180" t="s">
        <v>61</v>
      </c>
      <c r="E409" t="s">
        <v>1319</v>
      </c>
      <c r="F409" t="s">
        <v>1320</v>
      </c>
      <c r="G409" s="180">
        <v>2480</v>
      </c>
      <c r="H409">
        <v>1958</v>
      </c>
      <c r="J409" s="1334" t="s">
        <v>475</v>
      </c>
      <c r="K409" s="1335" t="s">
        <v>475</v>
      </c>
      <c r="L409" s="180">
        <v>100</v>
      </c>
      <c r="M409" t="s">
        <v>73</v>
      </c>
      <c r="N409" t="str">
        <f t="shared" si="26"/>
        <v>Community Medicine Offices (H234)</v>
      </c>
      <c r="O409" t="s">
        <v>62</v>
      </c>
      <c r="P409" t="str">
        <f t="shared" si="27"/>
        <v>12000_H234</v>
      </c>
      <c r="Q409" s="180">
        <v>61</v>
      </c>
    </row>
    <row r="410" spans="1:17">
      <c r="A410" t="str">
        <f t="shared" si="24"/>
        <v>AU_H235</v>
      </c>
      <c r="B410" t="str">
        <f t="shared" si="25"/>
        <v>AU_GA Rad. Therapy Ctr. (GRTC)</v>
      </c>
      <c r="C410" t="s">
        <v>442</v>
      </c>
      <c r="D410" s="180" t="s">
        <v>61</v>
      </c>
      <c r="E410" t="s">
        <v>1198</v>
      </c>
      <c r="F410" t="s">
        <v>1199</v>
      </c>
      <c r="G410" s="180">
        <v>29913</v>
      </c>
      <c r="H410">
        <v>1980</v>
      </c>
      <c r="J410" s="1334" t="s">
        <v>475</v>
      </c>
      <c r="K410" s="1335" t="s">
        <v>475</v>
      </c>
      <c r="L410" s="180">
        <v>2</v>
      </c>
      <c r="M410" t="s">
        <v>73</v>
      </c>
      <c r="N410" t="str">
        <f t="shared" si="26"/>
        <v>GA Rad. Therapy Ctr. (GRTC) (H235)</v>
      </c>
      <c r="O410" t="s">
        <v>62</v>
      </c>
      <c r="P410" t="str">
        <f t="shared" si="27"/>
        <v>12000_H235</v>
      </c>
      <c r="Q410" s="180">
        <v>100</v>
      </c>
    </row>
    <row r="411" spans="1:17">
      <c r="A411" t="str">
        <f t="shared" si="24"/>
        <v>AU_H236</v>
      </c>
      <c r="B411" t="str">
        <f t="shared" si="25"/>
        <v>AU_UGA College of Pharmacy</v>
      </c>
      <c r="C411" t="s">
        <v>442</v>
      </c>
      <c r="D411" s="180" t="s">
        <v>61</v>
      </c>
      <c r="E411" t="s">
        <v>1175</v>
      </c>
      <c r="F411" t="s">
        <v>7674</v>
      </c>
      <c r="G411" s="180">
        <v>16337</v>
      </c>
      <c r="H411">
        <v>1987</v>
      </c>
      <c r="I411">
        <v>2016</v>
      </c>
      <c r="J411" s="1334" t="s">
        <v>475</v>
      </c>
      <c r="K411" s="1335" t="s">
        <v>475</v>
      </c>
      <c r="L411" s="180">
        <v>0</v>
      </c>
      <c r="M411" t="s">
        <v>73</v>
      </c>
      <c r="N411" t="str">
        <f t="shared" si="26"/>
        <v>UGA College of Pharmacy (H236)</v>
      </c>
      <c r="O411" t="s">
        <v>62</v>
      </c>
      <c r="P411" t="str">
        <f t="shared" si="27"/>
        <v>12000_H236</v>
      </c>
      <c r="Q411" s="180">
        <v>100</v>
      </c>
    </row>
    <row r="412" spans="1:17">
      <c r="A412" t="str">
        <f t="shared" si="24"/>
        <v>AU_H238</v>
      </c>
      <c r="B412" t="str">
        <f t="shared" si="25"/>
        <v>AU_HS Facilities Services</v>
      </c>
      <c r="C412" t="s">
        <v>442</v>
      </c>
      <c r="D412" s="180" t="s">
        <v>61</v>
      </c>
      <c r="E412" t="s">
        <v>1356</v>
      </c>
      <c r="F412" t="s">
        <v>1357</v>
      </c>
      <c r="G412" s="180">
        <v>27851</v>
      </c>
      <c r="H412">
        <v>1980</v>
      </c>
      <c r="J412" s="1334" t="s">
        <v>475</v>
      </c>
      <c r="K412" s="1335" t="s">
        <v>475</v>
      </c>
      <c r="L412" s="180">
        <v>100</v>
      </c>
      <c r="M412" t="s">
        <v>73</v>
      </c>
      <c r="N412" t="str">
        <f t="shared" si="26"/>
        <v>HS Facilities Services (H238)</v>
      </c>
      <c r="O412" t="s">
        <v>62</v>
      </c>
      <c r="P412" t="str">
        <f t="shared" si="27"/>
        <v>12000_H238</v>
      </c>
      <c r="Q412" s="180">
        <v>100</v>
      </c>
    </row>
    <row r="413" spans="1:17">
      <c r="A413" t="str">
        <f t="shared" si="24"/>
        <v>AU_H240</v>
      </c>
      <c r="B413" t="str">
        <f t="shared" si="25"/>
        <v>AU_HSC Health Sciences Building</v>
      </c>
      <c r="C413" t="s">
        <v>442</v>
      </c>
      <c r="D413" s="180" t="s">
        <v>61</v>
      </c>
      <c r="E413" t="s">
        <v>1421</v>
      </c>
      <c r="F413" t="s">
        <v>1422</v>
      </c>
      <c r="G413" s="180">
        <v>192246</v>
      </c>
      <c r="H413">
        <v>2006</v>
      </c>
      <c r="J413" s="1334" t="s">
        <v>520</v>
      </c>
      <c r="K413" s="1335" t="s">
        <v>475</v>
      </c>
      <c r="L413" s="180">
        <v>100</v>
      </c>
      <c r="M413" t="s">
        <v>73</v>
      </c>
      <c r="N413" t="str">
        <f t="shared" si="26"/>
        <v>HSC Health Sciences Building (H240)</v>
      </c>
      <c r="O413" t="s">
        <v>62</v>
      </c>
      <c r="P413" t="str">
        <f t="shared" si="27"/>
        <v>12000_H240</v>
      </c>
      <c r="Q413" s="180">
        <v>100</v>
      </c>
    </row>
    <row r="414" spans="1:17">
      <c r="A414" t="str">
        <f t="shared" si="24"/>
        <v>AU_H242</v>
      </c>
      <c r="B414" t="str">
        <f t="shared" si="25"/>
        <v>AU_Walter L. Shepeard Building</v>
      </c>
      <c r="C414" t="s">
        <v>442</v>
      </c>
      <c r="D414" s="180" t="s">
        <v>61</v>
      </c>
      <c r="E414" t="s">
        <v>1211</v>
      </c>
      <c r="F414" t="s">
        <v>1212</v>
      </c>
      <c r="G414" s="180">
        <v>21069</v>
      </c>
      <c r="H414">
        <v>1935</v>
      </c>
      <c r="I414">
        <v>2015</v>
      </c>
      <c r="J414" s="1334" t="s">
        <v>475</v>
      </c>
      <c r="K414" s="1335" t="s">
        <v>475</v>
      </c>
      <c r="L414" s="180">
        <v>100</v>
      </c>
      <c r="M414" t="s">
        <v>73</v>
      </c>
      <c r="N414" t="str">
        <f t="shared" si="26"/>
        <v>Walter L. Shepeard Building (H242)</v>
      </c>
      <c r="O414" t="s">
        <v>62</v>
      </c>
      <c r="P414" t="str">
        <f t="shared" si="27"/>
        <v>12000_H242</v>
      </c>
      <c r="Q414" s="180">
        <v>100</v>
      </c>
    </row>
    <row r="415" spans="1:17">
      <c r="A415" t="str">
        <f t="shared" si="24"/>
        <v>AU_H243</v>
      </c>
      <c r="B415" t="str">
        <f t="shared" si="25"/>
        <v>AU_Stoney Building</v>
      </c>
      <c r="C415" t="s">
        <v>442</v>
      </c>
      <c r="D415" s="180" t="s">
        <v>61</v>
      </c>
      <c r="E415" t="s">
        <v>1281</v>
      </c>
      <c r="F415" t="s">
        <v>1282</v>
      </c>
      <c r="G415" s="180">
        <v>18789</v>
      </c>
      <c r="H415">
        <v>1937</v>
      </c>
      <c r="I415">
        <v>1995</v>
      </c>
      <c r="J415" s="1334" t="s">
        <v>475</v>
      </c>
      <c r="K415" s="1335" t="s">
        <v>475</v>
      </c>
      <c r="L415" s="180">
        <v>93</v>
      </c>
      <c r="M415" t="s">
        <v>73</v>
      </c>
      <c r="N415" t="str">
        <f t="shared" si="26"/>
        <v>Stoney Building (H243)</v>
      </c>
      <c r="O415" t="s">
        <v>62</v>
      </c>
      <c r="P415" t="str">
        <f t="shared" si="27"/>
        <v>12000_H243</v>
      </c>
      <c r="Q415" s="180">
        <v>100</v>
      </c>
    </row>
    <row r="416" spans="1:17">
      <c r="A416" t="str">
        <f t="shared" si="24"/>
        <v>AU_H244</v>
      </c>
      <c r="B416" t="str">
        <f t="shared" si="25"/>
        <v>AU_Grounds Services 1</v>
      </c>
      <c r="C416" t="s">
        <v>442</v>
      </c>
      <c r="D416" s="180" t="s">
        <v>61</v>
      </c>
      <c r="E416" t="s">
        <v>1243</v>
      </c>
      <c r="F416" t="s">
        <v>1244</v>
      </c>
      <c r="G416" s="180">
        <v>5492</v>
      </c>
      <c r="H416">
        <v>1922</v>
      </c>
      <c r="J416" s="1334" t="s">
        <v>475</v>
      </c>
      <c r="K416" s="1335" t="s">
        <v>475</v>
      </c>
      <c r="L416" s="180">
        <v>100</v>
      </c>
      <c r="M416" t="s">
        <v>73</v>
      </c>
      <c r="N416" t="str">
        <f t="shared" si="26"/>
        <v>Grounds Services 1 (H244)</v>
      </c>
      <c r="O416" t="s">
        <v>62</v>
      </c>
      <c r="P416" t="str">
        <f t="shared" si="27"/>
        <v>12000_H244</v>
      </c>
      <c r="Q416" s="180">
        <v>100</v>
      </c>
    </row>
    <row r="417" spans="1:17">
      <c r="A417" t="str">
        <f t="shared" si="24"/>
        <v>AU_H245</v>
      </c>
      <c r="B417" t="str">
        <f t="shared" si="25"/>
        <v>AU_Grounds Services</v>
      </c>
      <c r="C417" t="s">
        <v>442</v>
      </c>
      <c r="D417" s="180" t="s">
        <v>61</v>
      </c>
      <c r="E417" t="s">
        <v>1260</v>
      </c>
      <c r="F417" t="s">
        <v>1261</v>
      </c>
      <c r="G417" s="180">
        <v>3519</v>
      </c>
      <c r="H417">
        <v>1979</v>
      </c>
      <c r="J417" s="1334" t="s">
        <v>475</v>
      </c>
      <c r="K417" s="1335" t="s">
        <v>475</v>
      </c>
      <c r="L417" s="180">
        <v>100</v>
      </c>
      <c r="M417" t="s">
        <v>73</v>
      </c>
      <c r="N417" t="str">
        <f t="shared" si="26"/>
        <v>Grounds Services (H245)</v>
      </c>
      <c r="O417" t="s">
        <v>62</v>
      </c>
      <c r="P417" t="str">
        <f t="shared" si="27"/>
        <v>12000_H245</v>
      </c>
      <c r="Q417" s="180">
        <v>0</v>
      </c>
    </row>
    <row r="418" spans="1:17">
      <c r="A418" t="str">
        <f t="shared" si="24"/>
        <v>AU_H246</v>
      </c>
      <c r="B418" t="str">
        <f t="shared" si="25"/>
        <v>AU_Grounds Services 2</v>
      </c>
      <c r="C418" t="s">
        <v>442</v>
      </c>
      <c r="D418" s="180" t="s">
        <v>61</v>
      </c>
      <c r="E418" t="s">
        <v>1337</v>
      </c>
      <c r="F418" t="s">
        <v>1338</v>
      </c>
      <c r="G418" s="180">
        <v>1351</v>
      </c>
      <c r="H418">
        <v>1950</v>
      </c>
      <c r="J418" s="1334" t="s">
        <v>475</v>
      </c>
      <c r="K418" s="1335" t="s">
        <v>475</v>
      </c>
      <c r="L418" s="180">
        <v>100</v>
      </c>
      <c r="M418" t="s">
        <v>73</v>
      </c>
      <c r="N418" t="str">
        <f t="shared" si="26"/>
        <v>Grounds Services 2 (H246)</v>
      </c>
      <c r="O418" t="s">
        <v>62</v>
      </c>
      <c r="P418" t="str">
        <f t="shared" si="27"/>
        <v>12000_H246</v>
      </c>
      <c r="Q418" s="180">
        <v>98</v>
      </c>
    </row>
    <row r="419" spans="1:17">
      <c r="A419" t="str">
        <f t="shared" si="24"/>
        <v>AU_H247</v>
      </c>
      <c r="B419" t="str">
        <f t="shared" si="25"/>
        <v>AU_Grounds Services 3</v>
      </c>
      <c r="C419" t="s">
        <v>442</v>
      </c>
      <c r="D419" s="180" t="s">
        <v>61</v>
      </c>
      <c r="E419" t="s">
        <v>1145</v>
      </c>
      <c r="F419" t="s">
        <v>1146</v>
      </c>
      <c r="G419" s="180">
        <v>12501</v>
      </c>
      <c r="H419">
        <v>1967</v>
      </c>
      <c r="J419" s="1334" t="s">
        <v>475</v>
      </c>
      <c r="K419" s="1335" t="s">
        <v>475</v>
      </c>
      <c r="L419" s="180">
        <v>100</v>
      </c>
      <c r="M419" t="s">
        <v>73</v>
      </c>
      <c r="N419" t="str">
        <f t="shared" si="26"/>
        <v>Grounds Services 3 (H247)</v>
      </c>
      <c r="O419" t="s">
        <v>62</v>
      </c>
      <c r="P419" t="str">
        <f t="shared" si="27"/>
        <v>12000_H247</v>
      </c>
      <c r="Q419" s="180">
        <v>100</v>
      </c>
    </row>
    <row r="420" spans="1:17">
      <c r="A420" t="str">
        <f t="shared" si="24"/>
        <v>AU_H301</v>
      </c>
      <c r="B420" t="str">
        <f t="shared" si="25"/>
        <v>AU_HS Student Activities Center</v>
      </c>
      <c r="C420" t="s">
        <v>442</v>
      </c>
      <c r="D420" s="180" t="s">
        <v>61</v>
      </c>
      <c r="E420" t="s">
        <v>1343</v>
      </c>
      <c r="F420" t="s">
        <v>1344</v>
      </c>
      <c r="G420" s="180">
        <v>71066</v>
      </c>
      <c r="H420">
        <v>1967</v>
      </c>
      <c r="J420" s="1334" t="s">
        <v>475</v>
      </c>
      <c r="K420" s="1335" t="s">
        <v>475</v>
      </c>
      <c r="L420" s="180">
        <v>27</v>
      </c>
      <c r="M420" t="s">
        <v>73</v>
      </c>
      <c r="N420" t="str">
        <f t="shared" si="26"/>
        <v>HS Student Activities Center (H301)</v>
      </c>
      <c r="O420" t="s">
        <v>62</v>
      </c>
      <c r="P420" t="str">
        <f t="shared" si="27"/>
        <v>12000_H301</v>
      </c>
      <c r="Q420" s="180">
        <v>0</v>
      </c>
    </row>
    <row r="421" spans="1:17">
      <c r="A421" t="str">
        <f t="shared" si="24"/>
        <v>AU_H309</v>
      </c>
      <c r="B421" t="str">
        <f t="shared" si="25"/>
        <v>AU_Goss Lane Parking Deck</v>
      </c>
      <c r="C421" t="s">
        <v>442</v>
      </c>
      <c r="D421" s="180" t="s">
        <v>61</v>
      </c>
      <c r="E421" t="s">
        <v>1190</v>
      </c>
      <c r="F421" t="s">
        <v>1191</v>
      </c>
      <c r="G421" s="180">
        <v>154646</v>
      </c>
      <c r="H421">
        <v>1975</v>
      </c>
      <c r="J421" s="1334" t="s">
        <v>475</v>
      </c>
      <c r="K421" s="1335" t="s">
        <v>475</v>
      </c>
      <c r="L421" s="180">
        <v>0</v>
      </c>
      <c r="M421" t="s">
        <v>73</v>
      </c>
      <c r="N421" t="str">
        <f t="shared" si="26"/>
        <v>Goss Lane Parking Deck (H309)</v>
      </c>
      <c r="O421" t="s">
        <v>62</v>
      </c>
      <c r="P421" t="str">
        <f t="shared" si="27"/>
        <v>12000_H309</v>
      </c>
      <c r="Q421" s="180">
        <v>0</v>
      </c>
    </row>
    <row r="422" spans="1:17">
      <c r="A422" t="str">
        <f t="shared" si="24"/>
        <v>AU_H310</v>
      </c>
      <c r="B422" t="str">
        <f t="shared" si="25"/>
        <v>AU_Harrison Education Commons</v>
      </c>
      <c r="C422" t="s">
        <v>442</v>
      </c>
      <c r="D422" s="180" t="s">
        <v>61</v>
      </c>
      <c r="E422" t="s">
        <v>1248</v>
      </c>
      <c r="F422" t="s">
        <v>1249</v>
      </c>
      <c r="G422" s="180">
        <v>180974</v>
      </c>
      <c r="H422">
        <v>2014</v>
      </c>
      <c r="J422" s="1334" t="s">
        <v>520</v>
      </c>
      <c r="K422" s="1335" t="s">
        <v>475</v>
      </c>
      <c r="L422" s="180">
        <v>100</v>
      </c>
      <c r="M422" t="s">
        <v>73</v>
      </c>
      <c r="N422" t="str">
        <f t="shared" si="26"/>
        <v>Harrison Education Commons (H310)</v>
      </c>
      <c r="O422" t="s">
        <v>62</v>
      </c>
      <c r="P422" t="str">
        <f t="shared" si="27"/>
        <v>12000_H310</v>
      </c>
      <c r="Q422" s="180">
        <v>0</v>
      </c>
    </row>
    <row r="423" spans="1:17">
      <c r="A423" t="str">
        <f t="shared" si="24"/>
        <v>AU_H311</v>
      </c>
      <c r="B423" t="str">
        <f t="shared" si="25"/>
        <v>AU_Interdisciplinary Research Bld</v>
      </c>
      <c r="C423" t="s">
        <v>442</v>
      </c>
      <c r="D423" s="180" t="s">
        <v>61</v>
      </c>
      <c r="E423" t="s">
        <v>1218</v>
      </c>
      <c r="F423" t="s">
        <v>1219</v>
      </c>
      <c r="G423" s="180">
        <v>211255</v>
      </c>
      <c r="H423">
        <v>1995</v>
      </c>
      <c r="J423" s="1334" t="s">
        <v>520</v>
      </c>
      <c r="K423" s="1335" t="s">
        <v>475</v>
      </c>
      <c r="L423" s="180">
        <v>100</v>
      </c>
      <c r="M423" t="s">
        <v>73</v>
      </c>
      <c r="N423" t="str">
        <f t="shared" si="26"/>
        <v>Interdisciplinary Research Bld (H311)</v>
      </c>
      <c r="O423" t="s">
        <v>62</v>
      </c>
      <c r="P423" t="str">
        <f t="shared" si="27"/>
        <v>12000_H311</v>
      </c>
      <c r="Q423" s="180">
        <v>0</v>
      </c>
    </row>
    <row r="424" spans="1:17">
      <c r="A424" t="str">
        <f t="shared" si="24"/>
        <v>AU_H312</v>
      </c>
      <c r="B424" t="str">
        <f t="shared" si="25"/>
        <v>AU_Dental College of Georgia</v>
      </c>
      <c r="C424" t="s">
        <v>442</v>
      </c>
      <c r="D424" s="180" t="s">
        <v>61</v>
      </c>
      <c r="E424" t="s">
        <v>1292</v>
      </c>
      <c r="F424" t="s">
        <v>1293</v>
      </c>
      <c r="G424" s="180">
        <v>272399</v>
      </c>
      <c r="H424">
        <v>2011</v>
      </c>
      <c r="J424" s="1334" t="s">
        <v>520</v>
      </c>
      <c r="K424" s="1335" t="s">
        <v>475</v>
      </c>
      <c r="L424" s="180">
        <v>100</v>
      </c>
      <c r="M424" t="s">
        <v>73</v>
      </c>
      <c r="N424" t="str">
        <f t="shared" si="26"/>
        <v>Dental College of Georgia (H312)</v>
      </c>
      <c r="O424" t="s">
        <v>62</v>
      </c>
      <c r="P424" t="str">
        <f t="shared" si="27"/>
        <v>12000_H312</v>
      </c>
      <c r="Q424" s="180">
        <v>0</v>
      </c>
    </row>
    <row r="425" spans="1:17">
      <c r="A425" t="str">
        <f t="shared" si="24"/>
        <v>AU_H313</v>
      </c>
      <c r="B425" t="str">
        <f t="shared" si="25"/>
        <v>AU_Sanders Building</v>
      </c>
      <c r="C425" t="s">
        <v>442</v>
      </c>
      <c r="D425" s="180" t="s">
        <v>61</v>
      </c>
      <c r="E425" t="s">
        <v>1345</v>
      </c>
      <c r="F425" t="s">
        <v>1346</v>
      </c>
      <c r="G425" s="180">
        <v>305796</v>
      </c>
      <c r="H425">
        <v>1970</v>
      </c>
      <c r="I425">
        <v>2007</v>
      </c>
      <c r="J425" s="1334" t="s">
        <v>475</v>
      </c>
      <c r="K425" s="1335" t="s">
        <v>475</v>
      </c>
      <c r="L425" s="180">
        <v>100</v>
      </c>
      <c r="M425" t="s">
        <v>73</v>
      </c>
      <c r="N425" t="str">
        <f t="shared" si="26"/>
        <v>Sanders Building (H313)</v>
      </c>
      <c r="O425" t="s">
        <v>62</v>
      </c>
      <c r="P425" t="str">
        <f t="shared" si="27"/>
        <v>12000_H313</v>
      </c>
      <c r="Q425" s="180">
        <v>0</v>
      </c>
    </row>
    <row r="426" spans="1:17">
      <c r="A426" t="str">
        <f t="shared" si="24"/>
        <v>AU_H314</v>
      </c>
      <c r="B426" t="str">
        <f t="shared" si="25"/>
        <v>AU_Hamilton Building</v>
      </c>
      <c r="C426" t="s">
        <v>442</v>
      </c>
      <c r="D426" s="180" t="s">
        <v>61</v>
      </c>
      <c r="E426" t="s">
        <v>1273</v>
      </c>
      <c r="F426" t="s">
        <v>1274</v>
      </c>
      <c r="G426" s="180">
        <v>44134</v>
      </c>
      <c r="H426">
        <v>1977</v>
      </c>
      <c r="J426" s="1334" t="s">
        <v>475</v>
      </c>
      <c r="K426" s="1335" t="s">
        <v>475</v>
      </c>
      <c r="L426" s="180">
        <v>100</v>
      </c>
      <c r="M426" t="s">
        <v>73</v>
      </c>
      <c r="N426" t="str">
        <f t="shared" si="26"/>
        <v>Hamilton Building (H314)</v>
      </c>
      <c r="O426" t="s">
        <v>62</v>
      </c>
      <c r="P426" t="str">
        <f t="shared" si="27"/>
        <v>12000_H314</v>
      </c>
      <c r="Q426" s="180">
        <v>0</v>
      </c>
    </row>
    <row r="427" spans="1:17">
      <c r="A427" t="str">
        <f t="shared" si="24"/>
        <v>AU_H315</v>
      </c>
      <c r="B427" t="str">
        <f t="shared" si="25"/>
        <v>AU_South Energy Plant</v>
      </c>
      <c r="C427" t="s">
        <v>442</v>
      </c>
      <c r="D427" s="180" t="s">
        <v>61</v>
      </c>
      <c r="E427" t="s">
        <v>1367</v>
      </c>
      <c r="F427" t="s">
        <v>1368</v>
      </c>
      <c r="G427" s="180">
        <v>13316</v>
      </c>
      <c r="H427">
        <v>2005</v>
      </c>
      <c r="J427" s="1334" t="s">
        <v>475</v>
      </c>
      <c r="K427" s="1335" t="s">
        <v>475</v>
      </c>
      <c r="L427" s="180">
        <v>100</v>
      </c>
      <c r="M427" t="s">
        <v>73</v>
      </c>
      <c r="N427" t="str">
        <f t="shared" si="26"/>
        <v>South Energy Plant (H315)</v>
      </c>
      <c r="O427" t="s">
        <v>62</v>
      </c>
      <c r="P427" t="str">
        <f t="shared" si="27"/>
        <v>12000_H315</v>
      </c>
      <c r="Q427" s="180">
        <v>100</v>
      </c>
    </row>
    <row r="428" spans="1:17">
      <c r="A428" t="str">
        <f t="shared" si="24"/>
        <v>AU_H316</v>
      </c>
      <c r="B428" t="str">
        <f t="shared" si="25"/>
        <v>AU_Modular Data Center</v>
      </c>
      <c r="C428" t="s">
        <v>442</v>
      </c>
      <c r="D428" s="180" t="s">
        <v>61</v>
      </c>
      <c r="E428" t="s">
        <v>7601</v>
      </c>
      <c r="F428" t="s">
        <v>7675</v>
      </c>
      <c r="G428" s="180">
        <v>2097</v>
      </c>
      <c r="H428">
        <v>2023</v>
      </c>
      <c r="J428" s="1334" t="s">
        <v>475</v>
      </c>
      <c r="K428" s="1335" t="s">
        <v>475</v>
      </c>
      <c r="L428" s="180">
        <v>100</v>
      </c>
      <c r="M428" t="s">
        <v>73</v>
      </c>
      <c r="N428" t="str">
        <f t="shared" si="26"/>
        <v>Modular Data Center (H316)</v>
      </c>
      <c r="O428" t="s">
        <v>62</v>
      </c>
      <c r="P428" t="str">
        <f t="shared" si="27"/>
        <v>12000_H316</v>
      </c>
      <c r="Q428" s="180">
        <v>100</v>
      </c>
    </row>
    <row r="429" spans="1:17">
      <c r="A429" t="str">
        <f t="shared" si="24"/>
        <v>AU_H317</v>
      </c>
      <c r="B429" t="str">
        <f t="shared" si="25"/>
        <v>AU_Material Safety Stor Facililty</v>
      </c>
      <c r="C429" t="s">
        <v>442</v>
      </c>
      <c r="D429" s="180" t="s">
        <v>61</v>
      </c>
      <c r="E429" t="s">
        <v>1377</v>
      </c>
      <c r="F429" t="s">
        <v>1378</v>
      </c>
      <c r="G429" s="180">
        <v>2152</v>
      </c>
      <c r="H429">
        <v>1998</v>
      </c>
      <c r="J429" s="1334" t="s">
        <v>475</v>
      </c>
      <c r="K429" s="1335" t="s">
        <v>475</v>
      </c>
      <c r="L429" s="180">
        <v>100</v>
      </c>
      <c r="M429" t="s">
        <v>73</v>
      </c>
      <c r="N429" t="str">
        <f t="shared" si="26"/>
        <v>Material Safety Stor Facililty (H317)</v>
      </c>
      <c r="O429" t="s">
        <v>62</v>
      </c>
      <c r="P429" t="str">
        <f t="shared" si="27"/>
        <v>12000_H317</v>
      </c>
      <c r="Q429" s="180">
        <v>100</v>
      </c>
    </row>
    <row r="430" spans="1:17">
      <c r="A430" t="str">
        <f t="shared" si="24"/>
        <v>AU_H318</v>
      </c>
      <c r="B430" t="str">
        <f t="shared" si="25"/>
        <v>AU_Enviro. Health &amp; Safety Office</v>
      </c>
      <c r="C430" t="s">
        <v>442</v>
      </c>
      <c r="D430" s="180" t="s">
        <v>61</v>
      </c>
      <c r="E430" t="s">
        <v>1298</v>
      </c>
      <c r="F430" t="s">
        <v>1299</v>
      </c>
      <c r="G430" s="180">
        <v>4717</v>
      </c>
      <c r="H430">
        <v>1970</v>
      </c>
      <c r="J430" s="1334" t="s">
        <v>475</v>
      </c>
      <c r="K430" s="1335" t="s">
        <v>475</v>
      </c>
      <c r="L430" s="180">
        <v>100</v>
      </c>
      <c r="M430" t="s">
        <v>73</v>
      </c>
      <c r="N430" t="str">
        <f t="shared" si="26"/>
        <v>Enviro. Health &amp; Safety Office (H318)</v>
      </c>
      <c r="O430" t="s">
        <v>62</v>
      </c>
      <c r="P430" t="str">
        <f t="shared" si="27"/>
        <v>12000_H318</v>
      </c>
      <c r="Q430" s="180">
        <v>100</v>
      </c>
    </row>
    <row r="431" spans="1:17">
      <c r="A431" t="str">
        <f t="shared" si="24"/>
        <v>AU_H319</v>
      </c>
      <c r="B431" t="str">
        <f t="shared" si="25"/>
        <v>AU_RA Dent Parking Deck</v>
      </c>
      <c r="C431" t="s">
        <v>442</v>
      </c>
      <c r="D431" s="180" t="s">
        <v>61</v>
      </c>
      <c r="E431" t="s">
        <v>1322</v>
      </c>
      <c r="F431" t="s">
        <v>1323</v>
      </c>
      <c r="G431" s="180">
        <v>149505</v>
      </c>
      <c r="H431">
        <v>1986</v>
      </c>
      <c r="J431" s="1334" t="s">
        <v>475</v>
      </c>
      <c r="K431" s="1335" t="s">
        <v>475</v>
      </c>
      <c r="L431" s="180">
        <v>0</v>
      </c>
      <c r="M431" t="s">
        <v>73</v>
      </c>
      <c r="N431" t="str">
        <f t="shared" si="26"/>
        <v>RA Dent Parking Deck (H319)</v>
      </c>
      <c r="O431" t="s">
        <v>62</v>
      </c>
      <c r="P431" t="str">
        <f t="shared" si="27"/>
        <v>12000_H319</v>
      </c>
      <c r="Q431" s="180">
        <v>100</v>
      </c>
    </row>
    <row r="432" spans="1:17">
      <c r="A432" t="str">
        <f t="shared" si="24"/>
        <v>AU_H320</v>
      </c>
      <c r="B432" t="str">
        <f t="shared" si="25"/>
        <v>AU_Cancer Research Bldg</v>
      </c>
      <c r="C432" t="s">
        <v>442</v>
      </c>
      <c r="D432" s="180" t="s">
        <v>61</v>
      </c>
      <c r="E432" t="s">
        <v>1147</v>
      </c>
      <c r="F432" t="s">
        <v>1148</v>
      </c>
      <c r="G432" s="180">
        <v>230796</v>
      </c>
      <c r="H432">
        <v>2006</v>
      </c>
      <c r="J432" s="1334" t="s">
        <v>486</v>
      </c>
      <c r="K432" s="1335" t="s">
        <v>475</v>
      </c>
      <c r="L432" s="180">
        <v>100</v>
      </c>
      <c r="M432" t="s">
        <v>73</v>
      </c>
      <c r="N432" t="str">
        <f t="shared" si="26"/>
        <v>Cancer Research Bldg (H320)</v>
      </c>
      <c r="O432" t="s">
        <v>62</v>
      </c>
      <c r="P432" t="str">
        <f t="shared" si="27"/>
        <v>12000_H320</v>
      </c>
      <c r="Q432" s="180">
        <v>100</v>
      </c>
    </row>
    <row r="433" spans="1:17">
      <c r="A433" t="str">
        <f t="shared" si="24"/>
        <v>AU_H321</v>
      </c>
      <c r="B433" t="str">
        <f t="shared" si="25"/>
        <v>AU_Clay  Street Warehouse</v>
      </c>
      <c r="C433" t="s">
        <v>442</v>
      </c>
      <c r="D433" s="180" t="s">
        <v>61</v>
      </c>
      <c r="E433" t="s">
        <v>1287</v>
      </c>
      <c r="F433" t="s">
        <v>1288</v>
      </c>
      <c r="G433" s="180">
        <v>114732</v>
      </c>
      <c r="H433">
        <v>1956</v>
      </c>
      <c r="J433" s="1334" t="s">
        <v>475</v>
      </c>
      <c r="K433" s="1335" t="s">
        <v>475</v>
      </c>
      <c r="L433" s="180">
        <v>100</v>
      </c>
      <c r="M433" t="s">
        <v>4</v>
      </c>
      <c r="N433" t="str">
        <f t="shared" si="26"/>
        <v>Clay  Street Warehouse (H321)</v>
      </c>
      <c r="O433" t="s">
        <v>62</v>
      </c>
      <c r="P433" t="str">
        <f t="shared" si="27"/>
        <v>12000_H321</v>
      </c>
      <c r="Q433" s="180">
        <v>100</v>
      </c>
    </row>
    <row r="434" spans="1:17">
      <c r="A434" t="str">
        <f t="shared" si="24"/>
        <v>AU_H322</v>
      </c>
      <c r="B434" t="str">
        <f t="shared" si="25"/>
        <v>AU_Pavilion 3</v>
      </c>
      <c r="C434" t="s">
        <v>442</v>
      </c>
      <c r="D434" s="180" t="s">
        <v>61</v>
      </c>
      <c r="E434" t="s">
        <v>1375</v>
      </c>
      <c r="F434" t="s">
        <v>1376</v>
      </c>
      <c r="G434" s="180">
        <v>68629</v>
      </c>
      <c r="H434">
        <v>1973</v>
      </c>
      <c r="J434" s="1334" t="s">
        <v>475</v>
      </c>
      <c r="K434" s="1335" t="s">
        <v>475</v>
      </c>
      <c r="L434" s="180">
        <v>100</v>
      </c>
      <c r="M434" t="s">
        <v>73</v>
      </c>
      <c r="N434" t="str">
        <f t="shared" si="26"/>
        <v>Pavilion 3 (H322)</v>
      </c>
      <c r="O434" t="s">
        <v>62</v>
      </c>
      <c r="P434" t="str">
        <f t="shared" si="27"/>
        <v>12000_H322</v>
      </c>
      <c r="Q434" s="180">
        <v>100</v>
      </c>
    </row>
    <row r="435" spans="1:17">
      <c r="A435" t="str">
        <f t="shared" si="24"/>
        <v>AU_H325</v>
      </c>
      <c r="B435" t="str">
        <f t="shared" si="25"/>
        <v>AU_College of Math &amp; Science</v>
      </c>
      <c r="C435" t="s">
        <v>442</v>
      </c>
      <c r="D435" s="180" t="s">
        <v>61</v>
      </c>
      <c r="E435" t="s">
        <v>7013</v>
      </c>
      <c r="F435" t="s">
        <v>7075</v>
      </c>
      <c r="G435" s="180">
        <v>125683</v>
      </c>
      <c r="H435">
        <v>2021</v>
      </c>
      <c r="J435" s="1334" t="s">
        <v>520</v>
      </c>
      <c r="K435" s="1335" t="s">
        <v>475</v>
      </c>
      <c r="L435" s="180">
        <v>100</v>
      </c>
      <c r="M435" t="s">
        <v>73</v>
      </c>
      <c r="N435" t="str">
        <f t="shared" si="26"/>
        <v>College of Math &amp; Science (H325)</v>
      </c>
      <c r="O435" t="s">
        <v>62</v>
      </c>
      <c r="P435" t="str">
        <f t="shared" si="27"/>
        <v>12000_H325</v>
      </c>
      <c r="Q435" s="180">
        <v>100</v>
      </c>
    </row>
    <row r="436" spans="1:17">
      <c r="A436" t="str">
        <f t="shared" si="24"/>
        <v>AU_RV1</v>
      </c>
      <c r="B436" t="str">
        <f t="shared" si="25"/>
        <v>AU_Hull McKnight GA Cyber Center</v>
      </c>
      <c r="C436" t="s">
        <v>442</v>
      </c>
      <c r="D436" s="180" t="s">
        <v>61</v>
      </c>
      <c r="E436" t="s">
        <v>1339</v>
      </c>
      <c r="F436" t="s">
        <v>1340</v>
      </c>
      <c r="G436" s="180">
        <v>181223</v>
      </c>
      <c r="H436">
        <v>2017</v>
      </c>
      <c r="J436" s="1334" t="s">
        <v>475</v>
      </c>
      <c r="K436" s="1335" t="s">
        <v>475</v>
      </c>
      <c r="L436" s="180">
        <v>26</v>
      </c>
      <c r="M436" t="s">
        <v>7817</v>
      </c>
      <c r="N436" t="str">
        <f t="shared" si="26"/>
        <v>Hull McKnight GA Cyber Center (RV1)</v>
      </c>
      <c r="O436" t="s">
        <v>62</v>
      </c>
      <c r="P436" t="str">
        <f t="shared" si="27"/>
        <v>12000_RV1</v>
      </c>
      <c r="Q436" s="180">
        <v>10</v>
      </c>
    </row>
    <row r="437" spans="1:17">
      <c r="A437" t="str">
        <f t="shared" si="24"/>
        <v>AU_RV2</v>
      </c>
      <c r="B437" t="str">
        <f t="shared" si="25"/>
        <v>AU_MacCartney Schaffer Cyber Ctr</v>
      </c>
      <c r="C437" t="s">
        <v>442</v>
      </c>
      <c r="D437" s="180" t="s">
        <v>61</v>
      </c>
      <c r="E437" t="s">
        <v>7014</v>
      </c>
      <c r="F437" t="s">
        <v>7076</v>
      </c>
      <c r="G437" s="180">
        <v>173780</v>
      </c>
      <c r="H437">
        <v>2018</v>
      </c>
      <c r="J437" s="1334" t="s">
        <v>475</v>
      </c>
      <c r="K437" s="1335" t="s">
        <v>475</v>
      </c>
      <c r="L437" s="180">
        <v>12</v>
      </c>
      <c r="M437" t="s">
        <v>7817</v>
      </c>
      <c r="N437" t="str">
        <f t="shared" si="26"/>
        <v>MacCartney Schaffer Cyber Ctr (RV2)</v>
      </c>
      <c r="O437" t="s">
        <v>62</v>
      </c>
      <c r="P437" t="str">
        <f t="shared" si="27"/>
        <v>12000_RV2</v>
      </c>
      <c r="Q437" s="180">
        <v>0</v>
      </c>
    </row>
    <row r="438" spans="1:17">
      <c r="A438" t="str">
        <f t="shared" si="24"/>
        <v>AU_S101</v>
      </c>
      <c r="B438" t="str">
        <f t="shared" si="25"/>
        <v>AU_Bus Stop</v>
      </c>
      <c r="C438" t="s">
        <v>442</v>
      </c>
      <c r="D438" s="180" t="s">
        <v>61</v>
      </c>
      <c r="E438" t="s">
        <v>1300</v>
      </c>
      <c r="F438" t="s">
        <v>1301</v>
      </c>
      <c r="G438" s="180">
        <v>368</v>
      </c>
      <c r="H438">
        <v>2004</v>
      </c>
      <c r="J438" s="1334" t="s">
        <v>475</v>
      </c>
      <c r="K438" s="1335" t="s">
        <v>475</v>
      </c>
      <c r="L438" s="180">
        <v>0</v>
      </c>
      <c r="M438" t="s">
        <v>74</v>
      </c>
      <c r="N438" t="str">
        <f t="shared" si="26"/>
        <v>Bus Stop (S101)</v>
      </c>
      <c r="O438" t="s">
        <v>62</v>
      </c>
      <c r="P438" t="str">
        <f t="shared" si="27"/>
        <v>12000_S101</v>
      </c>
      <c r="Q438" s="180">
        <v>43</v>
      </c>
    </row>
    <row r="439" spans="1:17">
      <c r="A439" t="str">
        <f t="shared" si="24"/>
        <v>AU_S102</v>
      </c>
      <c r="B439" t="str">
        <f t="shared" si="25"/>
        <v>AU_Fanning Hall</v>
      </c>
      <c r="C439" t="s">
        <v>442</v>
      </c>
      <c r="D439" s="180" t="s">
        <v>61</v>
      </c>
      <c r="E439" t="s">
        <v>1308</v>
      </c>
      <c r="F439" t="s">
        <v>1309</v>
      </c>
      <c r="G439" s="180">
        <v>9440</v>
      </c>
      <c r="H439">
        <v>1826</v>
      </c>
      <c r="J439" s="1334" t="s">
        <v>475</v>
      </c>
      <c r="K439" s="1335" t="s">
        <v>475</v>
      </c>
      <c r="L439" s="180">
        <v>100</v>
      </c>
      <c r="M439" t="s">
        <v>74</v>
      </c>
      <c r="N439" t="str">
        <f t="shared" si="26"/>
        <v>Fanning Hall (S102)</v>
      </c>
      <c r="O439" t="s">
        <v>62</v>
      </c>
      <c r="P439" t="str">
        <f t="shared" si="27"/>
        <v>12000_S102</v>
      </c>
      <c r="Q439" s="180">
        <v>100</v>
      </c>
    </row>
    <row r="440" spans="1:17">
      <c r="A440" t="str">
        <f t="shared" si="24"/>
        <v>AU_S103</v>
      </c>
      <c r="B440" t="str">
        <f t="shared" si="25"/>
        <v>AU_Fine Arts Center</v>
      </c>
      <c r="C440" t="s">
        <v>442</v>
      </c>
      <c r="D440" s="180" t="s">
        <v>61</v>
      </c>
      <c r="E440" t="s">
        <v>1153</v>
      </c>
      <c r="F440" t="s">
        <v>1154</v>
      </c>
      <c r="G440" s="180">
        <v>20222</v>
      </c>
      <c r="H440">
        <v>1967</v>
      </c>
      <c r="J440" s="1334" t="s">
        <v>475</v>
      </c>
      <c r="K440" s="1335" t="s">
        <v>475</v>
      </c>
      <c r="L440" s="180">
        <v>100</v>
      </c>
      <c r="M440" t="s">
        <v>74</v>
      </c>
      <c r="N440" t="str">
        <f t="shared" si="26"/>
        <v>Fine Arts Center (S103)</v>
      </c>
      <c r="O440" t="s">
        <v>62</v>
      </c>
      <c r="P440" t="str">
        <f t="shared" si="27"/>
        <v>12000_S103</v>
      </c>
      <c r="Q440" s="180">
        <v>100</v>
      </c>
    </row>
    <row r="441" spans="1:17">
      <c r="A441" t="str">
        <f t="shared" si="24"/>
        <v>AU_S104</v>
      </c>
      <c r="B441" t="str">
        <f t="shared" si="25"/>
        <v>AU_Performing Arts Theatre</v>
      </c>
      <c r="C441" t="s">
        <v>442</v>
      </c>
      <c r="D441" s="180" t="s">
        <v>61</v>
      </c>
      <c r="E441" t="s">
        <v>1275</v>
      </c>
      <c r="F441" t="s">
        <v>1276</v>
      </c>
      <c r="G441" s="180">
        <v>28660</v>
      </c>
      <c r="H441">
        <v>1967</v>
      </c>
      <c r="J441" s="1334" t="s">
        <v>475</v>
      </c>
      <c r="K441" s="1335" t="s">
        <v>475</v>
      </c>
      <c r="L441" s="180">
        <v>100</v>
      </c>
      <c r="M441" t="s">
        <v>74</v>
      </c>
      <c r="N441" t="str">
        <f t="shared" si="26"/>
        <v>Performing Arts Theatre (S104)</v>
      </c>
      <c r="O441" t="s">
        <v>62</v>
      </c>
      <c r="P441" t="str">
        <f t="shared" si="27"/>
        <v>12000_S104</v>
      </c>
      <c r="Q441" s="180">
        <v>100</v>
      </c>
    </row>
    <row r="442" spans="1:17">
      <c r="A442" t="str">
        <f t="shared" si="24"/>
        <v>AU_S105</v>
      </c>
      <c r="B442" t="str">
        <f t="shared" si="25"/>
        <v>AU_Privey (Quad)</v>
      </c>
      <c r="C442" t="s">
        <v>442</v>
      </c>
      <c r="D442" s="180" t="s">
        <v>61</v>
      </c>
      <c r="E442" t="s">
        <v>1313</v>
      </c>
      <c r="F442" t="s">
        <v>1314</v>
      </c>
      <c r="G442" s="180">
        <v>148</v>
      </c>
      <c r="H442">
        <v>1826</v>
      </c>
      <c r="J442" s="1334" t="s">
        <v>475</v>
      </c>
      <c r="K442" s="1335" t="s">
        <v>475</v>
      </c>
      <c r="L442" s="180">
        <v>100</v>
      </c>
      <c r="M442" t="s">
        <v>74</v>
      </c>
      <c r="N442" t="str">
        <f t="shared" si="26"/>
        <v>Privey (Quad) (S105)</v>
      </c>
      <c r="O442" t="s">
        <v>62</v>
      </c>
      <c r="P442" t="str">
        <f t="shared" si="27"/>
        <v>12000_S105</v>
      </c>
      <c r="Q442" s="180">
        <v>100</v>
      </c>
    </row>
    <row r="443" spans="1:17">
      <c r="A443" t="str">
        <f t="shared" si="24"/>
        <v>AU_S106</v>
      </c>
      <c r="B443" t="str">
        <f t="shared" si="25"/>
        <v>AU_Carriage House</v>
      </c>
      <c r="C443" t="s">
        <v>442</v>
      </c>
      <c r="D443" s="180" t="s">
        <v>61</v>
      </c>
      <c r="E443" t="s">
        <v>1267</v>
      </c>
      <c r="F443" t="s">
        <v>1268</v>
      </c>
      <c r="G443" s="180">
        <v>839</v>
      </c>
      <c r="H443">
        <v>1840</v>
      </c>
      <c r="J443" s="1334" t="s">
        <v>475</v>
      </c>
      <c r="K443" s="1335" t="s">
        <v>475</v>
      </c>
      <c r="L443" s="180">
        <v>100</v>
      </c>
      <c r="M443" t="s">
        <v>74</v>
      </c>
      <c r="N443" t="str">
        <f t="shared" si="26"/>
        <v>Carriage House (S106)</v>
      </c>
      <c r="O443" t="s">
        <v>62</v>
      </c>
      <c r="P443" t="str">
        <f t="shared" si="27"/>
        <v>12000_S106</v>
      </c>
      <c r="Q443" s="180">
        <v>100</v>
      </c>
    </row>
    <row r="444" spans="1:17">
      <c r="A444" t="str">
        <f t="shared" si="24"/>
        <v>AU_S107</v>
      </c>
      <c r="B444" t="str">
        <f t="shared" si="25"/>
        <v>AU_Rains Hall</v>
      </c>
      <c r="C444" t="s">
        <v>442</v>
      </c>
      <c r="D444" s="180" t="s">
        <v>61</v>
      </c>
      <c r="E444" t="s">
        <v>1332</v>
      </c>
      <c r="F444" t="s">
        <v>1333</v>
      </c>
      <c r="G444" s="180">
        <v>9698</v>
      </c>
      <c r="H444">
        <v>1826</v>
      </c>
      <c r="I444">
        <v>2004</v>
      </c>
      <c r="J444" s="1334" t="s">
        <v>475</v>
      </c>
      <c r="K444" s="1335" t="s">
        <v>475</v>
      </c>
      <c r="L444" s="180">
        <v>100</v>
      </c>
      <c r="M444" t="s">
        <v>74</v>
      </c>
      <c r="N444" t="str">
        <f t="shared" si="26"/>
        <v>Rains Hall (S107)</v>
      </c>
      <c r="O444" t="s">
        <v>62</v>
      </c>
      <c r="P444" t="str">
        <f t="shared" si="27"/>
        <v>12000_S107</v>
      </c>
      <c r="Q444" s="180">
        <v>100</v>
      </c>
    </row>
    <row r="445" spans="1:17">
      <c r="A445" t="str">
        <f t="shared" si="24"/>
        <v>AU_S201</v>
      </c>
      <c r="B445" t="str">
        <f t="shared" si="25"/>
        <v>AU_Faculty Art Studios</v>
      </c>
      <c r="C445" t="s">
        <v>442</v>
      </c>
      <c r="D445" s="180" t="s">
        <v>61</v>
      </c>
      <c r="E445" t="s">
        <v>1269</v>
      </c>
      <c r="F445" t="s">
        <v>1270</v>
      </c>
      <c r="G445" s="180">
        <v>3905</v>
      </c>
      <c r="H445">
        <v>1947</v>
      </c>
      <c r="J445" s="1334" t="s">
        <v>475</v>
      </c>
      <c r="K445" s="1335" t="s">
        <v>475</v>
      </c>
      <c r="L445" s="180">
        <v>100</v>
      </c>
      <c r="M445" t="s">
        <v>74</v>
      </c>
      <c r="N445" t="str">
        <f t="shared" si="26"/>
        <v>Faculty Art Studios (S201)</v>
      </c>
      <c r="O445" t="s">
        <v>62</v>
      </c>
      <c r="P445" t="str">
        <f t="shared" si="27"/>
        <v>12000_S201</v>
      </c>
      <c r="Q445" s="180">
        <v>100</v>
      </c>
    </row>
    <row r="446" spans="1:17">
      <c r="A446" t="str">
        <f t="shared" si="24"/>
        <v>AU_S202</v>
      </c>
      <c r="B446" t="str">
        <f t="shared" si="25"/>
        <v>AU_Galloway Hall- Cont Ed/Mil Sci</v>
      </c>
      <c r="C446" t="s">
        <v>442</v>
      </c>
      <c r="D446" s="180" t="s">
        <v>61</v>
      </c>
      <c r="E446" t="s">
        <v>1232</v>
      </c>
      <c r="F446" t="s">
        <v>1233</v>
      </c>
      <c r="G446" s="180">
        <v>23632</v>
      </c>
      <c r="H446">
        <v>1947</v>
      </c>
      <c r="J446" s="1334" t="s">
        <v>475</v>
      </c>
      <c r="K446" s="1335" t="s">
        <v>475</v>
      </c>
      <c r="L446" s="180">
        <v>100</v>
      </c>
      <c r="M446" t="s">
        <v>74</v>
      </c>
      <c r="N446" t="str">
        <f t="shared" si="26"/>
        <v>Galloway Hall- Cont Ed/Mil Sci (S202)</v>
      </c>
      <c r="O446" t="s">
        <v>62</v>
      </c>
      <c r="P446" t="str">
        <f t="shared" si="27"/>
        <v>12000_S202</v>
      </c>
      <c r="Q446" s="180">
        <v>100</v>
      </c>
    </row>
    <row r="447" spans="1:17">
      <c r="A447" t="str">
        <f t="shared" si="24"/>
        <v>AU_S203</v>
      </c>
      <c r="B447" t="str">
        <f t="shared" si="25"/>
        <v>AU_Golf Cart Stor (UH)</v>
      </c>
      <c r="C447" t="s">
        <v>442</v>
      </c>
      <c r="D447" s="180" t="s">
        <v>61</v>
      </c>
      <c r="E447" t="s">
        <v>1324</v>
      </c>
      <c r="F447" t="s">
        <v>1325</v>
      </c>
      <c r="G447" s="180">
        <v>355</v>
      </c>
      <c r="H447">
        <v>2004</v>
      </c>
      <c r="J447" s="1334" t="s">
        <v>475</v>
      </c>
      <c r="K447" s="1335" t="s">
        <v>475</v>
      </c>
      <c r="L447" s="180">
        <v>100</v>
      </c>
      <c r="M447" t="s">
        <v>74</v>
      </c>
      <c r="N447" t="str">
        <f t="shared" si="26"/>
        <v>Golf Cart Stor (UH) (S203)</v>
      </c>
      <c r="O447" t="s">
        <v>62</v>
      </c>
      <c r="P447" t="str">
        <f t="shared" si="27"/>
        <v>12000_S203</v>
      </c>
      <c r="Q447" s="180">
        <v>100</v>
      </c>
    </row>
    <row r="448" spans="1:17">
      <c r="A448" t="str">
        <f t="shared" si="24"/>
        <v>AU_S204</v>
      </c>
      <c r="B448" t="str">
        <f t="shared" si="25"/>
        <v>AU_Guard House Museum</v>
      </c>
      <c r="C448" t="s">
        <v>442</v>
      </c>
      <c r="D448" s="180" t="s">
        <v>61</v>
      </c>
      <c r="E448" t="s">
        <v>1379</v>
      </c>
      <c r="F448" t="s">
        <v>1380</v>
      </c>
      <c r="G448" s="180">
        <v>739</v>
      </c>
      <c r="H448">
        <v>1866</v>
      </c>
      <c r="I448">
        <v>2003</v>
      </c>
      <c r="J448" s="1334" t="s">
        <v>475</v>
      </c>
      <c r="K448" s="1335" t="s">
        <v>475</v>
      </c>
      <c r="L448" s="180">
        <v>100</v>
      </c>
      <c r="M448" t="s">
        <v>74</v>
      </c>
      <c r="N448" t="str">
        <f t="shared" si="26"/>
        <v>Guard House Museum (S204)</v>
      </c>
      <c r="O448" t="s">
        <v>62</v>
      </c>
      <c r="P448" t="str">
        <f t="shared" si="27"/>
        <v>12000_S204</v>
      </c>
      <c r="Q448" s="180">
        <v>0</v>
      </c>
    </row>
    <row r="449" spans="1:17">
      <c r="A449" t="str">
        <f t="shared" si="24"/>
        <v>AU_S205</v>
      </c>
      <c r="B449" t="str">
        <f t="shared" si="25"/>
        <v>AU_Reese Library</v>
      </c>
      <c r="C449" t="s">
        <v>442</v>
      </c>
      <c r="D449" s="180" t="s">
        <v>61</v>
      </c>
      <c r="E449" t="s">
        <v>1326</v>
      </c>
      <c r="F449" t="s">
        <v>1327</v>
      </c>
      <c r="G449" s="180">
        <v>80349</v>
      </c>
      <c r="H449">
        <v>1976</v>
      </c>
      <c r="J449" s="1334" t="s">
        <v>475</v>
      </c>
      <c r="K449" s="1335" t="s">
        <v>475</v>
      </c>
      <c r="L449" s="180">
        <v>100</v>
      </c>
      <c r="M449" t="s">
        <v>74</v>
      </c>
      <c r="N449" t="str">
        <f t="shared" si="26"/>
        <v>Reese Library (S205)</v>
      </c>
      <c r="O449" t="s">
        <v>62</v>
      </c>
      <c r="P449" t="str">
        <f t="shared" si="27"/>
        <v>12000_S205</v>
      </c>
      <c r="Q449" s="180">
        <v>100</v>
      </c>
    </row>
    <row r="450" spans="1:17">
      <c r="A450" t="str">
        <f t="shared" si="24"/>
        <v>AU_S206</v>
      </c>
      <c r="B450" t="str">
        <f t="shared" si="25"/>
        <v>AU_Jaquar Student Activity Center</v>
      </c>
      <c r="C450" t="s">
        <v>442</v>
      </c>
      <c r="D450" s="180" t="s">
        <v>61</v>
      </c>
      <c r="E450" t="s">
        <v>1220</v>
      </c>
      <c r="F450" t="s">
        <v>1221</v>
      </c>
      <c r="G450" s="180">
        <v>51845</v>
      </c>
      <c r="H450">
        <v>2005</v>
      </c>
      <c r="J450" s="1334" t="s">
        <v>475</v>
      </c>
      <c r="K450" s="1335" t="s">
        <v>475</v>
      </c>
      <c r="L450" s="180">
        <v>100</v>
      </c>
      <c r="M450" t="s">
        <v>74</v>
      </c>
      <c r="N450" t="str">
        <f t="shared" si="26"/>
        <v>Jaquar Student Activity Center (S206)</v>
      </c>
      <c r="O450" t="s">
        <v>62</v>
      </c>
      <c r="P450" t="str">
        <f t="shared" si="27"/>
        <v>12000_S206</v>
      </c>
      <c r="Q450" s="180">
        <v>100</v>
      </c>
    </row>
    <row r="451" spans="1:17">
      <c r="A451" t="str">
        <f t="shared" ref="A451:A514" si="28">_xlfn.CONCAT(D451,"_",E451)</f>
        <v>AU_S207</v>
      </c>
      <c r="B451" t="str">
        <f t="shared" ref="B451:B514" si="29">_xlfn.CONCAT(D451,"_",F451)</f>
        <v>AU_University Hall</v>
      </c>
      <c r="C451" t="s">
        <v>442</v>
      </c>
      <c r="D451" s="180" t="s">
        <v>61</v>
      </c>
      <c r="E451" t="s">
        <v>1252</v>
      </c>
      <c r="F451" t="s">
        <v>1253</v>
      </c>
      <c r="G451" s="180">
        <v>112706</v>
      </c>
      <c r="H451">
        <v>2002</v>
      </c>
      <c r="J451" s="1334" t="s">
        <v>475</v>
      </c>
      <c r="K451" s="1335" t="s">
        <v>475</v>
      </c>
      <c r="L451" s="180">
        <v>100</v>
      </c>
      <c r="M451" t="s">
        <v>74</v>
      </c>
      <c r="N451" t="str">
        <f t="shared" ref="N451:N514" si="30">_xlfn.CONCAT(F451," (",E451,")")</f>
        <v>University Hall (S207)</v>
      </c>
      <c r="O451" t="s">
        <v>62</v>
      </c>
      <c r="P451" t="str">
        <f t="shared" ref="P451:P514" si="31">_xlfn.CONCAT(C451,"_",E451)</f>
        <v>12000_S207</v>
      </c>
      <c r="Q451" s="180">
        <v>100</v>
      </c>
    </row>
    <row r="452" spans="1:17">
      <c r="A452" t="str">
        <f t="shared" si="28"/>
        <v>AU_S208</v>
      </c>
      <c r="B452" t="str">
        <f t="shared" si="29"/>
        <v>AU_Washington Hall</v>
      </c>
      <c r="C452" t="s">
        <v>442</v>
      </c>
      <c r="D452" s="180" t="s">
        <v>61</v>
      </c>
      <c r="E452" t="s">
        <v>1315</v>
      </c>
      <c r="F452" t="s">
        <v>1316</v>
      </c>
      <c r="G452" s="180">
        <v>48074</v>
      </c>
      <c r="H452">
        <v>1941</v>
      </c>
      <c r="J452" s="1334" t="s">
        <v>475</v>
      </c>
      <c r="K452" s="1335" t="s">
        <v>475</v>
      </c>
      <c r="L452" s="180">
        <v>83</v>
      </c>
      <c r="M452" t="s">
        <v>74</v>
      </c>
      <c r="N452" t="str">
        <f t="shared" si="30"/>
        <v>Washington Hall (S208)</v>
      </c>
      <c r="O452" t="s">
        <v>62</v>
      </c>
      <c r="P452" t="str">
        <f t="shared" si="31"/>
        <v>12000_S208</v>
      </c>
      <c r="Q452" s="180">
        <v>100</v>
      </c>
    </row>
    <row r="453" spans="1:17">
      <c r="A453" t="str">
        <f t="shared" si="28"/>
        <v>AU_S301</v>
      </c>
      <c r="B453" t="str">
        <f t="shared" si="29"/>
        <v>AU_Archaeology Lab</v>
      </c>
      <c r="C453" t="s">
        <v>442</v>
      </c>
      <c r="D453" s="180" t="s">
        <v>61</v>
      </c>
      <c r="E453" t="s">
        <v>1310</v>
      </c>
      <c r="F453" t="s">
        <v>1311</v>
      </c>
      <c r="G453" s="180">
        <v>1122</v>
      </c>
      <c r="H453">
        <v>1870</v>
      </c>
      <c r="J453" s="1334" t="s">
        <v>475</v>
      </c>
      <c r="K453" s="1335" t="s">
        <v>475</v>
      </c>
      <c r="L453" s="180">
        <v>100</v>
      </c>
      <c r="M453" t="s">
        <v>74</v>
      </c>
      <c r="N453" t="str">
        <f t="shared" si="30"/>
        <v>Archaeology Lab (S301)</v>
      </c>
      <c r="O453" t="s">
        <v>62</v>
      </c>
      <c r="P453" t="str">
        <f t="shared" si="31"/>
        <v>12000_S301</v>
      </c>
      <c r="Q453" s="180">
        <v>100</v>
      </c>
    </row>
    <row r="454" spans="1:17">
      <c r="A454" t="str">
        <f t="shared" si="28"/>
        <v>AU_S302</v>
      </c>
      <c r="B454" t="str">
        <f t="shared" si="29"/>
        <v>AU_Boykin Wright Entry House</v>
      </c>
      <c r="C454" t="s">
        <v>442</v>
      </c>
      <c r="D454" s="180" t="s">
        <v>61</v>
      </c>
      <c r="E454" t="s">
        <v>1246</v>
      </c>
      <c r="F454" t="s">
        <v>1247</v>
      </c>
      <c r="G454" s="180">
        <v>123</v>
      </c>
      <c r="H454">
        <v>1900</v>
      </c>
      <c r="J454" s="1334" t="s">
        <v>475</v>
      </c>
      <c r="K454" s="1335" t="s">
        <v>475</v>
      </c>
      <c r="L454" s="180">
        <v>100</v>
      </c>
      <c r="M454" t="s">
        <v>74</v>
      </c>
      <c r="N454" t="str">
        <f t="shared" si="30"/>
        <v>Boykin Wright Entry House (S302)</v>
      </c>
      <c r="O454" t="s">
        <v>62</v>
      </c>
      <c r="P454" t="str">
        <f t="shared" si="31"/>
        <v>12000_S302</v>
      </c>
      <c r="Q454" s="180">
        <v>100</v>
      </c>
    </row>
    <row r="455" spans="1:17">
      <c r="A455" t="str">
        <f t="shared" si="28"/>
        <v>AU_S303</v>
      </c>
      <c r="B455" t="str">
        <f t="shared" si="29"/>
        <v>AU_Boykin Wright Hall-(Provost)</v>
      </c>
      <c r="C455" t="s">
        <v>442</v>
      </c>
      <c r="D455" s="180" t="s">
        <v>61</v>
      </c>
      <c r="E455" t="s">
        <v>1207</v>
      </c>
      <c r="F455" t="s">
        <v>1208</v>
      </c>
      <c r="G455" s="180">
        <v>13491</v>
      </c>
      <c r="H455">
        <v>1900</v>
      </c>
      <c r="J455" s="1334" t="s">
        <v>475</v>
      </c>
      <c r="K455" s="1335" t="s">
        <v>475</v>
      </c>
      <c r="L455" s="180">
        <v>100</v>
      </c>
      <c r="M455" t="s">
        <v>74</v>
      </c>
      <c r="N455" t="str">
        <f t="shared" si="30"/>
        <v>Boykin Wright Hall-(Provost) (S303)</v>
      </c>
      <c r="O455" t="s">
        <v>62</v>
      </c>
      <c r="P455" t="str">
        <f t="shared" si="31"/>
        <v>12000_S303</v>
      </c>
      <c r="Q455" s="180">
        <v>100</v>
      </c>
    </row>
    <row r="456" spans="1:17">
      <c r="A456" t="str">
        <f t="shared" si="28"/>
        <v>AU_S304</v>
      </c>
      <c r="B456" t="str">
        <f t="shared" si="29"/>
        <v>AU_Boykin Wright Cottage</v>
      </c>
      <c r="C456" t="s">
        <v>442</v>
      </c>
      <c r="D456" s="180" t="s">
        <v>61</v>
      </c>
      <c r="E456" t="s">
        <v>1347</v>
      </c>
      <c r="F456" t="s">
        <v>1348</v>
      </c>
      <c r="G456" s="180">
        <v>1535</v>
      </c>
      <c r="H456">
        <v>1900</v>
      </c>
      <c r="J456" s="1334" t="s">
        <v>475</v>
      </c>
      <c r="K456" s="1335" t="s">
        <v>475</v>
      </c>
      <c r="L456" s="180">
        <v>100</v>
      </c>
      <c r="M456" t="s">
        <v>74</v>
      </c>
      <c r="N456" t="str">
        <f t="shared" si="30"/>
        <v>Boykin Wright Cottage (S304)</v>
      </c>
      <c r="O456" t="s">
        <v>62</v>
      </c>
      <c r="P456" t="str">
        <f t="shared" si="31"/>
        <v>12000_S304</v>
      </c>
      <c r="Q456" s="180">
        <v>100</v>
      </c>
    </row>
    <row r="457" spans="1:17">
      <c r="A457" t="str">
        <f t="shared" si="28"/>
        <v>AU_S305</v>
      </c>
      <c r="B457" t="str">
        <f t="shared" si="29"/>
        <v>AU_Central Utility Plt (SV)</v>
      </c>
      <c r="C457" t="s">
        <v>442</v>
      </c>
      <c r="D457" s="180" t="s">
        <v>61</v>
      </c>
      <c r="E457" t="s">
        <v>1155</v>
      </c>
      <c r="F457" t="s">
        <v>1156</v>
      </c>
      <c r="G457" s="180">
        <v>20123</v>
      </c>
      <c r="H457">
        <v>1942</v>
      </c>
      <c r="I457">
        <v>2008</v>
      </c>
      <c r="J457" s="1334" t="s">
        <v>475</v>
      </c>
      <c r="K457" s="1335" t="s">
        <v>475</v>
      </c>
      <c r="L457" s="180">
        <v>100</v>
      </c>
      <c r="M457" t="s">
        <v>74</v>
      </c>
      <c r="N457" t="str">
        <f t="shared" si="30"/>
        <v>Central Utility Plt (SV) (S305)</v>
      </c>
      <c r="O457" t="s">
        <v>62</v>
      </c>
      <c r="P457" t="str">
        <f t="shared" si="31"/>
        <v>12000_S305</v>
      </c>
      <c r="Q457" s="180">
        <v>100</v>
      </c>
    </row>
    <row r="458" spans="1:17">
      <c r="A458" t="str">
        <f t="shared" si="28"/>
        <v>AU_S306</v>
      </c>
      <c r="B458" t="str">
        <f t="shared" si="29"/>
        <v>AU_CETC/Radio Station</v>
      </c>
      <c r="C458" t="s">
        <v>442</v>
      </c>
      <c r="D458" s="180" t="s">
        <v>61</v>
      </c>
      <c r="E458" t="s">
        <v>1167</v>
      </c>
      <c r="F458" t="s">
        <v>1168</v>
      </c>
      <c r="G458" s="180">
        <v>3047</v>
      </c>
      <c r="H458">
        <v>1942</v>
      </c>
      <c r="J458" s="1334" t="s">
        <v>475</v>
      </c>
      <c r="K458" s="1335" t="s">
        <v>475</v>
      </c>
      <c r="L458" s="180">
        <v>100</v>
      </c>
      <c r="M458" t="s">
        <v>74</v>
      </c>
      <c r="N458" t="str">
        <f t="shared" si="30"/>
        <v>CETC/Radio Station (S306)</v>
      </c>
      <c r="O458" t="s">
        <v>62</v>
      </c>
      <c r="P458" t="str">
        <f t="shared" si="31"/>
        <v>12000_S306</v>
      </c>
      <c r="Q458" s="180">
        <v>100</v>
      </c>
    </row>
    <row r="459" spans="1:17">
      <c r="A459" t="str">
        <f t="shared" si="28"/>
        <v>AU_S307</v>
      </c>
      <c r="B459" t="str">
        <f t="shared" si="29"/>
        <v>AU_Doug Barnard Amphitheatre</v>
      </c>
      <c r="C459" t="s">
        <v>442</v>
      </c>
      <c r="D459" s="180" t="s">
        <v>61</v>
      </c>
      <c r="E459" t="s">
        <v>1425</v>
      </c>
      <c r="F459" t="s">
        <v>1426</v>
      </c>
      <c r="G459" s="180">
        <v>1738</v>
      </c>
      <c r="H459">
        <v>2007</v>
      </c>
      <c r="J459" s="1334" t="s">
        <v>475</v>
      </c>
      <c r="K459" s="1335" t="s">
        <v>475</v>
      </c>
      <c r="L459" s="180">
        <v>100</v>
      </c>
      <c r="M459" t="s">
        <v>74</v>
      </c>
      <c r="N459" t="str">
        <f t="shared" si="30"/>
        <v>Doug Barnard Amphitheatre (S307)</v>
      </c>
      <c r="O459" t="s">
        <v>62</v>
      </c>
      <c r="P459" t="str">
        <f t="shared" si="31"/>
        <v>12000_S307</v>
      </c>
      <c r="Q459" s="180">
        <v>100</v>
      </c>
    </row>
    <row r="460" spans="1:17">
      <c r="A460" t="str">
        <f t="shared" si="28"/>
        <v>AU_S308</v>
      </c>
      <c r="B460" t="str">
        <f t="shared" si="29"/>
        <v>AU_Hazard Waste Building #2</v>
      </c>
      <c r="C460" t="s">
        <v>442</v>
      </c>
      <c r="D460" s="180" t="s">
        <v>61</v>
      </c>
      <c r="E460" t="s">
        <v>1186</v>
      </c>
      <c r="F460" t="s">
        <v>1187</v>
      </c>
      <c r="G460" s="180">
        <v>340</v>
      </c>
      <c r="H460">
        <v>2011</v>
      </c>
      <c r="J460" s="1334" t="s">
        <v>475</v>
      </c>
      <c r="K460" s="1335" t="s">
        <v>475</v>
      </c>
      <c r="L460" s="180">
        <v>100</v>
      </c>
      <c r="M460" t="s">
        <v>74</v>
      </c>
      <c r="N460" t="str">
        <f t="shared" si="30"/>
        <v>Hazard Waste Building #2 (S308)</v>
      </c>
      <c r="O460" t="s">
        <v>62</v>
      </c>
      <c r="P460" t="str">
        <f t="shared" si="31"/>
        <v>12000_S308</v>
      </c>
      <c r="Q460" s="180">
        <v>100</v>
      </c>
    </row>
    <row r="461" spans="1:17">
      <c r="A461" t="str">
        <f t="shared" si="28"/>
        <v>AU_S309</v>
      </c>
      <c r="B461" t="str">
        <f t="shared" si="29"/>
        <v>AU_Golf Cart Stor. -CUP</v>
      </c>
      <c r="C461" t="s">
        <v>442</v>
      </c>
      <c r="D461" s="180" t="s">
        <v>61</v>
      </c>
      <c r="E461" t="s">
        <v>1180</v>
      </c>
      <c r="F461" t="s">
        <v>1181</v>
      </c>
      <c r="G461" s="180">
        <v>650</v>
      </c>
      <c r="H461">
        <v>2005</v>
      </c>
      <c r="J461" s="1334" t="s">
        <v>475</v>
      </c>
      <c r="K461" s="1335" t="s">
        <v>475</v>
      </c>
      <c r="L461" s="180">
        <v>100</v>
      </c>
      <c r="M461" t="s">
        <v>74</v>
      </c>
      <c r="N461" t="str">
        <f t="shared" si="30"/>
        <v>Golf Cart Stor. -CUP (S309)</v>
      </c>
      <c r="O461" t="s">
        <v>62</v>
      </c>
      <c r="P461" t="str">
        <f t="shared" si="31"/>
        <v>12000_S309</v>
      </c>
      <c r="Q461" s="180">
        <v>0</v>
      </c>
    </row>
    <row r="462" spans="1:17">
      <c r="A462" t="str">
        <f t="shared" si="28"/>
        <v>AU_S310</v>
      </c>
      <c r="B462" t="str">
        <f t="shared" si="29"/>
        <v>AU_Advance  &amp; Develop Off</v>
      </c>
      <c r="C462" t="s">
        <v>442</v>
      </c>
      <c r="D462" s="180" t="s">
        <v>61</v>
      </c>
      <c r="E462" t="s">
        <v>1328</v>
      </c>
      <c r="F462" t="s">
        <v>1329</v>
      </c>
      <c r="G462" s="180">
        <v>1915</v>
      </c>
      <c r="H462">
        <v>1900</v>
      </c>
      <c r="I462">
        <v>2001</v>
      </c>
      <c r="J462" s="1334" t="s">
        <v>475</v>
      </c>
      <c r="K462" s="1335" t="s">
        <v>475</v>
      </c>
      <c r="L462" s="180">
        <v>100</v>
      </c>
      <c r="M462" t="s">
        <v>74</v>
      </c>
      <c r="N462" t="str">
        <f t="shared" si="30"/>
        <v>Advance  &amp; Develop Off (S310)</v>
      </c>
      <c r="O462" t="s">
        <v>62</v>
      </c>
      <c r="P462" t="str">
        <f t="shared" si="31"/>
        <v>12000_S310</v>
      </c>
      <c r="Q462" s="180">
        <v>0</v>
      </c>
    </row>
    <row r="463" spans="1:17">
      <c r="A463" t="str">
        <f t="shared" si="28"/>
        <v>AU_S311</v>
      </c>
      <c r="B463" t="str">
        <f t="shared" si="29"/>
        <v>AU_Maxwell House</v>
      </c>
      <c r="C463" t="s">
        <v>442</v>
      </c>
      <c r="D463" s="180" t="s">
        <v>61</v>
      </c>
      <c r="E463" t="s">
        <v>1399</v>
      </c>
      <c r="F463" t="s">
        <v>1400</v>
      </c>
      <c r="G463" s="180">
        <v>5867</v>
      </c>
      <c r="H463">
        <v>1915</v>
      </c>
      <c r="I463">
        <v>2013</v>
      </c>
      <c r="J463" s="1334" t="s">
        <v>475</v>
      </c>
      <c r="K463" s="1335" t="s">
        <v>475</v>
      </c>
      <c r="L463" s="180">
        <v>100</v>
      </c>
      <c r="M463" t="s">
        <v>74</v>
      </c>
      <c r="N463" t="str">
        <f t="shared" si="30"/>
        <v>Maxwell House (S311)</v>
      </c>
      <c r="O463" t="s">
        <v>62</v>
      </c>
      <c r="P463" t="str">
        <f t="shared" si="31"/>
        <v>12000_S311</v>
      </c>
      <c r="Q463" s="180">
        <v>100</v>
      </c>
    </row>
    <row r="464" spans="1:17">
      <c r="A464" t="str">
        <f t="shared" si="28"/>
        <v>AU_S313</v>
      </c>
      <c r="B464" t="str">
        <f t="shared" si="29"/>
        <v>AU_SVC Science Hall</v>
      </c>
      <c r="C464" t="s">
        <v>442</v>
      </c>
      <c r="D464" s="180" t="s">
        <v>61</v>
      </c>
      <c r="E464" t="s">
        <v>1383</v>
      </c>
      <c r="F464" t="s">
        <v>1384</v>
      </c>
      <c r="G464" s="180">
        <v>132040</v>
      </c>
      <c r="H464">
        <v>1998</v>
      </c>
      <c r="J464" s="1334" t="s">
        <v>475</v>
      </c>
      <c r="K464" s="1335" t="s">
        <v>475</v>
      </c>
      <c r="L464" s="180">
        <v>100</v>
      </c>
      <c r="M464" t="s">
        <v>74</v>
      </c>
      <c r="N464" t="str">
        <f t="shared" si="30"/>
        <v>SVC Science Hall (S313)</v>
      </c>
      <c r="O464" t="s">
        <v>62</v>
      </c>
      <c r="P464" t="str">
        <f t="shared" si="31"/>
        <v>12000_S313</v>
      </c>
      <c r="Q464" s="180">
        <v>100</v>
      </c>
    </row>
    <row r="465" spans="1:17">
      <c r="A465" t="str">
        <f t="shared" si="28"/>
        <v>AU_S314</v>
      </c>
      <c r="B465" t="str">
        <f t="shared" si="29"/>
        <v>AU_VFD Shed</v>
      </c>
      <c r="C465" t="s">
        <v>442</v>
      </c>
      <c r="D465" s="180" t="s">
        <v>61</v>
      </c>
      <c r="E465" t="s">
        <v>1302</v>
      </c>
      <c r="F465" t="s">
        <v>1303</v>
      </c>
      <c r="G465" s="180">
        <v>84</v>
      </c>
      <c r="H465">
        <v>2008</v>
      </c>
      <c r="J465" s="1334" t="s">
        <v>475</v>
      </c>
      <c r="K465" s="1335" t="s">
        <v>475</v>
      </c>
      <c r="L465" s="180">
        <v>100</v>
      </c>
      <c r="M465" t="s">
        <v>74</v>
      </c>
      <c r="N465" t="str">
        <f t="shared" si="30"/>
        <v>VFD Shed (S314)</v>
      </c>
      <c r="O465" t="s">
        <v>62</v>
      </c>
      <c r="P465" t="str">
        <f t="shared" si="31"/>
        <v>12000_S314</v>
      </c>
      <c r="Q465" s="180">
        <v>100</v>
      </c>
    </row>
    <row r="466" spans="1:17">
      <c r="A466" t="str">
        <f t="shared" si="28"/>
        <v>AU_S401</v>
      </c>
      <c r="B466" t="str">
        <f t="shared" si="29"/>
        <v>AU_Allgood Hall</v>
      </c>
      <c r="C466" t="s">
        <v>442</v>
      </c>
      <c r="D466" s="180" t="s">
        <v>61</v>
      </c>
      <c r="E466" t="s">
        <v>1427</v>
      </c>
      <c r="F466" t="s">
        <v>1428</v>
      </c>
      <c r="G466" s="180">
        <v>117660</v>
      </c>
      <c r="H466">
        <v>2000</v>
      </c>
      <c r="J466" s="1334" t="s">
        <v>475</v>
      </c>
      <c r="K466" s="1335" t="s">
        <v>475</v>
      </c>
      <c r="L466" s="180">
        <v>95</v>
      </c>
      <c r="M466" t="s">
        <v>74</v>
      </c>
      <c r="N466" t="str">
        <f t="shared" si="30"/>
        <v>Allgood Hall (S401)</v>
      </c>
      <c r="O466" t="s">
        <v>62</v>
      </c>
      <c r="P466" t="str">
        <f t="shared" si="31"/>
        <v>12000_S401</v>
      </c>
      <c r="Q466" s="180">
        <v>100</v>
      </c>
    </row>
    <row r="467" spans="1:17">
      <c r="A467" t="str">
        <f t="shared" si="28"/>
        <v>AU_S402</v>
      </c>
      <c r="B467" t="str">
        <f t="shared" si="29"/>
        <v>AU_Bellevue Annex</v>
      </c>
      <c r="C467" t="s">
        <v>442</v>
      </c>
      <c r="D467" s="180" t="s">
        <v>61</v>
      </c>
      <c r="E467" t="s">
        <v>1330</v>
      </c>
      <c r="F467" t="s">
        <v>1331</v>
      </c>
      <c r="G467" s="180">
        <v>2616</v>
      </c>
      <c r="H467">
        <v>1942</v>
      </c>
      <c r="I467">
        <v>2009</v>
      </c>
      <c r="J467" s="1334" t="s">
        <v>475</v>
      </c>
      <c r="K467" s="1335" t="s">
        <v>475</v>
      </c>
      <c r="L467" s="180">
        <v>100</v>
      </c>
      <c r="M467" t="s">
        <v>74</v>
      </c>
      <c r="N467" t="str">
        <f t="shared" si="30"/>
        <v>Bellevue Annex (S402)</v>
      </c>
      <c r="O467" t="s">
        <v>62</v>
      </c>
      <c r="P467" t="str">
        <f t="shared" si="31"/>
        <v>12000_S402</v>
      </c>
      <c r="Q467" s="180">
        <v>100</v>
      </c>
    </row>
    <row r="468" spans="1:17">
      <c r="A468" t="str">
        <f t="shared" si="28"/>
        <v>AU_S403</v>
      </c>
      <c r="B468" t="str">
        <f t="shared" si="29"/>
        <v>AU_Bellevue Hall</v>
      </c>
      <c r="C468" t="s">
        <v>442</v>
      </c>
      <c r="D468" s="180" t="s">
        <v>61</v>
      </c>
      <c r="E468" t="s">
        <v>1196</v>
      </c>
      <c r="F468" t="s">
        <v>1197</v>
      </c>
      <c r="G468" s="180">
        <v>4816</v>
      </c>
      <c r="H468">
        <v>1805</v>
      </c>
      <c r="I468">
        <v>2004</v>
      </c>
      <c r="J468" s="1334" t="s">
        <v>475</v>
      </c>
      <c r="K468" s="1335" t="s">
        <v>475</v>
      </c>
      <c r="L468" s="180">
        <v>100</v>
      </c>
      <c r="M468" t="s">
        <v>74</v>
      </c>
      <c r="N468" t="str">
        <f t="shared" si="30"/>
        <v>Bellevue Hall (S403)</v>
      </c>
      <c r="O468" t="s">
        <v>62</v>
      </c>
      <c r="P468" t="str">
        <f t="shared" si="31"/>
        <v>12000_S403</v>
      </c>
      <c r="Q468" s="180">
        <v>100</v>
      </c>
    </row>
    <row r="469" spans="1:17">
      <c r="A469" t="str">
        <f t="shared" si="28"/>
        <v>AU_S404</v>
      </c>
      <c r="B469" t="str">
        <f t="shared" si="29"/>
        <v>AU_Benet Garage</v>
      </c>
      <c r="C469" t="s">
        <v>442</v>
      </c>
      <c r="D469" s="180" t="s">
        <v>61</v>
      </c>
      <c r="E469" t="s">
        <v>1192</v>
      </c>
      <c r="F469" t="s">
        <v>1193</v>
      </c>
      <c r="G469" s="180">
        <v>636</v>
      </c>
      <c r="H469">
        <v>1945</v>
      </c>
      <c r="J469" s="1334" t="s">
        <v>475</v>
      </c>
      <c r="K469" s="1335" t="s">
        <v>475</v>
      </c>
      <c r="L469" s="180">
        <v>100</v>
      </c>
      <c r="M469" t="s">
        <v>74</v>
      </c>
      <c r="N469" t="str">
        <f t="shared" si="30"/>
        <v>Benet Garage (S404)</v>
      </c>
      <c r="O469" t="s">
        <v>62</v>
      </c>
      <c r="P469" t="str">
        <f t="shared" si="31"/>
        <v>12000_S404</v>
      </c>
      <c r="Q469" s="180">
        <v>100</v>
      </c>
    </row>
    <row r="470" spans="1:17">
      <c r="A470" t="str">
        <f t="shared" si="28"/>
        <v>AU_S405</v>
      </c>
      <c r="B470" t="str">
        <f t="shared" si="29"/>
        <v>AU_Benet Hall</v>
      </c>
      <c r="C470" t="s">
        <v>442</v>
      </c>
      <c r="D470" s="180" t="s">
        <v>61</v>
      </c>
      <c r="E470" t="s">
        <v>1169</v>
      </c>
      <c r="F470" t="s">
        <v>1170</v>
      </c>
      <c r="G470" s="180">
        <v>12688</v>
      </c>
      <c r="H470">
        <v>1826</v>
      </c>
      <c r="J470" s="1334" t="s">
        <v>475</v>
      </c>
      <c r="K470" s="1335" t="s">
        <v>475</v>
      </c>
      <c r="L470" s="180">
        <v>100</v>
      </c>
      <c r="M470" t="s">
        <v>74</v>
      </c>
      <c r="N470" t="str">
        <f t="shared" si="30"/>
        <v>Benet Hall (S405)</v>
      </c>
      <c r="O470" t="s">
        <v>62</v>
      </c>
      <c r="P470" t="str">
        <f t="shared" si="31"/>
        <v>12000_S405</v>
      </c>
      <c r="Q470" s="180">
        <v>100</v>
      </c>
    </row>
    <row r="471" spans="1:17">
      <c r="A471" t="str">
        <f t="shared" si="28"/>
        <v>AU_S406</v>
      </c>
      <c r="B471" t="str">
        <f t="shared" si="29"/>
        <v>AU_Warehouse 1</v>
      </c>
      <c r="C471" t="s">
        <v>442</v>
      </c>
      <c r="D471" s="180" t="s">
        <v>61</v>
      </c>
      <c r="E471" t="s">
        <v>1239</v>
      </c>
      <c r="F471" t="s">
        <v>1240</v>
      </c>
      <c r="G471" s="180">
        <v>15067</v>
      </c>
      <c r="H471">
        <v>1941</v>
      </c>
      <c r="J471" s="1334" t="s">
        <v>475</v>
      </c>
      <c r="K471" s="1335" t="s">
        <v>475</v>
      </c>
      <c r="L471" s="180">
        <v>100</v>
      </c>
      <c r="M471" t="s">
        <v>74</v>
      </c>
      <c r="N471" t="str">
        <f t="shared" si="30"/>
        <v>Warehouse 1 (S406)</v>
      </c>
      <c r="O471" t="s">
        <v>62</v>
      </c>
      <c r="P471" t="str">
        <f t="shared" si="31"/>
        <v>12000_S406</v>
      </c>
      <c r="Q471" s="180">
        <v>100</v>
      </c>
    </row>
    <row r="472" spans="1:17">
      <c r="A472" t="str">
        <f t="shared" si="28"/>
        <v>AU_S407</v>
      </c>
      <c r="B472" t="str">
        <f t="shared" si="29"/>
        <v>AU_Warehouse 4</v>
      </c>
      <c r="C472" t="s">
        <v>442</v>
      </c>
      <c r="D472" s="180" t="s">
        <v>61</v>
      </c>
      <c r="E472" t="s">
        <v>1423</v>
      </c>
      <c r="F472" t="s">
        <v>1424</v>
      </c>
      <c r="G472" s="180">
        <v>14950</v>
      </c>
      <c r="H472">
        <v>1941</v>
      </c>
      <c r="J472" s="1334" t="s">
        <v>475</v>
      </c>
      <c r="K472" s="1335" t="s">
        <v>475</v>
      </c>
      <c r="L472" s="180">
        <v>100</v>
      </c>
      <c r="M472" t="s">
        <v>74</v>
      </c>
      <c r="N472" t="str">
        <f t="shared" si="30"/>
        <v>Warehouse 4 (S407)</v>
      </c>
      <c r="O472" t="s">
        <v>62</v>
      </c>
      <c r="P472" t="str">
        <f t="shared" si="31"/>
        <v>12000_S407</v>
      </c>
      <c r="Q472" s="180">
        <v>100</v>
      </c>
    </row>
    <row r="473" spans="1:17">
      <c r="A473" t="str">
        <f t="shared" si="28"/>
        <v>AU_S408</v>
      </c>
      <c r="B473" t="str">
        <f t="shared" si="29"/>
        <v>AU_Warehouse 2</v>
      </c>
      <c r="C473" t="s">
        <v>442</v>
      </c>
      <c r="D473" s="180" t="s">
        <v>61</v>
      </c>
      <c r="E473" t="s">
        <v>1176</v>
      </c>
      <c r="F473" t="s">
        <v>1177</v>
      </c>
      <c r="G473" s="180">
        <v>12370</v>
      </c>
      <c r="H473">
        <v>1941</v>
      </c>
      <c r="J473" s="1334" t="s">
        <v>475</v>
      </c>
      <c r="K473" s="1335" t="s">
        <v>475</v>
      </c>
      <c r="L473" s="180">
        <v>100</v>
      </c>
      <c r="M473" t="s">
        <v>74</v>
      </c>
      <c r="N473" t="str">
        <f t="shared" si="30"/>
        <v>Warehouse 2 (S408)</v>
      </c>
      <c r="O473" t="s">
        <v>62</v>
      </c>
      <c r="P473" t="str">
        <f t="shared" si="31"/>
        <v>12000_S408</v>
      </c>
      <c r="Q473" s="180">
        <v>100</v>
      </c>
    </row>
    <row r="474" spans="1:17">
      <c r="A474" t="str">
        <f t="shared" si="28"/>
        <v>AU_S409</v>
      </c>
      <c r="B474" t="str">
        <f t="shared" si="29"/>
        <v>AU_Chateau</v>
      </c>
      <c r="C474" t="s">
        <v>442</v>
      </c>
      <c r="D474" s="180" t="s">
        <v>61</v>
      </c>
      <c r="E474" t="s">
        <v>1304</v>
      </c>
      <c r="F474" t="s">
        <v>1305</v>
      </c>
      <c r="G474" s="180">
        <v>2566</v>
      </c>
      <c r="H474">
        <v>1860</v>
      </c>
      <c r="J474" s="1334" t="s">
        <v>475</v>
      </c>
      <c r="K474" s="1335" t="s">
        <v>475</v>
      </c>
      <c r="L474" s="180">
        <v>100</v>
      </c>
      <c r="M474" t="s">
        <v>74</v>
      </c>
      <c r="N474" t="str">
        <f t="shared" si="30"/>
        <v>Chateau (S409)</v>
      </c>
      <c r="O474" t="s">
        <v>62</v>
      </c>
      <c r="P474" t="str">
        <f t="shared" si="31"/>
        <v>12000_S409</v>
      </c>
      <c r="Q474" s="180">
        <v>100</v>
      </c>
    </row>
    <row r="475" spans="1:17">
      <c r="A475" t="str">
        <f t="shared" si="28"/>
        <v>AU_S410</v>
      </c>
      <c r="B475" t="str">
        <f t="shared" si="29"/>
        <v>AU_Gorgas Road Toilet</v>
      </c>
      <c r="C475" t="s">
        <v>442</v>
      </c>
      <c r="D475" s="180" t="s">
        <v>61</v>
      </c>
      <c r="E475" t="s">
        <v>1161</v>
      </c>
      <c r="F475" t="s">
        <v>1162</v>
      </c>
      <c r="G475" s="180">
        <v>236</v>
      </c>
      <c r="H475">
        <v>1959</v>
      </c>
      <c r="J475" s="1334" t="s">
        <v>475</v>
      </c>
      <c r="K475" s="1335" t="s">
        <v>475</v>
      </c>
      <c r="L475" s="180">
        <v>100</v>
      </c>
      <c r="M475" t="s">
        <v>74</v>
      </c>
      <c r="N475" t="str">
        <f t="shared" si="30"/>
        <v>Gorgas Road Toilet (S410)</v>
      </c>
      <c r="O475" t="s">
        <v>62</v>
      </c>
      <c r="P475" t="str">
        <f t="shared" si="31"/>
        <v>12000_S410</v>
      </c>
      <c r="Q475" s="180">
        <v>100</v>
      </c>
    </row>
    <row r="476" spans="1:17">
      <c r="A476" t="str">
        <f t="shared" si="28"/>
        <v>AU_S411</v>
      </c>
      <c r="B476" t="str">
        <f t="shared" si="29"/>
        <v>AU_Greenhouse</v>
      </c>
      <c r="C476" t="s">
        <v>442</v>
      </c>
      <c r="D476" s="180" t="s">
        <v>61</v>
      </c>
      <c r="E476" t="s">
        <v>1277</v>
      </c>
      <c r="F476" t="s">
        <v>1278</v>
      </c>
      <c r="G476" s="180">
        <v>983</v>
      </c>
      <c r="H476">
        <v>1997</v>
      </c>
      <c r="J476" s="1334" t="s">
        <v>475</v>
      </c>
      <c r="K476" s="1335" t="s">
        <v>475</v>
      </c>
      <c r="L476" s="180">
        <v>100</v>
      </c>
      <c r="M476" t="s">
        <v>74</v>
      </c>
      <c r="N476" t="str">
        <f t="shared" si="30"/>
        <v>Greenhouse (S411)</v>
      </c>
      <c r="O476" t="s">
        <v>62</v>
      </c>
      <c r="P476" t="str">
        <f t="shared" si="31"/>
        <v>12000_S411</v>
      </c>
      <c r="Q476" s="180">
        <v>100</v>
      </c>
    </row>
    <row r="477" spans="1:17">
      <c r="A477" t="str">
        <f t="shared" si="28"/>
        <v>AU_S412</v>
      </c>
      <c r="B477" t="str">
        <f t="shared" si="29"/>
        <v>AU_Kiln Shed</v>
      </c>
      <c r="C477" t="s">
        <v>442</v>
      </c>
      <c r="D477" s="180" t="s">
        <v>61</v>
      </c>
      <c r="E477" t="s">
        <v>1163</v>
      </c>
      <c r="F477" t="s">
        <v>1164</v>
      </c>
      <c r="G477" s="180">
        <v>1100</v>
      </c>
      <c r="H477">
        <v>1959</v>
      </c>
      <c r="I477">
        <v>2000</v>
      </c>
      <c r="J477" s="1334" t="s">
        <v>475</v>
      </c>
      <c r="K477" s="1335" t="s">
        <v>475</v>
      </c>
      <c r="L477" s="180">
        <v>100</v>
      </c>
      <c r="M477" t="s">
        <v>74</v>
      </c>
      <c r="N477" t="str">
        <f t="shared" si="30"/>
        <v>Kiln Shed (S412)</v>
      </c>
      <c r="O477" t="s">
        <v>62</v>
      </c>
      <c r="P477" t="str">
        <f t="shared" si="31"/>
        <v>12000_S412</v>
      </c>
      <c r="Q477" s="180">
        <v>100</v>
      </c>
    </row>
    <row r="478" spans="1:17">
      <c r="A478" t="str">
        <f t="shared" si="28"/>
        <v>AU_S413</v>
      </c>
      <c r="B478" t="str">
        <f t="shared" si="29"/>
        <v>AU_Warehouse 5</v>
      </c>
      <c r="C478" t="s">
        <v>442</v>
      </c>
      <c r="D478" s="180" t="s">
        <v>61</v>
      </c>
      <c r="E478" t="s">
        <v>1182</v>
      </c>
      <c r="F478" t="s">
        <v>1183</v>
      </c>
      <c r="G478" s="180">
        <v>17729</v>
      </c>
      <c r="H478">
        <v>1941</v>
      </c>
      <c r="J478" s="1334" t="s">
        <v>475</v>
      </c>
      <c r="K478" s="1335" t="s">
        <v>475</v>
      </c>
      <c r="L478" s="180">
        <v>100</v>
      </c>
      <c r="M478" t="s">
        <v>74</v>
      </c>
      <c r="N478" t="str">
        <f t="shared" si="30"/>
        <v>Warehouse 5 (S413)</v>
      </c>
      <c r="O478" t="s">
        <v>62</v>
      </c>
      <c r="P478" t="str">
        <f t="shared" si="31"/>
        <v>12000_S413</v>
      </c>
      <c r="Q478" s="180">
        <v>100</v>
      </c>
    </row>
    <row r="479" spans="1:17">
      <c r="A479" t="str">
        <f t="shared" si="28"/>
        <v>AU_S414</v>
      </c>
      <c r="B479" t="str">
        <f t="shared" si="29"/>
        <v>AU_Payne Hall</v>
      </c>
      <c r="C479" t="s">
        <v>442</v>
      </c>
      <c r="D479" s="180" t="s">
        <v>61</v>
      </c>
      <c r="E479" t="s">
        <v>1407</v>
      </c>
      <c r="F479" t="s">
        <v>1408</v>
      </c>
      <c r="G479" s="180">
        <v>16594</v>
      </c>
      <c r="H479">
        <v>1826</v>
      </c>
      <c r="J479" s="1334" t="s">
        <v>475</v>
      </c>
      <c r="K479" s="1335" t="s">
        <v>475</v>
      </c>
      <c r="L479" s="180">
        <v>100</v>
      </c>
      <c r="M479" t="s">
        <v>74</v>
      </c>
      <c r="N479" t="str">
        <f t="shared" si="30"/>
        <v>Payne Hall (S414)</v>
      </c>
      <c r="O479" t="s">
        <v>62</v>
      </c>
      <c r="P479" t="str">
        <f t="shared" si="31"/>
        <v>12000_S414</v>
      </c>
      <c r="Q479" s="180">
        <v>100</v>
      </c>
    </row>
    <row r="480" spans="1:17">
      <c r="A480" t="str">
        <f t="shared" si="28"/>
        <v>AU_S415</v>
      </c>
      <c r="B480" t="str">
        <f t="shared" si="29"/>
        <v>AU_Public Safety</v>
      </c>
      <c r="C480" t="s">
        <v>442</v>
      </c>
      <c r="D480" s="180" t="s">
        <v>61</v>
      </c>
      <c r="E480" t="s">
        <v>1349</v>
      </c>
      <c r="F480" t="s">
        <v>1350</v>
      </c>
      <c r="G480" s="180">
        <v>2896</v>
      </c>
      <c r="H480">
        <v>1942</v>
      </c>
      <c r="J480" s="1334" t="s">
        <v>475</v>
      </c>
      <c r="K480" s="1335" t="s">
        <v>475</v>
      </c>
      <c r="L480" s="180">
        <v>100</v>
      </c>
      <c r="M480" t="s">
        <v>74</v>
      </c>
      <c r="N480" t="str">
        <f t="shared" si="30"/>
        <v>Public Safety (S415)</v>
      </c>
      <c r="O480" t="s">
        <v>62</v>
      </c>
      <c r="P480" t="str">
        <f t="shared" si="31"/>
        <v>12000_S415</v>
      </c>
      <c r="Q480" s="180">
        <v>100</v>
      </c>
    </row>
    <row r="481" spans="1:17">
      <c r="A481" t="str">
        <f t="shared" si="28"/>
        <v>AU_S416</v>
      </c>
      <c r="B481" t="str">
        <f t="shared" si="29"/>
        <v>AU_Quad Wall Building</v>
      </c>
      <c r="C481" t="s">
        <v>442</v>
      </c>
      <c r="D481" s="180" t="s">
        <v>61</v>
      </c>
      <c r="E481" t="s">
        <v>1294</v>
      </c>
      <c r="F481" t="s">
        <v>1295</v>
      </c>
      <c r="G481" s="180">
        <v>3755</v>
      </c>
      <c r="H481">
        <v>1847</v>
      </c>
      <c r="J481" s="1334" t="s">
        <v>475</v>
      </c>
      <c r="K481" s="1335" t="s">
        <v>475</v>
      </c>
      <c r="L481" s="180">
        <v>100</v>
      </c>
      <c r="M481" t="s">
        <v>74</v>
      </c>
      <c r="N481" t="str">
        <f t="shared" si="30"/>
        <v>Quad Wall Building (S416)</v>
      </c>
      <c r="O481" t="s">
        <v>62</v>
      </c>
      <c r="P481" t="str">
        <f t="shared" si="31"/>
        <v>12000_S416</v>
      </c>
      <c r="Q481" s="180">
        <v>100</v>
      </c>
    </row>
    <row r="482" spans="1:17">
      <c r="A482" t="str">
        <f t="shared" si="28"/>
        <v>AU_S417</v>
      </c>
      <c r="B482" t="str">
        <f t="shared" si="29"/>
        <v>AU_Warehouse 3</v>
      </c>
      <c r="C482" t="s">
        <v>442</v>
      </c>
      <c r="D482" s="180" t="s">
        <v>61</v>
      </c>
      <c r="E482" t="s">
        <v>1358</v>
      </c>
      <c r="F482" t="s">
        <v>1359</v>
      </c>
      <c r="G482" s="180">
        <v>12696</v>
      </c>
      <c r="H482">
        <v>1941</v>
      </c>
      <c r="J482" s="1334" t="s">
        <v>475</v>
      </c>
      <c r="K482" s="1335" t="s">
        <v>475</v>
      </c>
      <c r="L482" s="180">
        <v>100</v>
      </c>
      <c r="M482" t="s">
        <v>74</v>
      </c>
      <c r="N482" t="str">
        <f t="shared" si="30"/>
        <v>Warehouse 3 (S417)</v>
      </c>
      <c r="O482" t="s">
        <v>62</v>
      </c>
      <c r="P482" t="str">
        <f t="shared" si="31"/>
        <v>12000_S417</v>
      </c>
      <c r="Q482" s="180">
        <v>100</v>
      </c>
    </row>
    <row r="483" spans="1:17">
      <c r="A483" t="str">
        <f t="shared" si="28"/>
        <v>AU_S418</v>
      </c>
      <c r="B483" t="str">
        <f t="shared" si="29"/>
        <v>AU_Storage Building</v>
      </c>
      <c r="C483" t="s">
        <v>442</v>
      </c>
      <c r="D483" s="180" t="s">
        <v>61</v>
      </c>
      <c r="E483" t="s">
        <v>1391</v>
      </c>
      <c r="F483" t="s">
        <v>1392</v>
      </c>
      <c r="G483" s="180">
        <v>486</v>
      </c>
      <c r="H483">
        <v>1849</v>
      </c>
      <c r="J483" s="1334" t="s">
        <v>475</v>
      </c>
      <c r="K483" s="1335" t="s">
        <v>475</v>
      </c>
      <c r="L483" s="180">
        <v>100</v>
      </c>
      <c r="M483" t="s">
        <v>74</v>
      </c>
      <c r="N483" t="str">
        <f t="shared" si="30"/>
        <v>Storage Building (S418)</v>
      </c>
      <c r="O483" t="s">
        <v>62</v>
      </c>
      <c r="P483" t="str">
        <f t="shared" si="31"/>
        <v>12000_S418</v>
      </c>
      <c r="Q483" s="180">
        <v>100</v>
      </c>
    </row>
    <row r="484" spans="1:17">
      <c r="A484" t="str">
        <f t="shared" si="28"/>
        <v>AU_W101</v>
      </c>
      <c r="B484" t="str">
        <f t="shared" si="29"/>
        <v>AU_North Wing -Warm Springs</v>
      </c>
      <c r="C484" t="s">
        <v>442</v>
      </c>
      <c r="D484" s="180" t="s">
        <v>61</v>
      </c>
      <c r="E484" t="s">
        <v>1306</v>
      </c>
      <c r="F484" t="s">
        <v>1307</v>
      </c>
      <c r="G484" s="180">
        <v>56269</v>
      </c>
      <c r="H484">
        <v>2015</v>
      </c>
      <c r="J484" s="1334" t="s">
        <v>520</v>
      </c>
      <c r="K484" s="1335" t="s">
        <v>475</v>
      </c>
      <c r="L484" s="180">
        <v>1</v>
      </c>
      <c r="M484" t="s">
        <v>4</v>
      </c>
      <c r="N484" t="str">
        <f t="shared" si="30"/>
        <v>North Wing -Warm Springs (W101)</v>
      </c>
      <c r="O484" t="s">
        <v>62</v>
      </c>
      <c r="P484" t="str">
        <f t="shared" si="31"/>
        <v>12000_W101</v>
      </c>
      <c r="Q484" s="180">
        <v>100</v>
      </c>
    </row>
    <row r="485" spans="1:17">
      <c r="A485" t="str">
        <f t="shared" si="28"/>
        <v>AU_W102</v>
      </c>
      <c r="B485" t="str">
        <f t="shared" si="29"/>
        <v>AU_Pavilion Warm Springs Hosp</v>
      </c>
      <c r="C485" t="s">
        <v>442</v>
      </c>
      <c r="D485" s="180" t="s">
        <v>61</v>
      </c>
      <c r="E485" t="s">
        <v>1222</v>
      </c>
      <c r="F485" t="s">
        <v>1223</v>
      </c>
      <c r="G485" s="180">
        <v>11123</v>
      </c>
      <c r="H485">
        <v>1955</v>
      </c>
      <c r="J485" s="1334" t="s">
        <v>520</v>
      </c>
      <c r="K485" s="1335" t="s">
        <v>475</v>
      </c>
      <c r="L485" s="180">
        <v>0</v>
      </c>
      <c r="M485" t="s">
        <v>4</v>
      </c>
      <c r="N485" t="str">
        <f t="shared" si="30"/>
        <v>Pavilion Warm Springs Hosp (W102)</v>
      </c>
      <c r="O485" t="s">
        <v>62</v>
      </c>
      <c r="P485" t="str">
        <f t="shared" si="31"/>
        <v>12000_W102</v>
      </c>
      <c r="Q485" s="180">
        <v>100</v>
      </c>
    </row>
    <row r="486" spans="1:17">
      <c r="A486" t="str">
        <f t="shared" si="28"/>
        <v>AU_W201</v>
      </c>
      <c r="B486" t="str">
        <f t="shared" si="29"/>
        <v>AU_East Wing Warm Springs</v>
      </c>
      <c r="C486" t="s">
        <v>442</v>
      </c>
      <c r="D486" s="180" t="s">
        <v>61</v>
      </c>
      <c r="E486" t="s">
        <v>1341</v>
      </c>
      <c r="F486" t="s">
        <v>1342</v>
      </c>
      <c r="G486" s="180">
        <v>40288</v>
      </c>
      <c r="H486">
        <v>1939</v>
      </c>
      <c r="J486" s="1334" t="s">
        <v>520</v>
      </c>
      <c r="K486" s="1335" t="s">
        <v>475</v>
      </c>
      <c r="L486" s="180">
        <v>1</v>
      </c>
      <c r="M486" t="s">
        <v>4</v>
      </c>
      <c r="N486" t="str">
        <f t="shared" si="30"/>
        <v>East Wing Warm Springs (W201)</v>
      </c>
      <c r="O486" t="s">
        <v>62</v>
      </c>
      <c r="P486" t="str">
        <f t="shared" si="31"/>
        <v>12000_W201</v>
      </c>
      <c r="Q486" s="180">
        <v>100</v>
      </c>
    </row>
    <row r="487" spans="1:17">
      <c r="A487" t="str">
        <f t="shared" si="28"/>
        <v>UGA_0002</v>
      </c>
      <c r="B487" t="str">
        <f t="shared" si="29"/>
        <v>UGA_ATHENS PLUMBING BUILDING</v>
      </c>
      <c r="C487" t="s">
        <v>443</v>
      </c>
      <c r="D487" s="180" t="s">
        <v>51</v>
      </c>
      <c r="E487" t="s">
        <v>769</v>
      </c>
      <c r="F487" t="s">
        <v>7676</v>
      </c>
      <c r="G487" s="180">
        <v>8500</v>
      </c>
      <c r="H487">
        <v>2023</v>
      </c>
      <c r="J487" s="1334" t="s">
        <v>475</v>
      </c>
      <c r="K487" s="1335" t="s">
        <v>475</v>
      </c>
      <c r="L487" s="180">
        <v>0</v>
      </c>
      <c r="M487" t="s">
        <v>7818</v>
      </c>
      <c r="N487" t="str">
        <f t="shared" si="30"/>
        <v>ATHENS PLUMBING BUILDING (0002)</v>
      </c>
      <c r="O487" t="s">
        <v>52</v>
      </c>
      <c r="P487" t="str">
        <f t="shared" si="31"/>
        <v>18000_0002</v>
      </c>
      <c r="Q487" s="180">
        <v>100</v>
      </c>
    </row>
    <row r="488" spans="1:17">
      <c r="A488" t="str">
        <f t="shared" si="28"/>
        <v>UGA_0019</v>
      </c>
      <c r="B488" t="str">
        <f t="shared" si="29"/>
        <v>UGA_HODGSON OIL BLDG</v>
      </c>
      <c r="C488" t="s">
        <v>443</v>
      </c>
      <c r="D488" s="180" t="s">
        <v>51</v>
      </c>
      <c r="E488" t="s">
        <v>1068</v>
      </c>
      <c r="F488" t="s">
        <v>4354</v>
      </c>
      <c r="G488" s="180">
        <v>34759</v>
      </c>
      <c r="H488">
        <v>1920</v>
      </c>
      <c r="J488" s="1334" t="s">
        <v>475</v>
      </c>
      <c r="K488" s="1335" t="s">
        <v>475</v>
      </c>
      <c r="L488" s="180">
        <v>100</v>
      </c>
      <c r="M488" t="s">
        <v>7818</v>
      </c>
      <c r="N488" t="str">
        <f t="shared" si="30"/>
        <v>HODGSON OIL BLDG (0019)</v>
      </c>
      <c r="O488" t="s">
        <v>52</v>
      </c>
      <c r="P488" t="str">
        <f t="shared" si="31"/>
        <v>18000_0019</v>
      </c>
      <c r="Q488" s="180">
        <v>100</v>
      </c>
    </row>
    <row r="489" spans="1:17">
      <c r="A489" t="str">
        <f t="shared" si="28"/>
        <v>UGA_0020</v>
      </c>
      <c r="B489" t="str">
        <f t="shared" si="29"/>
        <v>UGA_PHI KAPPA HALL</v>
      </c>
      <c r="C489" t="s">
        <v>443</v>
      </c>
      <c r="D489" s="180" t="s">
        <v>51</v>
      </c>
      <c r="E489" t="s">
        <v>529</v>
      </c>
      <c r="F489" t="s">
        <v>1715</v>
      </c>
      <c r="G489" s="180">
        <v>5060</v>
      </c>
      <c r="H489">
        <v>1834</v>
      </c>
      <c r="J489" s="1334" t="s">
        <v>475</v>
      </c>
      <c r="K489" s="1335" t="s">
        <v>1520</v>
      </c>
      <c r="L489" s="180">
        <v>100</v>
      </c>
      <c r="M489" t="s">
        <v>7818</v>
      </c>
      <c r="N489" t="str">
        <f t="shared" si="30"/>
        <v>PHI KAPPA HALL (0020)</v>
      </c>
      <c r="O489" t="s">
        <v>52</v>
      </c>
      <c r="P489" t="str">
        <f t="shared" si="31"/>
        <v>18000_0020</v>
      </c>
      <c r="Q489" s="180">
        <v>100</v>
      </c>
    </row>
    <row r="490" spans="1:17">
      <c r="A490" t="str">
        <f t="shared" si="28"/>
        <v>UGA_0021</v>
      </c>
      <c r="B490" t="str">
        <f t="shared" si="29"/>
        <v>UGA_DEMOSTHENIAN HALL</v>
      </c>
      <c r="C490" t="s">
        <v>443</v>
      </c>
      <c r="D490" s="180" t="s">
        <v>51</v>
      </c>
      <c r="E490" t="s">
        <v>930</v>
      </c>
      <c r="F490" t="s">
        <v>3879</v>
      </c>
      <c r="G490" s="180">
        <v>2770</v>
      </c>
      <c r="H490">
        <v>1824</v>
      </c>
      <c r="J490" s="1334" t="s">
        <v>475</v>
      </c>
      <c r="K490" s="1335" t="s">
        <v>1520</v>
      </c>
      <c r="L490" s="180">
        <v>100</v>
      </c>
      <c r="M490" t="s">
        <v>7818</v>
      </c>
      <c r="N490" t="str">
        <f t="shared" si="30"/>
        <v>DEMOSTHENIAN HALL (0021)</v>
      </c>
      <c r="O490" t="s">
        <v>52</v>
      </c>
      <c r="P490" t="str">
        <f t="shared" si="31"/>
        <v>18000_0021</v>
      </c>
      <c r="Q490" s="180">
        <v>0</v>
      </c>
    </row>
    <row r="491" spans="1:17">
      <c r="A491" t="str">
        <f t="shared" si="28"/>
        <v>UGA_0022</v>
      </c>
      <c r="B491" t="str">
        <f t="shared" si="29"/>
        <v>UGA_CHAPEL</v>
      </c>
      <c r="C491" t="s">
        <v>443</v>
      </c>
      <c r="D491" s="180" t="s">
        <v>51</v>
      </c>
      <c r="E491" t="s">
        <v>531</v>
      </c>
      <c r="F491" t="s">
        <v>2396</v>
      </c>
      <c r="G491" s="180">
        <v>8405</v>
      </c>
      <c r="H491">
        <v>1832</v>
      </c>
      <c r="J491" s="1334" t="s">
        <v>475</v>
      </c>
      <c r="K491" s="1335" t="s">
        <v>475</v>
      </c>
      <c r="L491" s="180">
        <v>100</v>
      </c>
      <c r="M491" t="s">
        <v>7818</v>
      </c>
      <c r="N491" t="str">
        <f t="shared" si="30"/>
        <v>CHAPEL (0022)</v>
      </c>
      <c r="O491" t="s">
        <v>52</v>
      </c>
      <c r="P491" t="str">
        <f t="shared" si="31"/>
        <v>18000_0022</v>
      </c>
      <c r="Q491" s="180">
        <v>100</v>
      </c>
    </row>
    <row r="492" spans="1:17">
      <c r="A492" t="str">
        <f t="shared" si="28"/>
        <v>UGA_0023</v>
      </c>
      <c r="B492" t="str">
        <f t="shared" si="29"/>
        <v>UGA_TERRELL HALL</v>
      </c>
      <c r="C492" t="s">
        <v>443</v>
      </c>
      <c r="D492" s="180" t="s">
        <v>51</v>
      </c>
      <c r="E492" t="s">
        <v>4343</v>
      </c>
      <c r="F492" t="s">
        <v>4344</v>
      </c>
      <c r="G492" s="180">
        <v>27029</v>
      </c>
      <c r="H492">
        <v>1904</v>
      </c>
      <c r="J492" s="1334" t="s">
        <v>475</v>
      </c>
      <c r="K492" s="1335" t="s">
        <v>475</v>
      </c>
      <c r="L492" s="180">
        <v>100</v>
      </c>
      <c r="M492" t="s">
        <v>7818</v>
      </c>
      <c r="N492" t="str">
        <f t="shared" si="30"/>
        <v>TERRELL HALL (0023)</v>
      </c>
      <c r="O492" t="s">
        <v>52</v>
      </c>
      <c r="P492" t="str">
        <f t="shared" si="31"/>
        <v>18000_0023</v>
      </c>
      <c r="Q492" s="180">
        <v>100</v>
      </c>
    </row>
    <row r="493" spans="1:17">
      <c r="A493" t="str">
        <f t="shared" si="28"/>
        <v>UGA_0024</v>
      </c>
      <c r="B493" t="str">
        <f t="shared" si="29"/>
        <v>UGA_MEIGS HALL</v>
      </c>
      <c r="C493" t="s">
        <v>443</v>
      </c>
      <c r="D493" s="180" t="s">
        <v>51</v>
      </c>
      <c r="E493" t="s">
        <v>548</v>
      </c>
      <c r="F493" t="s">
        <v>4355</v>
      </c>
      <c r="G493" s="180">
        <v>14176</v>
      </c>
      <c r="H493">
        <v>1905</v>
      </c>
      <c r="J493" s="1334" t="s">
        <v>475</v>
      </c>
      <c r="K493" s="1335" t="s">
        <v>475</v>
      </c>
      <c r="L493" s="180">
        <v>100</v>
      </c>
      <c r="M493" t="s">
        <v>7818</v>
      </c>
      <c r="N493" t="str">
        <f t="shared" si="30"/>
        <v>MEIGS HALL (0024)</v>
      </c>
      <c r="O493" t="s">
        <v>52</v>
      </c>
      <c r="P493" t="str">
        <f t="shared" si="31"/>
        <v>18000_0024</v>
      </c>
      <c r="Q493" s="180">
        <v>100</v>
      </c>
    </row>
    <row r="494" spans="1:17">
      <c r="A494" t="str">
        <f t="shared" si="28"/>
        <v>UGA_0025</v>
      </c>
      <c r="B494" t="str">
        <f t="shared" si="29"/>
        <v>UGA_MOORE HALL</v>
      </c>
      <c r="C494" t="s">
        <v>443</v>
      </c>
      <c r="D494" s="180" t="s">
        <v>51</v>
      </c>
      <c r="E494" t="s">
        <v>682</v>
      </c>
      <c r="F494" t="s">
        <v>7116</v>
      </c>
      <c r="G494" s="180">
        <v>20484</v>
      </c>
      <c r="H494">
        <v>1874</v>
      </c>
      <c r="J494" s="1334" t="s">
        <v>475</v>
      </c>
      <c r="K494" s="1335" t="s">
        <v>475</v>
      </c>
      <c r="L494" s="180">
        <v>100</v>
      </c>
      <c r="M494" t="s">
        <v>7818</v>
      </c>
      <c r="N494" t="str">
        <f t="shared" si="30"/>
        <v>MOORE HALL (0025)</v>
      </c>
      <c r="O494" t="s">
        <v>52</v>
      </c>
      <c r="P494" t="str">
        <f t="shared" si="31"/>
        <v>18000_0025</v>
      </c>
      <c r="Q494" s="180">
        <v>100</v>
      </c>
    </row>
    <row r="495" spans="1:17">
      <c r="A495" t="str">
        <f t="shared" si="28"/>
        <v>UGA_0030</v>
      </c>
      <c r="B495" t="str">
        <f t="shared" si="29"/>
        <v>UGA_NEW COLLEGE</v>
      </c>
      <c r="C495" t="s">
        <v>443</v>
      </c>
      <c r="D495" s="180" t="s">
        <v>51</v>
      </c>
      <c r="E495" t="s">
        <v>561</v>
      </c>
      <c r="F495" t="s">
        <v>2192</v>
      </c>
      <c r="G495" s="180">
        <v>20119</v>
      </c>
      <c r="H495">
        <v>1823</v>
      </c>
      <c r="J495" s="1334" t="s">
        <v>475</v>
      </c>
      <c r="K495" s="1335" t="s">
        <v>1520</v>
      </c>
      <c r="L495" s="180">
        <v>100</v>
      </c>
      <c r="M495" t="s">
        <v>7818</v>
      </c>
      <c r="N495" t="str">
        <f t="shared" si="30"/>
        <v>NEW COLLEGE (0030)</v>
      </c>
      <c r="O495" t="s">
        <v>52</v>
      </c>
      <c r="P495" t="str">
        <f t="shared" si="31"/>
        <v>18000_0030</v>
      </c>
      <c r="Q495" s="180">
        <v>100</v>
      </c>
    </row>
    <row r="496" spans="1:17">
      <c r="A496" t="str">
        <f t="shared" si="28"/>
        <v>UGA_0031</v>
      </c>
      <c r="B496" t="str">
        <f t="shared" si="29"/>
        <v>UGA_CANDLER HALL</v>
      </c>
      <c r="C496" t="s">
        <v>443</v>
      </c>
      <c r="D496" s="180" t="s">
        <v>51</v>
      </c>
      <c r="E496" t="s">
        <v>892</v>
      </c>
      <c r="F496" t="s">
        <v>2871</v>
      </c>
      <c r="G496" s="180">
        <v>19820</v>
      </c>
      <c r="H496">
        <v>1901</v>
      </c>
      <c r="J496" s="1334" t="s">
        <v>475</v>
      </c>
      <c r="K496" s="1335" t="s">
        <v>475</v>
      </c>
      <c r="L496" s="180">
        <v>100</v>
      </c>
      <c r="M496" t="s">
        <v>7818</v>
      </c>
      <c r="N496" t="str">
        <f t="shared" si="30"/>
        <v>CANDLER HALL (0031)</v>
      </c>
      <c r="O496" t="s">
        <v>52</v>
      </c>
      <c r="P496" t="str">
        <f t="shared" si="31"/>
        <v>18000_0031</v>
      </c>
      <c r="Q496" s="180">
        <v>100</v>
      </c>
    </row>
    <row r="497" spans="1:17">
      <c r="A497" t="str">
        <f t="shared" si="28"/>
        <v>UGA_0032</v>
      </c>
      <c r="B497" t="str">
        <f t="shared" si="29"/>
        <v>UGA_BISHOP HOUSE</v>
      </c>
      <c r="C497" t="s">
        <v>443</v>
      </c>
      <c r="D497" s="180" t="s">
        <v>51</v>
      </c>
      <c r="E497" t="s">
        <v>864</v>
      </c>
      <c r="F497" t="s">
        <v>3958</v>
      </c>
      <c r="G497" s="180">
        <v>5289</v>
      </c>
      <c r="H497">
        <v>1837</v>
      </c>
      <c r="J497" s="1334" t="s">
        <v>475</v>
      </c>
      <c r="K497" s="1335" t="s">
        <v>481</v>
      </c>
      <c r="L497" s="180">
        <v>100</v>
      </c>
      <c r="M497" t="s">
        <v>7818</v>
      </c>
      <c r="N497" t="str">
        <f t="shared" si="30"/>
        <v>BISHOP HOUSE (0032)</v>
      </c>
      <c r="O497" t="s">
        <v>52</v>
      </c>
      <c r="P497" t="str">
        <f t="shared" si="31"/>
        <v>18000_0032</v>
      </c>
      <c r="Q497" s="180">
        <v>100</v>
      </c>
    </row>
    <row r="498" spans="1:17">
      <c r="A498" t="str">
        <f t="shared" si="28"/>
        <v>UGA_0033</v>
      </c>
      <c r="B498" t="str">
        <f t="shared" si="29"/>
        <v>UGA_SCHOOL OF SOCIAL WORK</v>
      </c>
      <c r="C498" t="s">
        <v>443</v>
      </c>
      <c r="D498" s="180" t="s">
        <v>51</v>
      </c>
      <c r="E498" t="s">
        <v>717</v>
      </c>
      <c r="F498" t="s">
        <v>4034</v>
      </c>
      <c r="G498" s="180">
        <v>39180</v>
      </c>
      <c r="H498">
        <v>1901</v>
      </c>
      <c r="J498" s="1334" t="s">
        <v>475</v>
      </c>
      <c r="K498" s="1335" t="s">
        <v>475</v>
      </c>
      <c r="L498" s="180">
        <v>100</v>
      </c>
      <c r="M498" t="s">
        <v>7818</v>
      </c>
      <c r="N498" t="str">
        <f t="shared" si="30"/>
        <v>SCHOOL OF SOCIAL WORK (0033)</v>
      </c>
      <c r="O498" t="s">
        <v>52</v>
      </c>
      <c r="P498" t="str">
        <f t="shared" si="31"/>
        <v>18000_0033</v>
      </c>
      <c r="Q498" s="180">
        <v>100</v>
      </c>
    </row>
    <row r="499" spans="1:17">
      <c r="A499" t="str">
        <f t="shared" si="28"/>
        <v>UGA_0040</v>
      </c>
      <c r="B499" t="str">
        <f t="shared" si="29"/>
        <v>UGA_JACKSON ST BLDG</v>
      </c>
      <c r="C499" t="s">
        <v>443</v>
      </c>
      <c r="D499" s="180" t="s">
        <v>51</v>
      </c>
      <c r="E499" t="s">
        <v>724</v>
      </c>
      <c r="F499" t="s">
        <v>2798</v>
      </c>
      <c r="G499" s="180">
        <v>49809</v>
      </c>
      <c r="H499">
        <v>1961</v>
      </c>
      <c r="J499" s="1334" t="s">
        <v>475</v>
      </c>
      <c r="K499" s="1335" t="s">
        <v>1520</v>
      </c>
      <c r="L499" s="180">
        <v>100</v>
      </c>
      <c r="M499" t="s">
        <v>7818</v>
      </c>
      <c r="N499" t="str">
        <f t="shared" si="30"/>
        <v>JACKSON ST BLDG (0040)</v>
      </c>
      <c r="O499" t="s">
        <v>52</v>
      </c>
      <c r="P499" t="str">
        <f t="shared" si="31"/>
        <v>18000_0040</v>
      </c>
      <c r="Q499" s="180">
        <v>100</v>
      </c>
    </row>
    <row r="500" spans="1:17">
      <c r="A500" t="str">
        <f t="shared" si="28"/>
        <v>UGA_0041</v>
      </c>
      <c r="B500" t="str">
        <f t="shared" si="29"/>
        <v>UGA_WADDEL HALL</v>
      </c>
      <c r="C500" t="s">
        <v>443</v>
      </c>
      <c r="D500" s="180" t="s">
        <v>51</v>
      </c>
      <c r="E500" t="s">
        <v>554</v>
      </c>
      <c r="F500" t="s">
        <v>3880</v>
      </c>
      <c r="G500" s="180">
        <v>2866</v>
      </c>
      <c r="H500">
        <v>1821</v>
      </c>
      <c r="J500" s="1334" t="s">
        <v>475</v>
      </c>
      <c r="K500" s="1335" t="s">
        <v>475</v>
      </c>
      <c r="L500" s="180">
        <v>100</v>
      </c>
      <c r="M500" t="s">
        <v>7818</v>
      </c>
      <c r="N500" t="str">
        <f t="shared" si="30"/>
        <v>WADDEL HALL (0041)</v>
      </c>
      <c r="O500" t="s">
        <v>52</v>
      </c>
      <c r="P500" t="str">
        <f t="shared" si="31"/>
        <v>18000_0041</v>
      </c>
      <c r="Q500" s="180">
        <v>100</v>
      </c>
    </row>
    <row r="501" spans="1:17">
      <c r="A501" t="str">
        <f t="shared" si="28"/>
        <v>UGA_0042</v>
      </c>
      <c r="B501" t="str">
        <f t="shared" si="29"/>
        <v>UGA_PEABODY HALL</v>
      </c>
      <c r="C501" t="s">
        <v>443</v>
      </c>
      <c r="D501" s="180" t="s">
        <v>51</v>
      </c>
      <c r="E501" t="s">
        <v>2583</v>
      </c>
      <c r="F501" t="s">
        <v>2584</v>
      </c>
      <c r="G501" s="180">
        <v>25651</v>
      </c>
      <c r="H501">
        <v>1913</v>
      </c>
      <c r="J501" s="1334" t="s">
        <v>475</v>
      </c>
      <c r="K501" s="1335" t="s">
        <v>481</v>
      </c>
      <c r="L501" s="180">
        <v>100</v>
      </c>
      <c r="M501" t="s">
        <v>7818</v>
      </c>
      <c r="N501" t="str">
        <f t="shared" si="30"/>
        <v>PEABODY HALL (0042)</v>
      </c>
      <c r="O501" t="s">
        <v>52</v>
      </c>
      <c r="P501" t="str">
        <f t="shared" si="31"/>
        <v>18000_0042</v>
      </c>
      <c r="Q501" s="180">
        <v>100</v>
      </c>
    </row>
    <row r="502" spans="1:17">
      <c r="A502" t="str">
        <f t="shared" si="28"/>
        <v>UGA_0043</v>
      </c>
      <c r="B502" t="str">
        <f t="shared" si="29"/>
        <v>UGA_LAW SCHOOL</v>
      </c>
      <c r="C502" t="s">
        <v>443</v>
      </c>
      <c r="D502" s="180" t="s">
        <v>51</v>
      </c>
      <c r="E502" t="s">
        <v>3774</v>
      </c>
      <c r="F502" t="s">
        <v>3775</v>
      </c>
      <c r="G502" s="180">
        <v>133708</v>
      </c>
      <c r="H502">
        <v>1932</v>
      </c>
      <c r="J502" s="1334" t="s">
        <v>475</v>
      </c>
      <c r="K502" s="1335" t="s">
        <v>475</v>
      </c>
      <c r="L502" s="180">
        <v>100</v>
      </c>
      <c r="M502" t="s">
        <v>7818</v>
      </c>
      <c r="N502" t="str">
        <f t="shared" si="30"/>
        <v>LAW SCHOOL (0043)</v>
      </c>
      <c r="O502" t="s">
        <v>52</v>
      </c>
      <c r="P502" t="str">
        <f t="shared" si="31"/>
        <v>18000_0043</v>
      </c>
      <c r="Q502" s="180">
        <v>100</v>
      </c>
    </row>
    <row r="503" spans="1:17">
      <c r="A503" t="str">
        <f t="shared" si="28"/>
        <v>UGA_0044</v>
      </c>
      <c r="B503" t="str">
        <f t="shared" si="29"/>
        <v>UGA_DENMARK HALL</v>
      </c>
      <c r="C503" t="s">
        <v>443</v>
      </c>
      <c r="D503" s="180" t="s">
        <v>51</v>
      </c>
      <c r="E503" t="s">
        <v>1707</v>
      </c>
      <c r="F503" t="s">
        <v>1708</v>
      </c>
      <c r="G503" s="180">
        <v>19637</v>
      </c>
      <c r="H503">
        <v>1901</v>
      </c>
      <c r="J503" s="1334" t="s">
        <v>475</v>
      </c>
      <c r="K503" s="1335" t="s">
        <v>481</v>
      </c>
      <c r="L503" s="180">
        <v>100</v>
      </c>
      <c r="M503" t="s">
        <v>7818</v>
      </c>
      <c r="N503" t="str">
        <f t="shared" si="30"/>
        <v>DENMARK HALL (0044)</v>
      </c>
      <c r="O503" t="s">
        <v>52</v>
      </c>
      <c r="P503" t="str">
        <f t="shared" si="31"/>
        <v>18000_0044</v>
      </c>
      <c r="Q503" s="180">
        <v>100</v>
      </c>
    </row>
    <row r="504" spans="1:17">
      <c r="A504" t="str">
        <f t="shared" si="28"/>
        <v>UGA_0045</v>
      </c>
      <c r="B504" t="str">
        <f t="shared" si="29"/>
        <v>UGA_DEAN RUSK HALL</v>
      </c>
      <c r="C504" t="s">
        <v>443</v>
      </c>
      <c r="D504" s="180" t="s">
        <v>51</v>
      </c>
      <c r="E504" t="s">
        <v>594</v>
      </c>
      <c r="F504" t="s">
        <v>2974</v>
      </c>
      <c r="G504" s="180">
        <v>37492</v>
      </c>
      <c r="H504">
        <v>1996</v>
      </c>
      <c r="J504" s="1334" t="s">
        <v>475</v>
      </c>
      <c r="K504" s="1335" t="s">
        <v>475</v>
      </c>
      <c r="L504" s="180">
        <v>100</v>
      </c>
      <c r="M504" t="s">
        <v>7818</v>
      </c>
      <c r="N504" t="str">
        <f t="shared" si="30"/>
        <v>DEAN RUSK HALL (0045)</v>
      </c>
      <c r="O504" t="s">
        <v>52</v>
      </c>
      <c r="P504" t="str">
        <f t="shared" si="31"/>
        <v>18000_0045</v>
      </c>
      <c r="Q504" s="180">
        <v>0</v>
      </c>
    </row>
    <row r="505" spans="1:17">
      <c r="A505" t="str">
        <f t="shared" si="28"/>
        <v>UGA_0046</v>
      </c>
      <c r="B505" t="str">
        <f t="shared" si="29"/>
        <v>UGA_CALDWELL HALL</v>
      </c>
      <c r="C505" t="s">
        <v>443</v>
      </c>
      <c r="D505" s="180" t="s">
        <v>51</v>
      </c>
      <c r="E505" t="s">
        <v>3952</v>
      </c>
      <c r="F505" t="s">
        <v>3953</v>
      </c>
      <c r="G505" s="180">
        <v>76485</v>
      </c>
      <c r="H505">
        <v>1981</v>
      </c>
      <c r="J505" s="1334" t="s">
        <v>475</v>
      </c>
      <c r="K505" s="1335" t="s">
        <v>475</v>
      </c>
      <c r="L505" s="180">
        <v>100</v>
      </c>
      <c r="M505" t="s">
        <v>7818</v>
      </c>
      <c r="N505" t="str">
        <f t="shared" si="30"/>
        <v>CALDWELL HALL (0046)</v>
      </c>
      <c r="O505" t="s">
        <v>52</v>
      </c>
      <c r="P505" t="str">
        <f t="shared" si="31"/>
        <v>18000_0046</v>
      </c>
      <c r="Q505" s="180">
        <v>100</v>
      </c>
    </row>
    <row r="506" spans="1:17">
      <c r="A506" t="str">
        <f t="shared" si="28"/>
        <v>UGA_0049</v>
      </c>
      <c r="B506" t="str">
        <f t="shared" si="29"/>
        <v>UGA_ANTHRO GRN HS</v>
      </c>
      <c r="C506" t="s">
        <v>443</v>
      </c>
      <c r="D506" s="180" t="s">
        <v>51</v>
      </c>
      <c r="E506" t="s">
        <v>4269</v>
      </c>
      <c r="F506" t="s">
        <v>4270</v>
      </c>
      <c r="G506" s="180">
        <v>336</v>
      </c>
      <c r="H506">
        <v>2006</v>
      </c>
      <c r="J506" s="1334" t="s">
        <v>475</v>
      </c>
      <c r="K506" s="1335" t="s">
        <v>475</v>
      </c>
      <c r="L506" s="180">
        <v>100</v>
      </c>
      <c r="M506" t="s">
        <v>7818</v>
      </c>
      <c r="N506" t="str">
        <f t="shared" si="30"/>
        <v>ANTHRO GRN HS (0049)</v>
      </c>
      <c r="O506" t="s">
        <v>52</v>
      </c>
      <c r="P506" t="str">
        <f t="shared" si="31"/>
        <v>18000_0049</v>
      </c>
      <c r="Q506" s="180">
        <v>100</v>
      </c>
    </row>
    <row r="507" spans="1:17">
      <c r="A507" t="str">
        <f t="shared" si="28"/>
        <v>UGA_0050</v>
      </c>
      <c r="B507" t="str">
        <f t="shared" si="29"/>
        <v>UGA_BALDWIN HALL</v>
      </c>
      <c r="C507" t="s">
        <v>443</v>
      </c>
      <c r="D507" s="180" t="s">
        <v>51</v>
      </c>
      <c r="E507" t="s">
        <v>906</v>
      </c>
      <c r="F507" t="s">
        <v>2872</v>
      </c>
      <c r="G507" s="180">
        <v>103110</v>
      </c>
      <c r="H507">
        <v>1938</v>
      </c>
      <c r="J507" s="1334" t="s">
        <v>475</v>
      </c>
      <c r="K507" s="1335" t="s">
        <v>475</v>
      </c>
      <c r="L507" s="180">
        <v>100</v>
      </c>
      <c r="M507" t="s">
        <v>7818</v>
      </c>
      <c r="N507" t="str">
        <f t="shared" si="30"/>
        <v>BALDWIN HALL (0050)</v>
      </c>
      <c r="O507" t="s">
        <v>52</v>
      </c>
      <c r="P507" t="str">
        <f t="shared" si="31"/>
        <v>18000_0050</v>
      </c>
      <c r="Q507" s="180">
        <v>100</v>
      </c>
    </row>
    <row r="508" spans="1:17">
      <c r="A508" t="str">
        <f t="shared" si="28"/>
        <v>UGA_0053</v>
      </c>
      <c r="B508" t="str">
        <f t="shared" si="29"/>
        <v>UGA_LECONTE HALL</v>
      </c>
      <c r="C508" t="s">
        <v>443</v>
      </c>
      <c r="D508" s="180" t="s">
        <v>51</v>
      </c>
      <c r="E508" t="s">
        <v>2169</v>
      </c>
      <c r="F508" t="s">
        <v>2170</v>
      </c>
      <c r="G508" s="180">
        <v>28346</v>
      </c>
      <c r="H508">
        <v>1938</v>
      </c>
      <c r="J508" s="1334" t="s">
        <v>475</v>
      </c>
      <c r="K508" s="1335" t="s">
        <v>475</v>
      </c>
      <c r="L508" s="180">
        <v>100</v>
      </c>
      <c r="M508" t="s">
        <v>7818</v>
      </c>
      <c r="N508" t="str">
        <f t="shared" si="30"/>
        <v>LECONTE HALL (0053)</v>
      </c>
      <c r="O508" t="s">
        <v>52</v>
      </c>
      <c r="P508" t="str">
        <f t="shared" si="31"/>
        <v>18000_0053</v>
      </c>
      <c r="Q508" s="180">
        <v>100</v>
      </c>
    </row>
    <row r="509" spans="1:17">
      <c r="A509" t="str">
        <f t="shared" si="28"/>
        <v>UGA_0054</v>
      </c>
      <c r="B509" t="str">
        <f t="shared" si="29"/>
        <v>UGA_LIBRARY, MAIN</v>
      </c>
      <c r="C509" t="s">
        <v>443</v>
      </c>
      <c r="D509" s="180" t="s">
        <v>51</v>
      </c>
      <c r="E509" t="s">
        <v>840</v>
      </c>
      <c r="F509" t="s">
        <v>3665</v>
      </c>
      <c r="G509" s="180">
        <v>343047</v>
      </c>
      <c r="H509">
        <v>1952</v>
      </c>
      <c r="J509" s="1334" t="s">
        <v>475</v>
      </c>
      <c r="K509" s="1335" t="s">
        <v>1520</v>
      </c>
      <c r="L509" s="180">
        <v>100</v>
      </c>
      <c r="M509" t="s">
        <v>7818</v>
      </c>
      <c r="N509" t="str">
        <f t="shared" si="30"/>
        <v>LIBRARY, MAIN (0054)</v>
      </c>
      <c r="O509" t="s">
        <v>52</v>
      </c>
      <c r="P509" t="str">
        <f t="shared" si="31"/>
        <v>18000_0054</v>
      </c>
      <c r="Q509" s="180">
        <v>100</v>
      </c>
    </row>
    <row r="510" spans="1:17">
      <c r="A510" t="str">
        <f t="shared" si="28"/>
        <v>UGA_0055</v>
      </c>
      <c r="B510" t="str">
        <f t="shared" si="29"/>
        <v>UGA_BROOKS HALL</v>
      </c>
      <c r="C510" t="s">
        <v>443</v>
      </c>
      <c r="D510" s="180" t="s">
        <v>51</v>
      </c>
      <c r="E510" t="s">
        <v>761</v>
      </c>
      <c r="F510" t="s">
        <v>2493</v>
      </c>
      <c r="G510" s="180">
        <v>97666</v>
      </c>
      <c r="H510">
        <v>1924</v>
      </c>
      <c r="J510" s="1334" t="s">
        <v>475</v>
      </c>
      <c r="K510" s="1335" t="s">
        <v>475</v>
      </c>
      <c r="L510" s="180">
        <v>100</v>
      </c>
      <c r="M510" t="s">
        <v>7818</v>
      </c>
      <c r="N510" t="str">
        <f t="shared" si="30"/>
        <v>BROOKS HALL (0055)</v>
      </c>
      <c r="O510" t="s">
        <v>52</v>
      </c>
      <c r="P510" t="str">
        <f t="shared" si="31"/>
        <v>18000_0055</v>
      </c>
      <c r="Q510" s="180">
        <v>0</v>
      </c>
    </row>
    <row r="511" spans="1:17">
      <c r="A511" t="str">
        <f t="shared" si="28"/>
        <v>UGA_0056</v>
      </c>
      <c r="B511" t="str">
        <f t="shared" si="29"/>
        <v>UGA_PARK HALL</v>
      </c>
      <c r="C511" t="s">
        <v>443</v>
      </c>
      <c r="D511" s="180" t="s">
        <v>51</v>
      </c>
      <c r="E511" t="s">
        <v>785</v>
      </c>
      <c r="F511" t="s">
        <v>4451</v>
      </c>
      <c r="G511" s="180">
        <v>82391</v>
      </c>
      <c r="H511">
        <v>1938</v>
      </c>
      <c r="J511" s="1334" t="s">
        <v>475</v>
      </c>
      <c r="K511" s="1335" t="s">
        <v>1520</v>
      </c>
      <c r="L511" s="180">
        <v>100</v>
      </c>
      <c r="M511" t="s">
        <v>7818</v>
      </c>
      <c r="N511" t="str">
        <f t="shared" si="30"/>
        <v>PARK HALL (0056)</v>
      </c>
      <c r="O511" t="s">
        <v>52</v>
      </c>
      <c r="P511" t="str">
        <f t="shared" si="31"/>
        <v>18000_0056</v>
      </c>
      <c r="Q511" s="180">
        <v>100</v>
      </c>
    </row>
    <row r="512" spans="1:17">
      <c r="A512" t="str">
        <f t="shared" si="28"/>
        <v>UGA_0058</v>
      </c>
      <c r="B512" t="str">
        <f t="shared" si="29"/>
        <v>UGA_SANFORD HALL</v>
      </c>
      <c r="C512" t="s">
        <v>443</v>
      </c>
      <c r="D512" s="180" t="s">
        <v>51</v>
      </c>
      <c r="E512" t="s">
        <v>516</v>
      </c>
      <c r="F512" t="s">
        <v>2336</v>
      </c>
      <c r="G512" s="180">
        <v>37294</v>
      </c>
      <c r="H512">
        <v>1997</v>
      </c>
      <c r="J512" s="1334" t="s">
        <v>475</v>
      </c>
      <c r="K512" s="1335" t="s">
        <v>475</v>
      </c>
      <c r="L512" s="180">
        <v>100</v>
      </c>
      <c r="M512" t="s">
        <v>7818</v>
      </c>
      <c r="N512" t="str">
        <f t="shared" si="30"/>
        <v>SANFORD HALL (0058)</v>
      </c>
      <c r="O512" t="s">
        <v>52</v>
      </c>
      <c r="P512" t="str">
        <f t="shared" si="31"/>
        <v>18000_0058</v>
      </c>
      <c r="Q512" s="180">
        <v>100</v>
      </c>
    </row>
    <row r="513" spans="1:17">
      <c r="A513" t="str">
        <f t="shared" si="28"/>
        <v>UGA_0059</v>
      </c>
      <c r="B513" t="str">
        <f t="shared" si="29"/>
        <v>UGA_FINE ARTS SCEN WKS</v>
      </c>
      <c r="C513" t="s">
        <v>443</v>
      </c>
      <c r="D513" s="180" t="s">
        <v>51</v>
      </c>
      <c r="E513" t="s">
        <v>876</v>
      </c>
      <c r="F513" t="s">
        <v>2286</v>
      </c>
      <c r="G513" s="180">
        <v>3475</v>
      </c>
      <c r="H513">
        <v>1988</v>
      </c>
      <c r="J513" s="1334" t="s">
        <v>475</v>
      </c>
      <c r="K513" s="1335" t="s">
        <v>475</v>
      </c>
      <c r="L513" s="180">
        <v>100</v>
      </c>
      <c r="M513" t="s">
        <v>7818</v>
      </c>
      <c r="N513" t="str">
        <f t="shared" si="30"/>
        <v>FINE ARTS SCEN WKS (0059)</v>
      </c>
      <c r="O513" t="s">
        <v>52</v>
      </c>
      <c r="P513" t="str">
        <f t="shared" si="31"/>
        <v>18000_0059</v>
      </c>
      <c r="Q513" s="180">
        <v>100</v>
      </c>
    </row>
    <row r="514" spans="1:17">
      <c r="A514" t="str">
        <f t="shared" si="28"/>
        <v>UGA_0060</v>
      </c>
      <c r="B514" t="str">
        <f t="shared" si="29"/>
        <v>UGA_FINE ARTS</v>
      </c>
      <c r="C514" t="s">
        <v>443</v>
      </c>
      <c r="D514" s="180" t="s">
        <v>51</v>
      </c>
      <c r="E514" t="s">
        <v>1113</v>
      </c>
      <c r="F514" t="s">
        <v>3692</v>
      </c>
      <c r="G514" s="180">
        <v>83459</v>
      </c>
      <c r="H514">
        <v>1941</v>
      </c>
      <c r="J514" s="1334" t="s">
        <v>475</v>
      </c>
      <c r="K514" s="1335" t="s">
        <v>1520</v>
      </c>
      <c r="L514" s="180">
        <v>100</v>
      </c>
      <c r="M514" t="s">
        <v>7818</v>
      </c>
      <c r="N514" t="str">
        <f t="shared" si="30"/>
        <v>FINE ARTS (0060)</v>
      </c>
      <c r="O514" t="s">
        <v>52</v>
      </c>
      <c r="P514" t="str">
        <f t="shared" si="31"/>
        <v>18000_0060</v>
      </c>
      <c r="Q514" s="180">
        <v>100</v>
      </c>
    </row>
    <row r="515" spans="1:17">
      <c r="A515" t="str">
        <f t="shared" ref="A515:A578" si="32">_xlfn.CONCAT(D515,"_",E515)</f>
        <v>UGA_0061</v>
      </c>
      <c r="B515" t="str">
        <f t="shared" ref="B515:B578" si="33">_xlfn.CONCAT(D515,"_",F515)</f>
        <v>UGA_MILITARY,ARMY ROTC</v>
      </c>
      <c r="C515" t="s">
        <v>443</v>
      </c>
      <c r="D515" s="180" t="s">
        <v>51</v>
      </c>
      <c r="E515" t="s">
        <v>694</v>
      </c>
      <c r="F515" t="s">
        <v>2074</v>
      </c>
      <c r="G515" s="180">
        <v>15400</v>
      </c>
      <c r="H515">
        <v>1931</v>
      </c>
      <c r="J515" s="1334" t="s">
        <v>475</v>
      </c>
      <c r="K515" s="1335" t="s">
        <v>1520</v>
      </c>
      <c r="L515" s="180">
        <v>100</v>
      </c>
      <c r="M515" t="s">
        <v>7818</v>
      </c>
      <c r="N515" t="str">
        <f t="shared" ref="N515:N578" si="34">_xlfn.CONCAT(F515," (",E515,")")</f>
        <v>MILITARY,ARMY ROTC (0061)</v>
      </c>
      <c r="O515" t="s">
        <v>52</v>
      </c>
      <c r="P515" t="str">
        <f t="shared" ref="P515:P578" si="35">_xlfn.CONCAT(C515,"_",E515)</f>
        <v>18000_0061</v>
      </c>
      <c r="Q515" s="180">
        <v>100</v>
      </c>
    </row>
    <row r="516" spans="1:17">
      <c r="A516" t="str">
        <f t="shared" si="32"/>
        <v>UGA_0062</v>
      </c>
      <c r="B516" t="str">
        <f t="shared" si="33"/>
        <v>UGA_JOURNALISM</v>
      </c>
      <c r="C516" t="s">
        <v>443</v>
      </c>
      <c r="D516" s="180" t="s">
        <v>51</v>
      </c>
      <c r="E516" t="s">
        <v>473</v>
      </c>
      <c r="F516" t="s">
        <v>3253</v>
      </c>
      <c r="G516" s="180">
        <v>122859</v>
      </c>
      <c r="H516">
        <v>1969</v>
      </c>
      <c r="J516" s="1334" t="s">
        <v>475</v>
      </c>
      <c r="K516" s="1335" t="s">
        <v>475</v>
      </c>
      <c r="L516" s="180">
        <v>100</v>
      </c>
      <c r="M516" t="s">
        <v>7818</v>
      </c>
      <c r="N516" t="str">
        <f t="shared" si="34"/>
        <v>JOURNALISM (0062)</v>
      </c>
      <c r="O516" t="s">
        <v>52</v>
      </c>
      <c r="P516" t="str">
        <f t="shared" si="35"/>
        <v>18000_0062</v>
      </c>
      <c r="Q516" s="180">
        <v>100</v>
      </c>
    </row>
    <row r="517" spans="1:17">
      <c r="A517" t="str">
        <f t="shared" si="32"/>
        <v>UGA_0064</v>
      </c>
      <c r="B517" t="str">
        <f t="shared" si="33"/>
        <v>UGA_PSYCHOLOGY</v>
      </c>
      <c r="C517" t="s">
        <v>443</v>
      </c>
      <c r="D517" s="180" t="s">
        <v>51</v>
      </c>
      <c r="E517" t="s">
        <v>912</v>
      </c>
      <c r="F517" t="s">
        <v>3124</v>
      </c>
      <c r="G517" s="180">
        <v>103033</v>
      </c>
      <c r="H517">
        <v>1969</v>
      </c>
      <c r="J517" s="1334" t="s">
        <v>475</v>
      </c>
      <c r="K517" s="1335" t="s">
        <v>475</v>
      </c>
      <c r="L517" s="180">
        <v>100</v>
      </c>
      <c r="M517" t="s">
        <v>7818</v>
      </c>
      <c r="N517" t="str">
        <f t="shared" si="34"/>
        <v>PSYCHOLOGY (0064)</v>
      </c>
      <c r="O517" t="s">
        <v>52</v>
      </c>
      <c r="P517" t="str">
        <f t="shared" si="35"/>
        <v>18000_0064</v>
      </c>
      <c r="Q517" s="180">
        <v>100</v>
      </c>
    </row>
    <row r="518" spans="1:17">
      <c r="A518" t="str">
        <f t="shared" si="32"/>
        <v>UGA_0066</v>
      </c>
      <c r="B518" t="str">
        <f t="shared" si="33"/>
        <v>UGA_INST PLAZA</v>
      </c>
      <c r="C518" t="s">
        <v>443</v>
      </c>
      <c r="D518" s="180" t="s">
        <v>51</v>
      </c>
      <c r="E518" t="s">
        <v>492</v>
      </c>
      <c r="F518" t="s">
        <v>2948</v>
      </c>
      <c r="G518" s="180">
        <v>27209</v>
      </c>
      <c r="H518">
        <v>1969</v>
      </c>
      <c r="J518" s="1334" t="s">
        <v>475</v>
      </c>
      <c r="K518" s="1335" t="s">
        <v>475</v>
      </c>
      <c r="L518" s="180">
        <v>100</v>
      </c>
      <c r="M518" t="s">
        <v>7818</v>
      </c>
      <c r="N518" t="str">
        <f t="shared" si="34"/>
        <v>INST PLAZA (0066)</v>
      </c>
      <c r="O518" t="s">
        <v>52</v>
      </c>
      <c r="P518" t="str">
        <f t="shared" si="35"/>
        <v>18000_0066</v>
      </c>
      <c r="Q518" s="180">
        <v>0</v>
      </c>
    </row>
    <row r="519" spans="1:17">
      <c r="A519" t="str">
        <f t="shared" si="32"/>
        <v>UGA_0081</v>
      </c>
      <c r="B519" t="str">
        <f t="shared" si="33"/>
        <v>UGA_ZELL B MILLER SLC</v>
      </c>
      <c r="C519" t="s">
        <v>443</v>
      </c>
      <c r="D519" s="180" t="s">
        <v>51</v>
      </c>
      <c r="E519" t="s">
        <v>508</v>
      </c>
      <c r="F519" t="s">
        <v>2075</v>
      </c>
      <c r="G519" s="180">
        <v>265223</v>
      </c>
      <c r="H519">
        <v>2003</v>
      </c>
      <c r="J519" s="1334" t="s">
        <v>520</v>
      </c>
      <c r="K519" s="1335" t="s">
        <v>475</v>
      </c>
      <c r="L519" s="180">
        <v>100</v>
      </c>
      <c r="M519" t="s">
        <v>7818</v>
      </c>
      <c r="N519" t="str">
        <f t="shared" si="34"/>
        <v>ZELL B MILLER SLC (0081)</v>
      </c>
      <c r="O519" t="s">
        <v>52</v>
      </c>
      <c r="P519" t="str">
        <f t="shared" si="35"/>
        <v>18000_0081</v>
      </c>
      <c r="Q519" s="180">
        <v>100</v>
      </c>
    </row>
    <row r="520" spans="1:17">
      <c r="A520" t="str">
        <f t="shared" si="32"/>
        <v>UGA_0082</v>
      </c>
      <c r="B520" t="str">
        <f t="shared" si="33"/>
        <v>UGA_HULL STREET PRKING</v>
      </c>
      <c r="C520" t="s">
        <v>443</v>
      </c>
      <c r="D520" s="180" t="s">
        <v>51</v>
      </c>
      <c r="E520" t="s">
        <v>1009</v>
      </c>
      <c r="F520" t="s">
        <v>3514</v>
      </c>
      <c r="G520" s="180">
        <v>343297</v>
      </c>
      <c r="H520">
        <v>2004</v>
      </c>
      <c r="J520" s="1334" t="s">
        <v>475</v>
      </c>
      <c r="K520" s="1335" t="s">
        <v>475</v>
      </c>
      <c r="L520" s="180">
        <v>0</v>
      </c>
      <c r="M520" t="s">
        <v>7818</v>
      </c>
      <c r="N520" t="str">
        <f t="shared" si="34"/>
        <v>HULL STREET PRKING (0082)</v>
      </c>
      <c r="O520" t="s">
        <v>52</v>
      </c>
      <c r="P520" t="str">
        <f t="shared" si="35"/>
        <v>18000_0082</v>
      </c>
      <c r="Q520" s="180">
        <v>100</v>
      </c>
    </row>
    <row r="521" spans="1:17">
      <c r="A521" t="str">
        <f t="shared" si="32"/>
        <v>UGA_0090</v>
      </c>
      <c r="B521" t="str">
        <f t="shared" si="33"/>
        <v>UGA_GEOL. HYDROTHERMAL</v>
      </c>
      <c r="C521" t="s">
        <v>443</v>
      </c>
      <c r="D521" s="180" t="s">
        <v>51</v>
      </c>
      <c r="E521" t="s">
        <v>656</v>
      </c>
      <c r="F521" t="s">
        <v>3125</v>
      </c>
      <c r="G521" s="180">
        <v>2442</v>
      </c>
      <c r="H521">
        <v>1962</v>
      </c>
      <c r="J521" s="1334" t="s">
        <v>475</v>
      </c>
      <c r="K521" s="1335" t="s">
        <v>1520</v>
      </c>
      <c r="L521" s="180">
        <v>100</v>
      </c>
      <c r="M521" t="s">
        <v>7818</v>
      </c>
      <c r="N521" t="str">
        <f t="shared" si="34"/>
        <v>GEOL. HYDROTHERMAL (0090)</v>
      </c>
      <c r="O521" t="s">
        <v>52</v>
      </c>
      <c r="P521" t="str">
        <f t="shared" si="35"/>
        <v>18000_0090</v>
      </c>
      <c r="Q521" s="180">
        <v>100</v>
      </c>
    </row>
    <row r="522" spans="1:17">
      <c r="A522" t="str">
        <f t="shared" si="32"/>
        <v>UGA_0101</v>
      </c>
      <c r="B522" t="str">
        <f t="shared" si="33"/>
        <v>UGA_CHICOPEE NO.1</v>
      </c>
      <c r="C522" t="s">
        <v>443</v>
      </c>
      <c r="D522" s="180" t="s">
        <v>51</v>
      </c>
      <c r="E522" t="s">
        <v>751</v>
      </c>
      <c r="F522" t="s">
        <v>2397</v>
      </c>
      <c r="G522" s="180">
        <v>253250</v>
      </c>
      <c r="H522">
        <v>1847</v>
      </c>
      <c r="J522" s="1334" t="s">
        <v>475</v>
      </c>
      <c r="K522" s="1335" t="s">
        <v>475</v>
      </c>
      <c r="L522" s="180">
        <v>100</v>
      </c>
      <c r="M522" t="s">
        <v>7818</v>
      </c>
      <c r="N522" t="str">
        <f t="shared" si="34"/>
        <v>CHICOPEE NO.1 (0101)</v>
      </c>
      <c r="O522" t="s">
        <v>52</v>
      </c>
      <c r="P522" t="str">
        <f t="shared" si="35"/>
        <v>18000_0101</v>
      </c>
      <c r="Q522" s="180">
        <v>100</v>
      </c>
    </row>
    <row r="523" spans="1:17">
      <c r="A523" t="str">
        <f t="shared" si="32"/>
        <v>UGA_0102</v>
      </c>
      <c r="B523" t="str">
        <f t="shared" si="33"/>
        <v>UGA_CHICOPEE NO.2</v>
      </c>
      <c r="C523" t="s">
        <v>443</v>
      </c>
      <c r="D523" s="180" t="s">
        <v>51</v>
      </c>
      <c r="E523" t="s">
        <v>947</v>
      </c>
      <c r="F523" t="s">
        <v>3148</v>
      </c>
      <c r="G523" s="180">
        <v>43052</v>
      </c>
      <c r="H523">
        <v>1940</v>
      </c>
      <c r="J523" s="1334" t="s">
        <v>475</v>
      </c>
      <c r="K523" s="1335" t="s">
        <v>475</v>
      </c>
      <c r="L523" s="180">
        <v>100</v>
      </c>
      <c r="M523" t="s">
        <v>7818</v>
      </c>
      <c r="N523" t="str">
        <f t="shared" si="34"/>
        <v>CHICOPEE NO.2 (0102)</v>
      </c>
      <c r="O523" t="s">
        <v>52</v>
      </c>
      <c r="P523" t="str">
        <f t="shared" si="35"/>
        <v>18000_0102</v>
      </c>
      <c r="Q523" s="180">
        <v>100</v>
      </c>
    </row>
    <row r="524" spans="1:17">
      <c r="A524" t="str">
        <f t="shared" si="32"/>
        <v>UGA_0103</v>
      </c>
      <c r="B524" t="str">
        <f t="shared" si="33"/>
        <v>UGA_CHICOPEE NO.3</v>
      </c>
      <c r="C524" t="s">
        <v>443</v>
      </c>
      <c r="D524" s="180" t="s">
        <v>51</v>
      </c>
      <c r="E524" t="s">
        <v>535</v>
      </c>
      <c r="F524" t="s">
        <v>4452</v>
      </c>
      <c r="G524" s="180">
        <v>19000</v>
      </c>
      <c r="H524">
        <v>1970</v>
      </c>
      <c r="J524" s="1334" t="s">
        <v>475</v>
      </c>
      <c r="K524" s="1335" t="s">
        <v>475</v>
      </c>
      <c r="L524" s="180">
        <v>100</v>
      </c>
      <c r="M524" t="s">
        <v>7818</v>
      </c>
      <c r="N524" t="str">
        <f t="shared" si="34"/>
        <v>CHICOPEE NO.3 (0103)</v>
      </c>
      <c r="O524" t="s">
        <v>52</v>
      </c>
      <c r="P524" t="str">
        <f t="shared" si="35"/>
        <v>18000_0103</v>
      </c>
      <c r="Q524" s="180">
        <v>0</v>
      </c>
    </row>
    <row r="525" spans="1:17">
      <c r="A525" t="str">
        <f t="shared" si="32"/>
        <v>UGA_0104</v>
      </c>
      <c r="B525" t="str">
        <f t="shared" si="33"/>
        <v>UGA_CHICOPEE NO.4</v>
      </c>
      <c r="C525" t="s">
        <v>443</v>
      </c>
      <c r="D525" s="180" t="s">
        <v>51</v>
      </c>
      <c r="E525" t="s">
        <v>686</v>
      </c>
      <c r="F525" t="s">
        <v>2863</v>
      </c>
      <c r="G525" s="180">
        <v>720</v>
      </c>
      <c r="H525">
        <v>1847</v>
      </c>
      <c r="J525" s="1334" t="s">
        <v>475</v>
      </c>
      <c r="K525" s="1335" t="s">
        <v>475</v>
      </c>
      <c r="L525" s="180">
        <v>100</v>
      </c>
      <c r="M525" t="s">
        <v>7818</v>
      </c>
      <c r="N525" t="str">
        <f t="shared" si="34"/>
        <v>CHICOPEE NO.4 (0104)</v>
      </c>
      <c r="O525" t="s">
        <v>52</v>
      </c>
      <c r="P525" t="str">
        <f t="shared" si="35"/>
        <v>18000_0104</v>
      </c>
      <c r="Q525" s="180">
        <v>100</v>
      </c>
    </row>
    <row r="526" spans="1:17">
      <c r="A526" t="str">
        <f t="shared" si="32"/>
        <v>UGA_0107</v>
      </c>
      <c r="B526" t="str">
        <f t="shared" si="33"/>
        <v>UGA_CHICOPEE NO.7</v>
      </c>
      <c r="C526" t="s">
        <v>443</v>
      </c>
      <c r="D526" s="180" t="s">
        <v>51</v>
      </c>
      <c r="E526" t="s">
        <v>741</v>
      </c>
      <c r="F526" t="s">
        <v>1576</v>
      </c>
      <c r="G526" s="180">
        <v>721</v>
      </c>
      <c r="H526">
        <v>1988</v>
      </c>
      <c r="J526" s="1334" t="s">
        <v>475</v>
      </c>
      <c r="K526" s="1335" t="s">
        <v>475</v>
      </c>
      <c r="L526" s="180">
        <v>100</v>
      </c>
      <c r="M526" t="s">
        <v>7818</v>
      </c>
      <c r="N526" t="str">
        <f t="shared" si="34"/>
        <v>CHICOPEE NO.7 (0107)</v>
      </c>
      <c r="O526" t="s">
        <v>52</v>
      </c>
      <c r="P526" t="str">
        <f t="shared" si="35"/>
        <v>18000_0107</v>
      </c>
      <c r="Q526" s="180">
        <v>100</v>
      </c>
    </row>
    <row r="527" spans="1:17">
      <c r="A527" t="str">
        <f t="shared" si="32"/>
        <v>UGA_0109</v>
      </c>
      <c r="B527" t="str">
        <f t="shared" si="33"/>
        <v>UGA_CHICOPEE NO.8</v>
      </c>
      <c r="C527" t="s">
        <v>443</v>
      </c>
      <c r="D527" s="180" t="s">
        <v>51</v>
      </c>
      <c r="E527" t="s">
        <v>894</v>
      </c>
      <c r="F527" t="s">
        <v>2746</v>
      </c>
      <c r="G527" s="180">
        <v>2862</v>
      </c>
      <c r="H527">
        <v>1965</v>
      </c>
      <c r="J527" s="1334" t="s">
        <v>475</v>
      </c>
      <c r="K527" s="1335" t="s">
        <v>1520</v>
      </c>
      <c r="L527" s="180">
        <v>100</v>
      </c>
      <c r="M527" t="s">
        <v>7818</v>
      </c>
      <c r="N527" t="str">
        <f t="shared" si="34"/>
        <v>CHICOPEE NO.8 (0109)</v>
      </c>
      <c r="O527" t="s">
        <v>52</v>
      </c>
      <c r="P527" t="str">
        <f t="shared" si="35"/>
        <v>18000_0109</v>
      </c>
      <c r="Q527" s="180">
        <v>100</v>
      </c>
    </row>
    <row r="528" spans="1:17">
      <c r="A528" t="str">
        <f t="shared" si="32"/>
        <v>UGA_0110</v>
      </c>
      <c r="B528" t="str">
        <f t="shared" si="33"/>
        <v>UGA_BUSINESS SERVICES</v>
      </c>
      <c r="C528" t="s">
        <v>443</v>
      </c>
      <c r="D528" s="180" t="s">
        <v>51</v>
      </c>
      <c r="E528" t="s">
        <v>666</v>
      </c>
      <c r="F528" t="s">
        <v>2565</v>
      </c>
      <c r="G528" s="180">
        <v>58347</v>
      </c>
      <c r="H528">
        <v>1939</v>
      </c>
      <c r="J528" s="1334" t="s">
        <v>475</v>
      </c>
      <c r="K528" s="1335" t="s">
        <v>1520</v>
      </c>
      <c r="L528" s="180">
        <v>100</v>
      </c>
      <c r="M528" t="s">
        <v>7818</v>
      </c>
      <c r="N528" t="str">
        <f t="shared" si="34"/>
        <v>BUSINESS SERVICES (0110)</v>
      </c>
      <c r="O528" t="s">
        <v>52</v>
      </c>
      <c r="P528" t="str">
        <f t="shared" si="35"/>
        <v>18000_0110</v>
      </c>
      <c r="Q528" s="180">
        <v>100</v>
      </c>
    </row>
    <row r="529" spans="1:17">
      <c r="A529" t="str">
        <f t="shared" si="32"/>
        <v>UGA_0113</v>
      </c>
      <c r="B529" t="str">
        <f t="shared" si="33"/>
        <v>UGA_382 E BROAD STREET</v>
      </c>
      <c r="C529" t="s">
        <v>443</v>
      </c>
      <c r="D529" s="180" t="s">
        <v>51</v>
      </c>
      <c r="E529" t="s">
        <v>4362</v>
      </c>
      <c r="F529" t="s">
        <v>4363</v>
      </c>
      <c r="G529" s="180">
        <v>10722</v>
      </c>
      <c r="H529">
        <v>1896</v>
      </c>
      <c r="J529" s="1334" t="s">
        <v>475</v>
      </c>
      <c r="K529" s="1335" t="s">
        <v>475</v>
      </c>
      <c r="L529" s="180">
        <v>100</v>
      </c>
      <c r="M529" t="s">
        <v>7818</v>
      </c>
      <c r="N529" t="str">
        <f t="shared" si="34"/>
        <v>382 E BROAD STREET (0113)</v>
      </c>
      <c r="O529" t="s">
        <v>52</v>
      </c>
      <c r="P529" t="str">
        <f t="shared" si="35"/>
        <v>18000_0113</v>
      </c>
      <c r="Q529" s="180">
        <v>100</v>
      </c>
    </row>
    <row r="530" spans="1:17">
      <c r="A530" t="str">
        <f t="shared" si="32"/>
        <v>UGA_0120</v>
      </c>
      <c r="B530" t="str">
        <f t="shared" si="33"/>
        <v>UGA_HOLMES/HUNTER ACAD</v>
      </c>
      <c r="C530" t="s">
        <v>443</v>
      </c>
      <c r="D530" s="180" t="s">
        <v>51</v>
      </c>
      <c r="E530" t="s">
        <v>1812</v>
      </c>
      <c r="F530" t="s">
        <v>1813</v>
      </c>
      <c r="G530" s="180">
        <v>50929</v>
      </c>
      <c r="H530">
        <v>1831</v>
      </c>
      <c r="J530" s="1334" t="s">
        <v>475</v>
      </c>
      <c r="K530" s="1335" t="s">
        <v>1520</v>
      </c>
      <c r="L530" s="180">
        <v>100</v>
      </c>
      <c r="M530" t="s">
        <v>7818</v>
      </c>
      <c r="N530" t="str">
        <f t="shared" si="34"/>
        <v>HOLMES/HUNTER ACAD (0120)</v>
      </c>
      <c r="O530" t="s">
        <v>52</v>
      </c>
      <c r="P530" t="str">
        <f t="shared" si="35"/>
        <v>18000_0120</v>
      </c>
      <c r="Q530" s="180">
        <v>96</v>
      </c>
    </row>
    <row r="531" spans="1:17">
      <c r="A531" t="str">
        <f t="shared" si="32"/>
        <v>UGA_0121</v>
      </c>
      <c r="B531" t="str">
        <f t="shared" si="33"/>
        <v>UGA_DELTA INNOVATION HUB</v>
      </c>
      <c r="C531" t="s">
        <v>443</v>
      </c>
      <c r="D531" s="180" t="s">
        <v>51</v>
      </c>
      <c r="E531" t="s">
        <v>1432</v>
      </c>
      <c r="F531" t="s">
        <v>7117</v>
      </c>
      <c r="G531" s="180">
        <v>10214</v>
      </c>
      <c r="H531">
        <v>1948</v>
      </c>
      <c r="J531" s="1334" t="s">
        <v>475</v>
      </c>
      <c r="K531" s="1335" t="s">
        <v>475</v>
      </c>
      <c r="L531" s="180">
        <v>100</v>
      </c>
      <c r="M531" t="s">
        <v>7818</v>
      </c>
      <c r="N531" t="str">
        <f t="shared" si="34"/>
        <v>DELTA INNOVATION HUB (0121)</v>
      </c>
      <c r="O531" t="s">
        <v>52</v>
      </c>
      <c r="P531" t="str">
        <f t="shared" si="35"/>
        <v>18000_0121</v>
      </c>
      <c r="Q531" s="180">
        <v>100</v>
      </c>
    </row>
    <row r="532" spans="1:17">
      <c r="A532" t="str">
        <f t="shared" si="32"/>
        <v>UGA_0122</v>
      </c>
      <c r="B532" t="str">
        <f t="shared" si="33"/>
        <v>UGA_NORTH CAMPUS PRKNG</v>
      </c>
      <c r="C532" t="s">
        <v>443</v>
      </c>
      <c r="D532" s="180" t="s">
        <v>51</v>
      </c>
      <c r="E532" t="s">
        <v>4135</v>
      </c>
      <c r="F532" t="s">
        <v>4136</v>
      </c>
      <c r="G532" s="180">
        <v>389074</v>
      </c>
      <c r="H532">
        <v>1999</v>
      </c>
      <c r="J532" s="1334" t="s">
        <v>475</v>
      </c>
      <c r="K532" s="1335" t="s">
        <v>475</v>
      </c>
      <c r="L532" s="180">
        <v>0</v>
      </c>
      <c r="M532" t="s">
        <v>7818</v>
      </c>
      <c r="N532" t="str">
        <f t="shared" si="34"/>
        <v>NORTH CAMPUS PRKNG (0122)</v>
      </c>
      <c r="O532" t="s">
        <v>52</v>
      </c>
      <c r="P532" t="str">
        <f t="shared" si="35"/>
        <v>18000_0122</v>
      </c>
      <c r="Q532" s="180">
        <v>100</v>
      </c>
    </row>
    <row r="533" spans="1:17">
      <c r="A533" t="str">
        <f t="shared" si="32"/>
        <v>UGA_0123</v>
      </c>
      <c r="B533" t="str">
        <f t="shared" si="33"/>
        <v>UGA_TANNER BUILDING</v>
      </c>
      <c r="C533" t="s">
        <v>443</v>
      </c>
      <c r="D533" s="180" t="s">
        <v>51</v>
      </c>
      <c r="E533" t="s">
        <v>632</v>
      </c>
      <c r="F533" t="s">
        <v>2076</v>
      </c>
      <c r="G533" s="180">
        <v>14184</v>
      </c>
      <c r="H533">
        <v>1912</v>
      </c>
      <c r="J533" s="1334" t="s">
        <v>475</v>
      </c>
      <c r="K533" s="1335" t="s">
        <v>475</v>
      </c>
      <c r="L533" s="180">
        <v>100</v>
      </c>
      <c r="M533" t="s">
        <v>7818</v>
      </c>
      <c r="N533" t="str">
        <f t="shared" si="34"/>
        <v>TANNER BUILDING (0123)</v>
      </c>
      <c r="O533" t="s">
        <v>52</v>
      </c>
      <c r="P533" t="str">
        <f t="shared" si="35"/>
        <v>18000_0123</v>
      </c>
      <c r="Q533" s="180">
        <v>100</v>
      </c>
    </row>
    <row r="534" spans="1:17">
      <c r="A534" t="str">
        <f t="shared" si="32"/>
        <v>UGA_0124</v>
      </c>
      <c r="B534" t="str">
        <f t="shared" si="33"/>
        <v>UGA_SCULPTURE CANOPY</v>
      </c>
      <c r="C534" t="s">
        <v>443</v>
      </c>
      <c r="D534" s="180" t="s">
        <v>51</v>
      </c>
      <c r="E534" t="s">
        <v>773</v>
      </c>
      <c r="F534" t="s">
        <v>3202</v>
      </c>
      <c r="G534" s="180">
        <v>1024</v>
      </c>
      <c r="H534">
        <v>2000</v>
      </c>
      <c r="J534" s="1334" t="s">
        <v>475</v>
      </c>
      <c r="K534" s="1335" t="s">
        <v>475</v>
      </c>
      <c r="L534" s="180">
        <v>100</v>
      </c>
      <c r="M534" t="s">
        <v>7818</v>
      </c>
      <c r="N534" t="str">
        <f t="shared" si="34"/>
        <v>SCULPTURE CANOPY (0124)</v>
      </c>
      <c r="O534" t="s">
        <v>52</v>
      </c>
      <c r="P534" t="str">
        <f t="shared" si="35"/>
        <v>18000_0124</v>
      </c>
      <c r="Q534" s="180">
        <v>99</v>
      </c>
    </row>
    <row r="535" spans="1:17">
      <c r="A535" t="str">
        <f t="shared" si="32"/>
        <v>UGA_0130</v>
      </c>
      <c r="B535" t="str">
        <f t="shared" si="33"/>
        <v>UGA_OLD COLLEGE</v>
      </c>
      <c r="C535" t="s">
        <v>443</v>
      </c>
      <c r="D535" s="180" t="s">
        <v>51</v>
      </c>
      <c r="E535" t="s">
        <v>753</v>
      </c>
      <c r="F535" t="s">
        <v>4453</v>
      </c>
      <c r="G535" s="180">
        <v>20577</v>
      </c>
      <c r="H535">
        <v>1806</v>
      </c>
      <c r="J535" s="1334" t="s">
        <v>475</v>
      </c>
      <c r="K535" s="1335" t="s">
        <v>1520</v>
      </c>
      <c r="L535" s="180">
        <v>100</v>
      </c>
      <c r="M535" t="s">
        <v>7818</v>
      </c>
      <c r="N535" t="str">
        <f t="shared" si="34"/>
        <v>OLD COLLEGE (0130)</v>
      </c>
      <c r="O535" t="s">
        <v>52</v>
      </c>
      <c r="P535" t="str">
        <f t="shared" si="35"/>
        <v>18000_0130</v>
      </c>
      <c r="Q535" s="180">
        <v>100</v>
      </c>
    </row>
    <row r="536" spans="1:17">
      <c r="A536" t="str">
        <f t="shared" si="32"/>
        <v>UGA_0150</v>
      </c>
      <c r="B536" t="str">
        <f t="shared" si="33"/>
        <v>UGA_N CAM CHILLER BLDG</v>
      </c>
      <c r="C536" t="s">
        <v>443</v>
      </c>
      <c r="D536" s="180" t="s">
        <v>51</v>
      </c>
      <c r="E536" t="s">
        <v>3961</v>
      </c>
      <c r="F536" t="s">
        <v>3962</v>
      </c>
      <c r="G536" s="180">
        <v>1838</v>
      </c>
      <c r="H536">
        <v>1993</v>
      </c>
      <c r="J536" s="1334" t="s">
        <v>475</v>
      </c>
      <c r="K536" s="1335" t="s">
        <v>475</v>
      </c>
      <c r="L536" s="180">
        <v>100</v>
      </c>
      <c r="M536" t="s">
        <v>7818</v>
      </c>
      <c r="N536" t="str">
        <f t="shared" si="34"/>
        <v>N CAM CHILLER BLDG (0150)</v>
      </c>
      <c r="O536" t="s">
        <v>52</v>
      </c>
      <c r="P536" t="str">
        <f t="shared" si="35"/>
        <v>18000_0150</v>
      </c>
      <c r="Q536" s="180">
        <v>100</v>
      </c>
    </row>
    <row r="537" spans="1:17">
      <c r="A537" t="str">
        <f t="shared" si="32"/>
        <v>UGA_0182</v>
      </c>
      <c r="B537" t="str">
        <f t="shared" si="33"/>
        <v>UGA_TATE DECK BOOTH 1</v>
      </c>
      <c r="C537" t="s">
        <v>443</v>
      </c>
      <c r="D537" s="180" t="s">
        <v>51</v>
      </c>
      <c r="E537" t="s">
        <v>886</v>
      </c>
      <c r="F537" t="s">
        <v>1565</v>
      </c>
      <c r="G537" s="180">
        <v>50</v>
      </c>
      <c r="H537">
        <v>2008</v>
      </c>
      <c r="J537" s="1334" t="s">
        <v>475</v>
      </c>
      <c r="K537" s="1335" t="s">
        <v>475</v>
      </c>
      <c r="L537" s="180">
        <v>0</v>
      </c>
      <c r="M537" t="s">
        <v>7818</v>
      </c>
      <c r="N537" t="str">
        <f t="shared" si="34"/>
        <v>TATE DECK BOOTH 1 (0182)</v>
      </c>
      <c r="O537" t="s">
        <v>52</v>
      </c>
      <c r="P537" t="str">
        <f t="shared" si="35"/>
        <v>18000_0182</v>
      </c>
      <c r="Q537" s="180">
        <v>100</v>
      </c>
    </row>
    <row r="538" spans="1:17">
      <c r="A538" t="str">
        <f t="shared" si="32"/>
        <v>UGA_0183</v>
      </c>
      <c r="B538" t="str">
        <f t="shared" si="33"/>
        <v>UGA_TATE DECK BOOTH 2</v>
      </c>
      <c r="C538" t="s">
        <v>443</v>
      </c>
      <c r="D538" s="180" t="s">
        <v>51</v>
      </c>
      <c r="E538" t="s">
        <v>2348</v>
      </c>
      <c r="F538" t="s">
        <v>2349</v>
      </c>
      <c r="G538" s="180">
        <v>41</v>
      </c>
      <c r="H538">
        <v>2008</v>
      </c>
      <c r="J538" s="1334" t="s">
        <v>475</v>
      </c>
      <c r="K538" s="1335" t="s">
        <v>475</v>
      </c>
      <c r="L538" s="180">
        <v>0</v>
      </c>
      <c r="M538" t="s">
        <v>7818</v>
      </c>
      <c r="N538" t="str">
        <f t="shared" si="34"/>
        <v>TATE DECK BOOTH 2 (0183)</v>
      </c>
      <c r="O538" t="s">
        <v>52</v>
      </c>
      <c r="P538" t="str">
        <f t="shared" si="35"/>
        <v>18000_0183</v>
      </c>
      <c r="Q538" s="180">
        <v>100</v>
      </c>
    </row>
    <row r="539" spans="1:17">
      <c r="A539" t="str">
        <f t="shared" si="32"/>
        <v>UGA_0250</v>
      </c>
      <c r="B539" t="str">
        <f t="shared" si="33"/>
        <v>UGA_JOE BROWN</v>
      </c>
      <c r="C539" t="s">
        <v>443</v>
      </c>
      <c r="D539" s="180" t="s">
        <v>51</v>
      </c>
      <c r="E539" t="s">
        <v>2733</v>
      </c>
      <c r="F539" t="s">
        <v>2734</v>
      </c>
      <c r="G539" s="180">
        <v>31765</v>
      </c>
      <c r="H539">
        <v>1932</v>
      </c>
      <c r="J539" s="1334" t="s">
        <v>475</v>
      </c>
      <c r="K539" s="1335" t="s">
        <v>1520</v>
      </c>
      <c r="L539" s="180">
        <v>100</v>
      </c>
      <c r="M539" t="s">
        <v>7818</v>
      </c>
      <c r="N539" t="str">
        <f t="shared" si="34"/>
        <v>JOE BROWN (0250)</v>
      </c>
      <c r="O539" t="s">
        <v>52</v>
      </c>
      <c r="P539" t="str">
        <f t="shared" si="35"/>
        <v>18000_0250</v>
      </c>
      <c r="Q539" s="180">
        <v>100</v>
      </c>
    </row>
    <row r="540" spans="1:17">
      <c r="A540" t="str">
        <f t="shared" si="32"/>
        <v>UGA_0270</v>
      </c>
      <c r="B540" t="str">
        <f t="shared" si="33"/>
        <v>UGA_PAYNE HALL</v>
      </c>
      <c r="C540" t="s">
        <v>443</v>
      </c>
      <c r="D540" s="180" t="s">
        <v>51</v>
      </c>
      <c r="E540" t="s">
        <v>3834</v>
      </c>
      <c r="F540" t="s">
        <v>3835</v>
      </c>
      <c r="G540" s="180">
        <v>43050</v>
      </c>
      <c r="H540">
        <v>1939</v>
      </c>
      <c r="J540" s="1334" t="s">
        <v>475</v>
      </c>
      <c r="K540" s="1335" t="s">
        <v>475</v>
      </c>
      <c r="L540" s="180">
        <v>0</v>
      </c>
      <c r="M540" t="s">
        <v>7818</v>
      </c>
      <c r="N540" t="str">
        <f t="shared" si="34"/>
        <v>PAYNE HALL (0270)</v>
      </c>
      <c r="O540" t="s">
        <v>52</v>
      </c>
      <c r="P540" t="str">
        <f t="shared" si="35"/>
        <v>18000_0270</v>
      </c>
      <c r="Q540" s="180">
        <v>82</v>
      </c>
    </row>
    <row r="541" spans="1:17">
      <c r="A541" t="str">
        <f t="shared" si="32"/>
        <v>UGA_0271</v>
      </c>
      <c r="B541" t="str">
        <f t="shared" si="33"/>
        <v>UGA_MILLEDGE HALL</v>
      </c>
      <c r="C541" t="s">
        <v>443</v>
      </c>
      <c r="D541" s="180" t="s">
        <v>51</v>
      </c>
      <c r="E541" t="s">
        <v>3485</v>
      </c>
      <c r="F541" t="s">
        <v>3486</v>
      </c>
      <c r="G541" s="180">
        <v>32883</v>
      </c>
      <c r="H541">
        <v>1921</v>
      </c>
      <c r="J541" s="1334" t="s">
        <v>475</v>
      </c>
      <c r="K541" s="1335" t="s">
        <v>475</v>
      </c>
      <c r="L541" s="180">
        <v>100</v>
      </c>
      <c r="M541" t="s">
        <v>7818</v>
      </c>
      <c r="N541" t="str">
        <f t="shared" si="34"/>
        <v>MILLEDGE HALL (0271)</v>
      </c>
      <c r="O541" t="s">
        <v>52</v>
      </c>
      <c r="P541" t="str">
        <f t="shared" si="35"/>
        <v>18000_0271</v>
      </c>
      <c r="Q541" s="180">
        <v>100</v>
      </c>
    </row>
    <row r="542" spans="1:17">
      <c r="A542" t="str">
        <f t="shared" si="32"/>
        <v>UGA_0280</v>
      </c>
      <c r="B542" t="str">
        <f t="shared" si="33"/>
        <v>UGA_REED HALL</v>
      </c>
      <c r="C542" t="s">
        <v>443</v>
      </c>
      <c r="D542" s="180" t="s">
        <v>51</v>
      </c>
      <c r="E542" t="s">
        <v>2350</v>
      </c>
      <c r="F542" t="s">
        <v>2351</v>
      </c>
      <c r="G542" s="180">
        <v>94985</v>
      </c>
      <c r="H542">
        <v>1953</v>
      </c>
      <c r="J542" s="1334" t="s">
        <v>475</v>
      </c>
      <c r="K542" s="1335" t="s">
        <v>475</v>
      </c>
      <c r="L542" s="180">
        <v>2</v>
      </c>
      <c r="M542" t="s">
        <v>7818</v>
      </c>
      <c r="N542" t="str">
        <f t="shared" si="34"/>
        <v>REED HALL (0280)</v>
      </c>
      <c r="O542" t="s">
        <v>52</v>
      </c>
      <c r="P542" t="str">
        <f t="shared" si="35"/>
        <v>18000_0280</v>
      </c>
      <c r="Q542" s="180">
        <v>42</v>
      </c>
    </row>
    <row r="543" spans="1:17">
      <c r="A543" t="str">
        <f t="shared" si="32"/>
        <v>UGA_0290</v>
      </c>
      <c r="B543" t="str">
        <f t="shared" si="33"/>
        <v>UGA_CLARK HOWELL HALL</v>
      </c>
      <c r="C543" t="s">
        <v>443</v>
      </c>
      <c r="D543" s="180" t="s">
        <v>51</v>
      </c>
      <c r="E543" t="s">
        <v>4454</v>
      </c>
      <c r="F543" t="s">
        <v>4455</v>
      </c>
      <c r="G543" s="180">
        <v>33980</v>
      </c>
      <c r="H543">
        <v>1936</v>
      </c>
      <c r="J543" s="1334" t="s">
        <v>475</v>
      </c>
      <c r="K543" s="1335" t="s">
        <v>486</v>
      </c>
      <c r="L543" s="180">
        <v>100</v>
      </c>
      <c r="M543" t="s">
        <v>7818</v>
      </c>
      <c r="N543" t="str">
        <f t="shared" si="34"/>
        <v>CLARK HOWELL HALL (0290)</v>
      </c>
      <c r="O543" t="s">
        <v>52</v>
      </c>
      <c r="P543" t="str">
        <f t="shared" si="35"/>
        <v>18000_0290</v>
      </c>
      <c r="Q543" s="180">
        <v>100</v>
      </c>
    </row>
    <row r="544" spans="1:17">
      <c r="A544" t="str">
        <f t="shared" si="32"/>
        <v>UGA_0620</v>
      </c>
      <c r="B544" t="str">
        <f t="shared" si="33"/>
        <v>UGA_HUMAN RESOURCES</v>
      </c>
      <c r="C544" t="s">
        <v>443</v>
      </c>
      <c r="D544" s="180" t="s">
        <v>51</v>
      </c>
      <c r="E544" t="s">
        <v>2735</v>
      </c>
      <c r="F544" t="s">
        <v>2736</v>
      </c>
      <c r="G544" s="180">
        <v>12156</v>
      </c>
      <c r="H544">
        <v>1951</v>
      </c>
      <c r="J544" s="1334" t="s">
        <v>475</v>
      </c>
      <c r="K544" s="1335" t="s">
        <v>486</v>
      </c>
      <c r="L544" s="180">
        <v>100</v>
      </c>
      <c r="M544" t="s">
        <v>7818</v>
      </c>
      <c r="N544" t="str">
        <f t="shared" si="34"/>
        <v>HUMAN RESOURCES (0620)</v>
      </c>
      <c r="O544" t="s">
        <v>52</v>
      </c>
      <c r="P544" t="str">
        <f t="shared" si="35"/>
        <v>18000_0620</v>
      </c>
      <c r="Q544" s="180">
        <v>100</v>
      </c>
    </row>
    <row r="545" spans="1:17">
      <c r="A545" t="str">
        <f t="shared" si="32"/>
        <v>UGA_0631</v>
      </c>
      <c r="B545" t="str">
        <f t="shared" si="33"/>
        <v>UGA_ADMINISTRATION BUILDING</v>
      </c>
      <c r="C545" t="s">
        <v>443</v>
      </c>
      <c r="D545" s="180" t="s">
        <v>51</v>
      </c>
      <c r="E545" t="s">
        <v>1718</v>
      </c>
      <c r="F545" t="s">
        <v>7118</v>
      </c>
      <c r="G545" s="180">
        <v>20471</v>
      </c>
      <c r="H545">
        <v>1907</v>
      </c>
      <c r="J545" s="1334" t="s">
        <v>475</v>
      </c>
      <c r="K545" s="1335" t="s">
        <v>475</v>
      </c>
      <c r="L545" s="180">
        <v>100</v>
      </c>
      <c r="M545" t="s">
        <v>7818</v>
      </c>
      <c r="N545" t="str">
        <f t="shared" si="34"/>
        <v>ADMINISTRATION BUILDING (0631)</v>
      </c>
      <c r="O545" t="s">
        <v>52</v>
      </c>
      <c r="P545" t="str">
        <f t="shared" si="35"/>
        <v>18000_0631</v>
      </c>
      <c r="Q545" s="180">
        <v>100</v>
      </c>
    </row>
    <row r="546" spans="1:17">
      <c r="A546" t="str">
        <f t="shared" si="32"/>
        <v>UGA_0632</v>
      </c>
      <c r="B546" t="str">
        <f t="shared" si="33"/>
        <v>UGA_LUSTRAT HOUSE</v>
      </c>
      <c r="C546" t="s">
        <v>443</v>
      </c>
      <c r="D546" s="180" t="s">
        <v>51</v>
      </c>
      <c r="E546" t="s">
        <v>3836</v>
      </c>
      <c r="F546" t="s">
        <v>3837</v>
      </c>
      <c r="G546" s="180">
        <v>5692</v>
      </c>
      <c r="H546">
        <v>1847</v>
      </c>
      <c r="J546" s="1334" t="s">
        <v>475</v>
      </c>
      <c r="K546" s="1335" t="s">
        <v>1520</v>
      </c>
      <c r="L546" s="180">
        <v>100</v>
      </c>
      <c r="M546" t="s">
        <v>7818</v>
      </c>
      <c r="N546" t="str">
        <f t="shared" si="34"/>
        <v>LUSTRAT HOUSE (0632)</v>
      </c>
      <c r="O546" t="s">
        <v>52</v>
      </c>
      <c r="P546" t="str">
        <f t="shared" si="35"/>
        <v>18000_0632</v>
      </c>
      <c r="Q546" s="180">
        <v>100</v>
      </c>
    </row>
    <row r="547" spans="1:17">
      <c r="A547" t="str">
        <f t="shared" si="32"/>
        <v>UGA_0640</v>
      </c>
      <c r="B547" t="str">
        <f t="shared" si="33"/>
        <v>UGA_GILBERT HALL</v>
      </c>
      <c r="C547" t="s">
        <v>443</v>
      </c>
      <c r="D547" s="180" t="s">
        <v>51</v>
      </c>
      <c r="E547" t="s">
        <v>4364</v>
      </c>
      <c r="F547" t="s">
        <v>4365</v>
      </c>
      <c r="G547" s="180">
        <v>60232</v>
      </c>
      <c r="H547">
        <v>1939</v>
      </c>
      <c r="J547" s="1334" t="s">
        <v>475</v>
      </c>
      <c r="K547" s="1335" t="s">
        <v>475</v>
      </c>
      <c r="L547" s="180">
        <v>100</v>
      </c>
      <c r="M547" t="s">
        <v>7818</v>
      </c>
      <c r="N547" t="str">
        <f t="shared" si="34"/>
        <v>GILBERT HALL (0640)</v>
      </c>
      <c r="O547" t="s">
        <v>52</v>
      </c>
      <c r="P547" t="str">
        <f t="shared" si="35"/>
        <v>18000_0640</v>
      </c>
      <c r="Q547" s="180">
        <v>100</v>
      </c>
    </row>
    <row r="548" spans="1:17">
      <c r="A548" t="str">
        <f t="shared" si="32"/>
        <v>UGA_0650</v>
      </c>
      <c r="B548" t="str">
        <f t="shared" si="33"/>
        <v>UGA_FOUNDERS HOUSE</v>
      </c>
      <c r="C548" t="s">
        <v>443</v>
      </c>
      <c r="D548" s="180" t="s">
        <v>51</v>
      </c>
      <c r="E548" t="s">
        <v>2585</v>
      </c>
      <c r="F548" t="s">
        <v>2586</v>
      </c>
      <c r="G548" s="180">
        <v>4180</v>
      </c>
      <c r="H548">
        <v>1850</v>
      </c>
      <c r="J548" s="1334" t="s">
        <v>475</v>
      </c>
      <c r="K548" s="1335" t="s">
        <v>1520</v>
      </c>
      <c r="L548" s="180">
        <v>100</v>
      </c>
      <c r="M548" t="s">
        <v>7818</v>
      </c>
      <c r="N548" t="str">
        <f t="shared" si="34"/>
        <v>FOUNDERS HOUSE (0650)</v>
      </c>
      <c r="O548" t="s">
        <v>52</v>
      </c>
      <c r="P548" t="str">
        <f t="shared" si="35"/>
        <v>18000_0650</v>
      </c>
      <c r="Q548" s="180">
        <v>100</v>
      </c>
    </row>
    <row r="549" spans="1:17">
      <c r="A549" t="str">
        <f t="shared" si="32"/>
        <v>UGA_0651</v>
      </c>
      <c r="B549" t="str">
        <f t="shared" si="33"/>
        <v>UGA_FOUNDERS KITCHEN</v>
      </c>
      <c r="C549" t="s">
        <v>443</v>
      </c>
      <c r="D549" s="180" t="s">
        <v>51</v>
      </c>
      <c r="E549" t="s">
        <v>1709</v>
      </c>
      <c r="F549" t="s">
        <v>1710</v>
      </c>
      <c r="G549" s="180">
        <v>600</v>
      </c>
      <c r="H549">
        <v>1850</v>
      </c>
      <c r="J549" s="1334" t="s">
        <v>475</v>
      </c>
      <c r="K549" s="1335" t="s">
        <v>486</v>
      </c>
      <c r="L549" s="180">
        <v>100</v>
      </c>
      <c r="M549" t="s">
        <v>7818</v>
      </c>
      <c r="N549" t="str">
        <f t="shared" si="34"/>
        <v>FOUNDERS KITCHEN (0651)</v>
      </c>
      <c r="O549" t="s">
        <v>52</v>
      </c>
      <c r="P549" t="str">
        <f t="shared" si="35"/>
        <v>18000_0651</v>
      </c>
      <c r="Q549" s="180">
        <v>100</v>
      </c>
    </row>
    <row r="550" spans="1:17">
      <c r="A550" t="str">
        <f t="shared" si="32"/>
        <v>UGA_0652</v>
      </c>
      <c r="B550" t="str">
        <f t="shared" si="33"/>
        <v>UGA_FOUNDERS SMOKEHOUSE</v>
      </c>
      <c r="C550" t="s">
        <v>443</v>
      </c>
      <c r="D550" s="180" t="s">
        <v>51</v>
      </c>
      <c r="E550" t="s">
        <v>1786</v>
      </c>
      <c r="F550" t="s">
        <v>1787</v>
      </c>
      <c r="G550" s="180">
        <v>231</v>
      </c>
      <c r="H550">
        <v>1850</v>
      </c>
      <c r="J550" s="1334" t="s">
        <v>475</v>
      </c>
      <c r="K550" s="1335" t="s">
        <v>486</v>
      </c>
      <c r="L550" s="180">
        <v>100</v>
      </c>
      <c r="M550" t="s">
        <v>7818</v>
      </c>
      <c r="N550" t="str">
        <f t="shared" si="34"/>
        <v>FOUNDERS SMOKEHOUSE (0652)</v>
      </c>
      <c r="O550" t="s">
        <v>52</v>
      </c>
      <c r="P550" t="str">
        <f t="shared" si="35"/>
        <v>18000_0652</v>
      </c>
      <c r="Q550" s="180">
        <v>100</v>
      </c>
    </row>
    <row r="551" spans="1:17">
      <c r="A551" t="str">
        <f t="shared" si="32"/>
        <v>UGA_0660</v>
      </c>
      <c r="B551" t="str">
        <f t="shared" si="33"/>
        <v>UGA_REED PLAZA CONCESSIONS</v>
      </c>
      <c r="C551" t="s">
        <v>443</v>
      </c>
      <c r="D551" s="180" t="s">
        <v>51</v>
      </c>
      <c r="E551" t="s">
        <v>2494</v>
      </c>
      <c r="F551" t="s">
        <v>2495</v>
      </c>
      <c r="G551" s="180">
        <v>3311</v>
      </c>
      <c r="H551">
        <v>2010</v>
      </c>
      <c r="J551" s="1334" t="s">
        <v>475</v>
      </c>
      <c r="K551" s="1335" t="s">
        <v>475</v>
      </c>
      <c r="L551" s="180">
        <v>0</v>
      </c>
      <c r="M551" t="s">
        <v>7818</v>
      </c>
      <c r="N551" t="str">
        <f t="shared" si="34"/>
        <v>REED PLAZA CONCESSIONS (0660)</v>
      </c>
      <c r="O551" t="s">
        <v>52</v>
      </c>
      <c r="P551" t="str">
        <f t="shared" si="35"/>
        <v>18000_0660</v>
      </c>
      <c r="Q551" s="180">
        <v>100</v>
      </c>
    </row>
    <row r="552" spans="1:17">
      <c r="A552" t="str">
        <f t="shared" si="32"/>
        <v>UGA_0661</v>
      </c>
      <c r="B552" t="str">
        <f t="shared" si="33"/>
        <v>UGA_REED PLAZA EAST RESTROOM</v>
      </c>
      <c r="C552" t="s">
        <v>443</v>
      </c>
      <c r="D552" s="180" t="s">
        <v>51</v>
      </c>
      <c r="E552" t="s">
        <v>2486</v>
      </c>
      <c r="F552" t="s">
        <v>2487</v>
      </c>
      <c r="G552" s="180">
        <v>2669</v>
      </c>
      <c r="H552">
        <v>2010</v>
      </c>
      <c r="J552" s="1334" t="s">
        <v>475</v>
      </c>
      <c r="K552" s="1335" t="s">
        <v>475</v>
      </c>
      <c r="L552" s="180">
        <v>0</v>
      </c>
      <c r="M552" t="s">
        <v>7818</v>
      </c>
      <c r="N552" t="str">
        <f t="shared" si="34"/>
        <v>REED PLAZA EAST RESTROOM (0661)</v>
      </c>
      <c r="O552" t="s">
        <v>52</v>
      </c>
      <c r="P552" t="str">
        <f t="shared" si="35"/>
        <v>18000_0661</v>
      </c>
      <c r="Q552" s="180">
        <v>0</v>
      </c>
    </row>
    <row r="553" spans="1:17">
      <c r="A553" t="str">
        <f t="shared" si="32"/>
        <v>UGA_0662</v>
      </c>
      <c r="B553" t="str">
        <f t="shared" si="33"/>
        <v>UGA_REED PLAZA WEST RESTROOM</v>
      </c>
      <c r="C553" t="s">
        <v>443</v>
      </c>
      <c r="D553" s="180" t="s">
        <v>51</v>
      </c>
      <c r="E553" t="s">
        <v>3338</v>
      </c>
      <c r="F553" t="s">
        <v>3339</v>
      </c>
      <c r="G553" s="180">
        <v>2600</v>
      </c>
      <c r="H553">
        <v>2010</v>
      </c>
      <c r="J553" s="1334" t="s">
        <v>475</v>
      </c>
      <c r="K553" s="1335" t="s">
        <v>475</v>
      </c>
      <c r="L553" s="180">
        <v>0</v>
      </c>
      <c r="M553" t="s">
        <v>7818</v>
      </c>
      <c r="N553" t="str">
        <f t="shared" si="34"/>
        <v>REED PLAZA WEST RESTROOM (0662)</v>
      </c>
      <c r="O553" t="s">
        <v>52</v>
      </c>
      <c r="P553" t="str">
        <f t="shared" si="35"/>
        <v>18000_0662</v>
      </c>
      <c r="Q553" s="180">
        <v>100</v>
      </c>
    </row>
    <row r="554" spans="1:17">
      <c r="A554" t="str">
        <f t="shared" si="32"/>
        <v>UGA_0668</v>
      </c>
      <c r="B554" t="str">
        <f t="shared" si="33"/>
        <v>UGA_TATE EXPANSION '09</v>
      </c>
      <c r="C554" t="s">
        <v>443</v>
      </c>
      <c r="D554" s="180" t="s">
        <v>51</v>
      </c>
      <c r="E554" t="s">
        <v>3823</v>
      </c>
      <c r="F554" t="s">
        <v>3824</v>
      </c>
      <c r="G554" s="180">
        <v>101506</v>
      </c>
      <c r="H554">
        <v>2009</v>
      </c>
      <c r="J554" s="1334" t="s">
        <v>486</v>
      </c>
      <c r="K554" s="1335" t="s">
        <v>475</v>
      </c>
      <c r="L554" s="180">
        <v>90</v>
      </c>
      <c r="M554" t="s">
        <v>7818</v>
      </c>
      <c r="N554" t="str">
        <f t="shared" si="34"/>
        <v>TATE EXPANSION '09 (0668)</v>
      </c>
      <c r="O554" t="s">
        <v>52</v>
      </c>
      <c r="P554" t="str">
        <f t="shared" si="35"/>
        <v>18000_0668</v>
      </c>
      <c r="Q554" s="180">
        <v>100</v>
      </c>
    </row>
    <row r="555" spans="1:17">
      <c r="A555" t="str">
        <f t="shared" si="32"/>
        <v>UGA_0669</v>
      </c>
      <c r="B555" t="str">
        <f t="shared" si="33"/>
        <v>UGA_TATE CNTR PRK DCK</v>
      </c>
      <c r="C555" t="s">
        <v>443</v>
      </c>
      <c r="D555" s="180" t="s">
        <v>51</v>
      </c>
      <c r="E555" t="s">
        <v>3963</v>
      </c>
      <c r="F555" t="s">
        <v>3964</v>
      </c>
      <c r="G555" s="180">
        <v>214663</v>
      </c>
      <c r="H555">
        <v>2008</v>
      </c>
      <c r="J555" s="1334" t="s">
        <v>486</v>
      </c>
      <c r="K555" s="1335" t="s">
        <v>475</v>
      </c>
      <c r="L555" s="180">
        <v>0</v>
      </c>
      <c r="M555" t="s">
        <v>7818</v>
      </c>
      <c r="N555" t="str">
        <f t="shared" si="34"/>
        <v>TATE CNTR PRK DCK (0669)</v>
      </c>
      <c r="O555" t="s">
        <v>52</v>
      </c>
      <c r="P555" t="str">
        <f t="shared" si="35"/>
        <v>18000_0669</v>
      </c>
      <c r="Q555" s="180">
        <v>100</v>
      </c>
    </row>
    <row r="556" spans="1:17">
      <c r="A556" t="str">
        <f t="shared" si="32"/>
        <v>UGA_0670</v>
      </c>
      <c r="B556" t="str">
        <f t="shared" si="33"/>
        <v>UGA_MEMORIAL HALL</v>
      </c>
      <c r="C556" t="s">
        <v>443</v>
      </c>
      <c r="D556" s="180" t="s">
        <v>51</v>
      </c>
      <c r="E556" t="s">
        <v>4064</v>
      </c>
      <c r="F556" t="s">
        <v>4065</v>
      </c>
      <c r="G556" s="180">
        <v>71985</v>
      </c>
      <c r="H556">
        <v>1923</v>
      </c>
      <c r="J556" s="1334" t="s">
        <v>475</v>
      </c>
      <c r="K556" s="1335" t="s">
        <v>1520</v>
      </c>
      <c r="L556" s="180">
        <v>100</v>
      </c>
      <c r="M556" t="s">
        <v>7818</v>
      </c>
      <c r="N556" t="str">
        <f t="shared" si="34"/>
        <v>MEMORIAL HALL (0670)</v>
      </c>
      <c r="O556" t="s">
        <v>52</v>
      </c>
      <c r="P556" t="str">
        <f t="shared" si="35"/>
        <v>18000_0670</v>
      </c>
      <c r="Q556" s="180">
        <v>100</v>
      </c>
    </row>
    <row r="557" spans="1:17">
      <c r="A557" t="str">
        <f t="shared" si="32"/>
        <v>UGA_0671</v>
      </c>
      <c r="B557" t="str">
        <f t="shared" si="33"/>
        <v>UGA_UNIV. BOOKSTORE</v>
      </c>
      <c r="C557" t="s">
        <v>443</v>
      </c>
      <c r="D557" s="180" t="s">
        <v>51</v>
      </c>
      <c r="E557" t="s">
        <v>1620</v>
      </c>
      <c r="F557" t="s">
        <v>1621</v>
      </c>
      <c r="G557" s="180">
        <v>62379</v>
      </c>
      <c r="H557">
        <v>1968</v>
      </c>
      <c r="J557" s="1334" t="s">
        <v>475</v>
      </c>
      <c r="K557" s="1335" t="s">
        <v>475</v>
      </c>
      <c r="L557" s="180">
        <v>0</v>
      </c>
      <c r="M557" t="s">
        <v>7818</v>
      </c>
      <c r="N557" t="str">
        <f t="shared" si="34"/>
        <v>UNIV. BOOKSTORE (0671)</v>
      </c>
      <c r="O557" t="s">
        <v>52</v>
      </c>
      <c r="P557" t="str">
        <f t="shared" si="35"/>
        <v>18000_0671</v>
      </c>
      <c r="Q557" s="180">
        <v>100</v>
      </c>
    </row>
    <row r="558" spans="1:17">
      <c r="A558" t="str">
        <f t="shared" si="32"/>
        <v>UGA_0672</v>
      </c>
      <c r="B558" t="str">
        <f t="shared" si="33"/>
        <v>UGA_TATE STUDENT CTR</v>
      </c>
      <c r="C558" t="s">
        <v>443</v>
      </c>
      <c r="D558" s="180" t="s">
        <v>51</v>
      </c>
      <c r="E558" t="s">
        <v>3693</v>
      </c>
      <c r="F558" t="s">
        <v>3694</v>
      </c>
      <c r="G558" s="180">
        <v>116722</v>
      </c>
      <c r="H558">
        <v>1983</v>
      </c>
      <c r="J558" s="1334" t="s">
        <v>475</v>
      </c>
      <c r="K558" s="1335" t="s">
        <v>475</v>
      </c>
      <c r="L558" s="180">
        <v>90</v>
      </c>
      <c r="M558" t="s">
        <v>7818</v>
      </c>
      <c r="N558" t="str">
        <f t="shared" si="34"/>
        <v>TATE STUDENT CTR (0672)</v>
      </c>
      <c r="O558" t="s">
        <v>52</v>
      </c>
      <c r="P558" t="str">
        <f t="shared" si="35"/>
        <v>18000_0672</v>
      </c>
      <c r="Q558" s="180">
        <v>100</v>
      </c>
    </row>
    <row r="559" spans="1:17">
      <c r="A559" t="str">
        <f t="shared" si="32"/>
        <v>UGA_0685</v>
      </c>
      <c r="B559" t="str">
        <f t="shared" si="33"/>
        <v>UGA_STAD. NORTH STANDS</v>
      </c>
      <c r="C559" t="s">
        <v>443</v>
      </c>
      <c r="D559" s="180" t="s">
        <v>51</v>
      </c>
      <c r="E559" t="s">
        <v>2747</v>
      </c>
      <c r="F559" t="s">
        <v>2748</v>
      </c>
      <c r="G559" s="180">
        <v>306826</v>
      </c>
      <c r="H559">
        <v>1929</v>
      </c>
      <c r="J559" s="1334" t="s">
        <v>475</v>
      </c>
      <c r="K559" s="1335" t="s">
        <v>475</v>
      </c>
      <c r="L559" s="180">
        <v>0</v>
      </c>
      <c r="M559" t="s">
        <v>7818</v>
      </c>
      <c r="N559" t="str">
        <f t="shared" si="34"/>
        <v>STAD. NORTH STANDS (0685)</v>
      </c>
      <c r="O559" t="s">
        <v>52</v>
      </c>
      <c r="P559" t="str">
        <f t="shared" si="35"/>
        <v>18000_0685</v>
      </c>
      <c r="Q559" s="180">
        <v>100</v>
      </c>
    </row>
    <row r="560" spans="1:17">
      <c r="A560" t="str">
        <f t="shared" si="32"/>
        <v>UGA_0686</v>
      </c>
      <c r="B560" t="str">
        <f t="shared" si="33"/>
        <v>UGA_STAD. SOUTH STANDS</v>
      </c>
      <c r="C560" t="s">
        <v>443</v>
      </c>
      <c r="D560" s="180" t="s">
        <v>51</v>
      </c>
      <c r="E560" t="s">
        <v>2799</v>
      </c>
      <c r="F560" t="s">
        <v>2800</v>
      </c>
      <c r="G560" s="180">
        <v>250963</v>
      </c>
      <c r="H560">
        <v>1929</v>
      </c>
      <c r="J560" s="1334" t="s">
        <v>475</v>
      </c>
      <c r="K560" s="1335" t="s">
        <v>475</v>
      </c>
      <c r="L560" s="180">
        <v>0</v>
      </c>
      <c r="M560" t="s">
        <v>7818</v>
      </c>
      <c r="N560" t="str">
        <f t="shared" si="34"/>
        <v>STAD. SOUTH STANDS (0686)</v>
      </c>
      <c r="O560" t="s">
        <v>52</v>
      </c>
      <c r="P560" t="str">
        <f t="shared" si="35"/>
        <v>18000_0686</v>
      </c>
      <c r="Q560" s="180">
        <v>100</v>
      </c>
    </row>
    <row r="561" spans="1:17">
      <c r="A561" t="str">
        <f t="shared" si="32"/>
        <v>UGA_0687</v>
      </c>
      <c r="B561" t="str">
        <f t="shared" si="33"/>
        <v>UGA_STAD. EAST STANDS</v>
      </c>
      <c r="C561" t="s">
        <v>443</v>
      </c>
      <c r="D561" s="180" t="s">
        <v>51</v>
      </c>
      <c r="E561" t="s">
        <v>2287</v>
      </c>
      <c r="F561" t="s">
        <v>2288</v>
      </c>
      <c r="G561" s="180">
        <v>232524</v>
      </c>
      <c r="H561">
        <v>1981</v>
      </c>
      <c r="J561" s="1334" t="s">
        <v>475</v>
      </c>
      <c r="K561" s="1335" t="s">
        <v>475</v>
      </c>
      <c r="L561" s="180">
        <v>0</v>
      </c>
      <c r="M561" t="s">
        <v>7818</v>
      </c>
      <c r="N561" t="str">
        <f t="shared" si="34"/>
        <v>STAD. EAST STANDS (0687)</v>
      </c>
      <c r="O561" t="s">
        <v>52</v>
      </c>
      <c r="P561" t="str">
        <f t="shared" si="35"/>
        <v>18000_0687</v>
      </c>
      <c r="Q561" s="180">
        <v>100</v>
      </c>
    </row>
    <row r="562" spans="1:17">
      <c r="A562" t="str">
        <f t="shared" si="32"/>
        <v>UGA_0688</v>
      </c>
      <c r="B562" t="str">
        <f t="shared" si="33"/>
        <v>UGA_STAD WEST STANDS</v>
      </c>
      <c r="C562" t="s">
        <v>443</v>
      </c>
      <c r="D562" s="180" t="s">
        <v>51</v>
      </c>
      <c r="E562" t="s">
        <v>1577</v>
      </c>
      <c r="F562" t="s">
        <v>1578</v>
      </c>
      <c r="G562" s="180">
        <v>122710</v>
      </c>
      <c r="H562">
        <v>1991</v>
      </c>
      <c r="J562" s="1334" t="s">
        <v>475</v>
      </c>
      <c r="K562" s="1335" t="s">
        <v>475</v>
      </c>
      <c r="L562" s="180">
        <v>0</v>
      </c>
      <c r="M562" t="s">
        <v>7818</v>
      </c>
      <c r="N562" t="str">
        <f t="shared" si="34"/>
        <v>STAD WEST STANDS (0688)</v>
      </c>
      <c r="O562" t="s">
        <v>52</v>
      </c>
      <c r="P562" t="str">
        <f t="shared" si="35"/>
        <v>18000_0688</v>
      </c>
      <c r="Q562" s="180">
        <v>100</v>
      </c>
    </row>
    <row r="563" spans="1:17">
      <c r="A563" t="str">
        <f t="shared" si="32"/>
        <v>UGA_0694</v>
      </c>
      <c r="B563" t="str">
        <f t="shared" si="33"/>
        <v>UGA_STAD. DRESS ROOMS</v>
      </c>
      <c r="C563" t="s">
        <v>443</v>
      </c>
      <c r="D563" s="180" t="s">
        <v>51</v>
      </c>
      <c r="E563" t="s">
        <v>1622</v>
      </c>
      <c r="F563" t="s">
        <v>1623</v>
      </c>
      <c r="G563" s="180">
        <v>8917</v>
      </c>
      <c r="H563">
        <v>1971</v>
      </c>
      <c r="J563" s="1334" t="s">
        <v>475</v>
      </c>
      <c r="K563" s="1335" t="s">
        <v>475</v>
      </c>
      <c r="L563" s="180">
        <v>0</v>
      </c>
      <c r="M563" t="s">
        <v>7818</v>
      </c>
      <c r="N563" t="str">
        <f t="shared" si="34"/>
        <v>STAD. DRESS ROOMS (0694)</v>
      </c>
      <c r="O563" t="s">
        <v>52</v>
      </c>
      <c r="P563" t="str">
        <f t="shared" si="35"/>
        <v>18000_0694</v>
      </c>
      <c r="Q563" s="180">
        <v>100</v>
      </c>
    </row>
    <row r="564" spans="1:17">
      <c r="A564" t="str">
        <f t="shared" si="32"/>
        <v>UGA_0705</v>
      </c>
      <c r="B564" t="str">
        <f t="shared" si="33"/>
        <v>UGA_RADIO TRNSMIT BLD</v>
      </c>
      <c r="C564" t="s">
        <v>443</v>
      </c>
      <c r="D564" s="180" t="s">
        <v>51</v>
      </c>
      <c r="E564" t="s">
        <v>3365</v>
      </c>
      <c r="F564" t="s">
        <v>3366</v>
      </c>
      <c r="G564" s="180">
        <v>213</v>
      </c>
      <c r="H564">
        <v>1987</v>
      </c>
      <c r="J564" s="1334" t="s">
        <v>475</v>
      </c>
      <c r="K564" s="1335" t="s">
        <v>475</v>
      </c>
      <c r="L564" s="180">
        <v>100</v>
      </c>
      <c r="M564" t="s">
        <v>4</v>
      </c>
      <c r="N564" t="str">
        <f t="shared" si="34"/>
        <v>RADIO TRNSMIT BLD (0705)</v>
      </c>
      <c r="O564" t="s">
        <v>52</v>
      </c>
      <c r="P564" t="str">
        <f t="shared" si="35"/>
        <v>18000_0705</v>
      </c>
      <c r="Q564" s="180">
        <v>100</v>
      </c>
    </row>
    <row r="565" spans="1:17">
      <c r="A565" t="str">
        <f t="shared" si="32"/>
        <v>UGA_0734</v>
      </c>
      <c r="B565" t="str">
        <f t="shared" si="33"/>
        <v>UGA_IVESTER HALL</v>
      </c>
      <c r="C565" t="s">
        <v>443</v>
      </c>
      <c r="D565" s="180" t="s">
        <v>51</v>
      </c>
      <c r="E565" t="s">
        <v>2975</v>
      </c>
      <c r="F565" t="s">
        <v>2976</v>
      </c>
      <c r="G565" s="180">
        <v>43951</v>
      </c>
      <c r="H565">
        <v>2019</v>
      </c>
      <c r="J565" s="1334" t="s">
        <v>475</v>
      </c>
      <c r="K565" s="1335" t="s">
        <v>475</v>
      </c>
      <c r="L565" s="180">
        <v>100</v>
      </c>
      <c r="M565" t="s">
        <v>7818</v>
      </c>
      <c r="N565" t="str">
        <f t="shared" si="34"/>
        <v>IVESTER HALL (0734)</v>
      </c>
      <c r="O565" t="s">
        <v>52</v>
      </c>
      <c r="P565" t="str">
        <f t="shared" si="35"/>
        <v>18000_0734</v>
      </c>
      <c r="Q565" s="180">
        <v>100</v>
      </c>
    </row>
    <row r="566" spans="1:17">
      <c r="A566" t="str">
        <f t="shared" si="32"/>
        <v>UGA_0735</v>
      </c>
      <c r="B566" t="str">
        <f t="shared" si="33"/>
        <v>UGA_BENSON HALL</v>
      </c>
      <c r="C566" t="s">
        <v>443</v>
      </c>
      <c r="D566" s="180" t="s">
        <v>51</v>
      </c>
      <c r="E566" t="s">
        <v>4193</v>
      </c>
      <c r="F566" t="s">
        <v>4194</v>
      </c>
      <c r="G566" s="180">
        <v>43911</v>
      </c>
      <c r="H566">
        <v>2017</v>
      </c>
      <c r="J566" s="1334" t="s">
        <v>520</v>
      </c>
      <c r="K566" s="1335" t="s">
        <v>475</v>
      </c>
      <c r="L566" s="180">
        <v>100</v>
      </c>
      <c r="M566" t="s">
        <v>7818</v>
      </c>
      <c r="N566" t="str">
        <f t="shared" si="34"/>
        <v>BENSON HALL (0735)</v>
      </c>
      <c r="O566" t="s">
        <v>52</v>
      </c>
      <c r="P566" t="str">
        <f t="shared" si="35"/>
        <v>18000_0735</v>
      </c>
      <c r="Q566" s="180">
        <v>100</v>
      </c>
    </row>
    <row r="567" spans="1:17">
      <c r="A567" t="str">
        <f t="shared" si="32"/>
        <v>UGA_0736</v>
      </c>
      <c r="B567" t="str">
        <f t="shared" si="33"/>
        <v>UGA_AMOS HALL</v>
      </c>
      <c r="C567" t="s">
        <v>443</v>
      </c>
      <c r="D567" s="180" t="s">
        <v>51</v>
      </c>
      <c r="E567" t="s">
        <v>1518</v>
      </c>
      <c r="F567" t="s">
        <v>1519</v>
      </c>
      <c r="G567" s="180">
        <v>70365</v>
      </c>
      <c r="H567">
        <v>2017</v>
      </c>
      <c r="J567" s="1334" t="s">
        <v>520</v>
      </c>
      <c r="K567" s="1335" t="s">
        <v>475</v>
      </c>
      <c r="L567" s="180">
        <v>100</v>
      </c>
      <c r="M567" t="s">
        <v>7818</v>
      </c>
      <c r="N567" t="str">
        <f t="shared" si="34"/>
        <v>AMOS HALL (0736)</v>
      </c>
      <c r="O567" t="s">
        <v>52</v>
      </c>
      <c r="P567" t="str">
        <f t="shared" si="35"/>
        <v>18000_0736</v>
      </c>
      <c r="Q567" s="180">
        <v>100</v>
      </c>
    </row>
    <row r="568" spans="1:17">
      <c r="A568" t="str">
        <f t="shared" si="32"/>
        <v>UGA_0737</v>
      </c>
      <c r="B568" t="str">
        <f t="shared" si="33"/>
        <v>UGA_ORKIN HALL</v>
      </c>
      <c r="C568" t="s">
        <v>443</v>
      </c>
      <c r="D568" s="180" t="s">
        <v>51</v>
      </c>
      <c r="E568" t="s">
        <v>2665</v>
      </c>
      <c r="F568" t="s">
        <v>2666</v>
      </c>
      <c r="G568" s="180">
        <v>45639</v>
      </c>
      <c r="H568">
        <v>2019</v>
      </c>
      <c r="J568" s="1334" t="s">
        <v>520</v>
      </c>
      <c r="K568" s="1335" t="s">
        <v>475</v>
      </c>
      <c r="L568" s="180">
        <v>100</v>
      </c>
      <c r="M568" t="s">
        <v>7818</v>
      </c>
      <c r="N568" t="str">
        <f t="shared" si="34"/>
        <v>ORKIN HALL (0737)</v>
      </c>
      <c r="O568" t="s">
        <v>52</v>
      </c>
      <c r="P568" t="str">
        <f t="shared" si="35"/>
        <v>18000_0737</v>
      </c>
      <c r="Q568" s="180">
        <v>100</v>
      </c>
    </row>
    <row r="569" spans="1:17">
      <c r="A569" t="str">
        <f t="shared" si="32"/>
        <v>UGA_0738</v>
      </c>
      <c r="B569" t="str">
        <f t="shared" si="33"/>
        <v>UGA_MOORE-ROOKER HALL</v>
      </c>
      <c r="C569" t="s">
        <v>443</v>
      </c>
      <c r="D569" s="180" t="s">
        <v>51</v>
      </c>
      <c r="E569" t="s">
        <v>1579</v>
      </c>
      <c r="F569" t="s">
        <v>1580</v>
      </c>
      <c r="G569" s="180">
        <v>45339</v>
      </c>
      <c r="H569">
        <v>2017</v>
      </c>
      <c r="J569" s="1334" t="s">
        <v>520</v>
      </c>
      <c r="K569" s="1335" t="s">
        <v>475</v>
      </c>
      <c r="L569" s="180">
        <v>100</v>
      </c>
      <c r="M569" t="s">
        <v>7818</v>
      </c>
      <c r="N569" t="str">
        <f t="shared" si="34"/>
        <v>MOORE-ROOKER HALL (0738)</v>
      </c>
      <c r="O569" t="s">
        <v>52</v>
      </c>
      <c r="P569" t="str">
        <f t="shared" si="35"/>
        <v>18000_0738</v>
      </c>
      <c r="Q569" s="180">
        <v>100</v>
      </c>
    </row>
    <row r="570" spans="1:17">
      <c r="A570" t="str">
        <f t="shared" si="32"/>
        <v>UGA_0739</v>
      </c>
      <c r="B570" t="str">
        <f t="shared" si="33"/>
        <v>UGA_CORRELL HALL</v>
      </c>
      <c r="C570" t="s">
        <v>443</v>
      </c>
      <c r="D570" s="180" t="s">
        <v>51</v>
      </c>
      <c r="E570" t="s">
        <v>2801</v>
      </c>
      <c r="F570" t="s">
        <v>2802</v>
      </c>
      <c r="G570" s="180">
        <v>77432</v>
      </c>
      <c r="H570">
        <v>2015</v>
      </c>
      <c r="J570" s="1334" t="s">
        <v>520</v>
      </c>
      <c r="K570" s="1335" t="s">
        <v>475</v>
      </c>
      <c r="L570" s="180">
        <v>100</v>
      </c>
      <c r="M570" t="s">
        <v>7818</v>
      </c>
      <c r="N570" t="str">
        <f t="shared" si="34"/>
        <v>CORRELL HALL (0739)</v>
      </c>
      <c r="O570" t="s">
        <v>52</v>
      </c>
      <c r="P570" t="str">
        <f t="shared" si="35"/>
        <v>18000_0739</v>
      </c>
      <c r="Q570" s="180">
        <v>100</v>
      </c>
    </row>
    <row r="571" spans="1:17">
      <c r="A571" t="str">
        <f t="shared" si="32"/>
        <v>UGA_0740</v>
      </c>
      <c r="B571" t="str">
        <f t="shared" si="33"/>
        <v>UGA_SPEC COLL LIBRARY</v>
      </c>
      <c r="C571" t="s">
        <v>443</v>
      </c>
      <c r="D571" s="180" t="s">
        <v>51</v>
      </c>
      <c r="E571" t="s">
        <v>2171</v>
      </c>
      <c r="F571" t="s">
        <v>2172</v>
      </c>
      <c r="G571" s="180">
        <v>163427</v>
      </c>
      <c r="H571">
        <v>2011</v>
      </c>
      <c r="J571" s="1334" t="s">
        <v>520</v>
      </c>
      <c r="K571" s="1335" t="s">
        <v>475</v>
      </c>
      <c r="L571" s="180">
        <v>100</v>
      </c>
      <c r="M571" t="s">
        <v>7818</v>
      </c>
      <c r="N571" t="str">
        <f t="shared" si="34"/>
        <v>SPEC COLL LIBRARY (0740)</v>
      </c>
      <c r="O571" t="s">
        <v>52</v>
      </c>
      <c r="P571" t="str">
        <f t="shared" si="35"/>
        <v>18000_0740</v>
      </c>
      <c r="Q571" s="180">
        <v>100</v>
      </c>
    </row>
    <row r="572" spans="1:17">
      <c r="A572" t="str">
        <f t="shared" si="32"/>
        <v>UGA_0741</v>
      </c>
      <c r="B572" t="str">
        <f t="shared" si="33"/>
        <v>UGA_DIST ENERGY PL #1</v>
      </c>
      <c r="C572" t="s">
        <v>443</v>
      </c>
      <c r="D572" s="180" t="s">
        <v>51</v>
      </c>
      <c r="E572" t="s">
        <v>2566</v>
      </c>
      <c r="F572" t="s">
        <v>2567</v>
      </c>
      <c r="G572" s="180">
        <v>15692</v>
      </c>
      <c r="H572">
        <v>2010</v>
      </c>
      <c r="J572" s="1334" t="s">
        <v>475</v>
      </c>
      <c r="K572" s="1335" t="s">
        <v>475</v>
      </c>
      <c r="L572" s="180">
        <v>100</v>
      </c>
      <c r="M572" t="s">
        <v>7818</v>
      </c>
      <c r="N572" t="str">
        <f t="shared" si="34"/>
        <v>DIST ENERGY PL #1 (0741)</v>
      </c>
      <c r="O572" t="s">
        <v>52</v>
      </c>
      <c r="P572" t="str">
        <f t="shared" si="35"/>
        <v>18000_0741</v>
      </c>
      <c r="Q572" s="180">
        <v>100</v>
      </c>
    </row>
    <row r="573" spans="1:17">
      <c r="A573" t="str">
        <f t="shared" si="32"/>
        <v>UGA_0751</v>
      </c>
      <c r="B573" t="str">
        <f t="shared" si="33"/>
        <v>UGA_WRAY NICHOLSON HSE</v>
      </c>
      <c r="C573" t="s">
        <v>443</v>
      </c>
      <c r="D573" s="180" t="s">
        <v>51</v>
      </c>
      <c r="E573" t="s">
        <v>3695</v>
      </c>
      <c r="F573" t="s">
        <v>3696</v>
      </c>
      <c r="G573" s="180">
        <v>10048</v>
      </c>
      <c r="H573">
        <v>1860</v>
      </c>
      <c r="J573" s="1334" t="s">
        <v>475</v>
      </c>
      <c r="K573" s="1335" t="s">
        <v>475</v>
      </c>
      <c r="L573" s="180">
        <v>100</v>
      </c>
      <c r="M573" t="s">
        <v>7818</v>
      </c>
      <c r="N573" t="str">
        <f t="shared" si="34"/>
        <v>WRAY NICHOLSON HSE (0751)</v>
      </c>
      <c r="O573" t="s">
        <v>52</v>
      </c>
      <c r="P573" t="str">
        <f t="shared" si="35"/>
        <v>18000_0751</v>
      </c>
      <c r="Q573" s="180">
        <v>100</v>
      </c>
    </row>
    <row r="574" spans="1:17">
      <c r="A574" t="str">
        <f t="shared" si="32"/>
        <v>UGA_0752</v>
      </c>
      <c r="B574" t="str">
        <f t="shared" si="33"/>
        <v>UGA_WNP 240</v>
      </c>
      <c r="C574" t="s">
        <v>443</v>
      </c>
      <c r="D574" s="180" t="s">
        <v>51</v>
      </c>
      <c r="E574" t="s">
        <v>2977</v>
      </c>
      <c r="F574" t="s">
        <v>2978</v>
      </c>
      <c r="G574" s="180">
        <v>3154</v>
      </c>
      <c r="H574">
        <v>1910</v>
      </c>
      <c r="J574" s="1334" t="s">
        <v>475</v>
      </c>
      <c r="K574" s="1335" t="s">
        <v>481</v>
      </c>
      <c r="L574" s="180">
        <v>100</v>
      </c>
      <c r="M574" t="s">
        <v>7818</v>
      </c>
      <c r="N574" t="str">
        <f t="shared" si="34"/>
        <v>WNP 240 (0752)</v>
      </c>
      <c r="O574" t="s">
        <v>52</v>
      </c>
      <c r="P574" t="str">
        <f t="shared" si="35"/>
        <v>18000_0752</v>
      </c>
      <c r="Q574" s="180">
        <v>66</v>
      </c>
    </row>
    <row r="575" spans="1:17">
      <c r="A575" t="str">
        <f t="shared" si="32"/>
        <v>UGA_0753</v>
      </c>
      <c r="B575" t="str">
        <f t="shared" si="33"/>
        <v>UGA_WNP 290</v>
      </c>
      <c r="C575" t="s">
        <v>443</v>
      </c>
      <c r="D575" s="180" t="s">
        <v>51</v>
      </c>
      <c r="E575" t="s">
        <v>3776</v>
      </c>
      <c r="F575" t="s">
        <v>3777</v>
      </c>
      <c r="G575" s="180">
        <v>2455</v>
      </c>
      <c r="H575">
        <v>1910</v>
      </c>
      <c r="J575" s="1334" t="s">
        <v>475</v>
      </c>
      <c r="K575" s="1335" t="s">
        <v>475</v>
      </c>
      <c r="L575" s="180">
        <v>100</v>
      </c>
      <c r="M575" t="s">
        <v>7818</v>
      </c>
      <c r="N575" t="str">
        <f t="shared" si="34"/>
        <v>WNP 290 (0753)</v>
      </c>
      <c r="O575" t="s">
        <v>52</v>
      </c>
      <c r="P575" t="str">
        <f t="shared" si="35"/>
        <v>18000_0753</v>
      </c>
      <c r="Q575" s="180">
        <v>100</v>
      </c>
    </row>
    <row r="576" spans="1:17">
      <c r="A576" t="str">
        <f t="shared" si="32"/>
        <v>UGA_0754</v>
      </c>
      <c r="B576" t="str">
        <f t="shared" si="33"/>
        <v>UGA_WNP 150</v>
      </c>
      <c r="C576" t="s">
        <v>443</v>
      </c>
      <c r="D576" s="180" t="s">
        <v>51</v>
      </c>
      <c r="E576" t="s">
        <v>1581</v>
      </c>
      <c r="F576" t="s">
        <v>1582</v>
      </c>
      <c r="G576" s="180">
        <v>1583</v>
      </c>
      <c r="H576">
        <v>1910</v>
      </c>
      <c r="J576" s="1334" t="s">
        <v>475</v>
      </c>
      <c r="K576" s="1335" t="s">
        <v>475</v>
      </c>
      <c r="L576" s="180">
        <v>100</v>
      </c>
      <c r="M576" t="s">
        <v>7818</v>
      </c>
      <c r="N576" t="str">
        <f t="shared" si="34"/>
        <v>WNP 150 (0754)</v>
      </c>
      <c r="O576" t="s">
        <v>52</v>
      </c>
      <c r="P576" t="str">
        <f t="shared" si="35"/>
        <v>18000_0754</v>
      </c>
      <c r="Q576" s="180">
        <v>0</v>
      </c>
    </row>
    <row r="577" spans="1:17">
      <c r="A577" t="str">
        <f t="shared" si="32"/>
        <v>UGA_0755</v>
      </c>
      <c r="B577" t="str">
        <f t="shared" si="33"/>
        <v>UGA_WNP 154</v>
      </c>
      <c r="C577" t="s">
        <v>443</v>
      </c>
      <c r="D577" s="180" t="s">
        <v>51</v>
      </c>
      <c r="E577" t="s">
        <v>2587</v>
      </c>
      <c r="F577" t="s">
        <v>2588</v>
      </c>
      <c r="G577" s="180">
        <v>941</v>
      </c>
      <c r="H577">
        <v>1910</v>
      </c>
      <c r="J577" s="1334" t="s">
        <v>475</v>
      </c>
      <c r="K577" s="1335" t="s">
        <v>475</v>
      </c>
      <c r="L577" s="180">
        <v>100</v>
      </c>
      <c r="M577" t="s">
        <v>7818</v>
      </c>
      <c r="N577" t="str">
        <f t="shared" si="34"/>
        <v>WNP 154 (0755)</v>
      </c>
      <c r="O577" t="s">
        <v>52</v>
      </c>
      <c r="P577" t="str">
        <f t="shared" si="35"/>
        <v>18000_0755</v>
      </c>
      <c r="Q577" s="180">
        <v>99</v>
      </c>
    </row>
    <row r="578" spans="1:17">
      <c r="A578" t="str">
        <f t="shared" si="32"/>
        <v>UGA_0756</v>
      </c>
      <c r="B578" t="str">
        <f t="shared" si="33"/>
        <v>UGA_198 WADDELL ST</v>
      </c>
      <c r="C578" t="s">
        <v>443</v>
      </c>
      <c r="D578" s="180" t="s">
        <v>51</v>
      </c>
      <c r="E578" t="s">
        <v>2803</v>
      </c>
      <c r="F578" t="s">
        <v>2804</v>
      </c>
      <c r="G578" s="180">
        <v>5629</v>
      </c>
      <c r="H578">
        <v>1940</v>
      </c>
      <c r="J578" s="1334" t="s">
        <v>475</v>
      </c>
      <c r="K578" s="1335" t="s">
        <v>475</v>
      </c>
      <c r="L578" s="180">
        <v>100</v>
      </c>
      <c r="M578" t="s">
        <v>7818</v>
      </c>
      <c r="N578" t="str">
        <f t="shared" si="34"/>
        <v>198 WADDELL ST (0756)</v>
      </c>
      <c r="O578" t="s">
        <v>52</v>
      </c>
      <c r="P578" t="str">
        <f t="shared" si="35"/>
        <v>18000_0756</v>
      </c>
      <c r="Q578" s="180">
        <v>100</v>
      </c>
    </row>
    <row r="579" spans="1:17">
      <c r="A579" t="str">
        <f t="shared" ref="A579:A642" si="36">_xlfn.CONCAT(D579,"_",E579)</f>
        <v>UGA_0758</v>
      </c>
      <c r="B579" t="str">
        <f t="shared" ref="B579:B642" si="37">_xlfn.CONCAT(D579,"_",F579)</f>
        <v>UGA_FMD NORTH</v>
      </c>
      <c r="C579" t="s">
        <v>443</v>
      </c>
      <c r="D579" s="180" t="s">
        <v>51</v>
      </c>
      <c r="E579" t="s">
        <v>3825</v>
      </c>
      <c r="F579" t="s">
        <v>3826</v>
      </c>
      <c r="G579" s="180">
        <v>11722</v>
      </c>
      <c r="H579">
        <v>1940</v>
      </c>
      <c r="J579" s="1334" t="s">
        <v>475</v>
      </c>
      <c r="K579" s="1335" t="s">
        <v>475</v>
      </c>
      <c r="L579" s="180">
        <v>100</v>
      </c>
      <c r="M579" t="s">
        <v>7818</v>
      </c>
      <c r="N579" t="str">
        <f t="shared" ref="N579:N642" si="38">_xlfn.CONCAT(F579," (",E579,")")</f>
        <v>FMD NORTH (0758)</v>
      </c>
      <c r="O579" t="s">
        <v>52</v>
      </c>
      <c r="P579" t="str">
        <f t="shared" ref="P579:P642" si="39">_xlfn.CONCAT(C579,"_",E579)</f>
        <v>18000_0758</v>
      </c>
      <c r="Q579" s="180">
        <v>100</v>
      </c>
    </row>
    <row r="580" spans="1:17">
      <c r="A580" t="str">
        <f t="shared" si="36"/>
        <v>UGA_0766</v>
      </c>
      <c r="B580" t="str">
        <f t="shared" si="37"/>
        <v>UGA_STUDIO 225</v>
      </c>
      <c r="C580" t="s">
        <v>443</v>
      </c>
      <c r="D580" s="180" t="s">
        <v>51</v>
      </c>
      <c r="E580" t="s">
        <v>1624</v>
      </c>
      <c r="F580" t="s">
        <v>1625</v>
      </c>
      <c r="G580" s="180">
        <v>11136</v>
      </c>
      <c r="H580">
        <v>1955</v>
      </c>
      <c r="J580" s="1334" t="s">
        <v>475</v>
      </c>
      <c r="K580" s="1335" t="s">
        <v>475</v>
      </c>
      <c r="L580" s="180">
        <v>100</v>
      </c>
      <c r="M580" t="s">
        <v>7818</v>
      </c>
      <c r="N580" t="str">
        <f t="shared" si="38"/>
        <v>STUDIO 225 (0766)</v>
      </c>
      <c r="O580" t="s">
        <v>52</v>
      </c>
      <c r="P580" t="str">
        <f t="shared" si="39"/>
        <v>18000_0766</v>
      </c>
      <c r="Q580" s="180">
        <v>100</v>
      </c>
    </row>
    <row r="581" spans="1:17">
      <c r="A581" t="str">
        <f t="shared" si="36"/>
        <v>UGA_0767</v>
      </c>
      <c r="B581" t="str">
        <f t="shared" si="37"/>
        <v>UGA_BROAD ST STUDIO 2</v>
      </c>
      <c r="C581" t="s">
        <v>443</v>
      </c>
      <c r="D581" s="180" t="s">
        <v>51</v>
      </c>
      <c r="E581" t="s">
        <v>2077</v>
      </c>
      <c r="F581" t="s">
        <v>2078</v>
      </c>
      <c r="G581" s="180">
        <v>8639</v>
      </c>
      <c r="H581">
        <v>1949</v>
      </c>
      <c r="J581" s="1334" t="s">
        <v>475</v>
      </c>
      <c r="K581" s="1335" t="s">
        <v>475</v>
      </c>
      <c r="L581" s="180">
        <v>100</v>
      </c>
      <c r="M581" t="s">
        <v>7818</v>
      </c>
      <c r="N581" t="str">
        <f t="shared" si="38"/>
        <v>BROAD ST STUDIO 2 (0767)</v>
      </c>
      <c r="O581" t="s">
        <v>52</v>
      </c>
      <c r="P581" t="str">
        <f t="shared" si="39"/>
        <v>18000_0767</v>
      </c>
      <c r="Q581" s="180">
        <v>100</v>
      </c>
    </row>
    <row r="582" spans="1:17">
      <c r="A582" t="str">
        <f t="shared" si="36"/>
        <v>UGA_0768</v>
      </c>
      <c r="B582" t="str">
        <f t="shared" si="37"/>
        <v>UGA_ATHENAEUM</v>
      </c>
      <c r="C582" t="s">
        <v>443</v>
      </c>
      <c r="D582" s="180" t="s">
        <v>51</v>
      </c>
      <c r="E582" t="s">
        <v>3048</v>
      </c>
      <c r="F582" t="s">
        <v>7119</v>
      </c>
      <c r="G582" s="180">
        <v>6160</v>
      </c>
      <c r="H582">
        <v>1949</v>
      </c>
      <c r="J582" s="1334" t="s">
        <v>475</v>
      </c>
      <c r="K582" s="1335" t="s">
        <v>475</v>
      </c>
      <c r="L582" s="180">
        <v>100</v>
      </c>
      <c r="M582" t="s">
        <v>7818</v>
      </c>
      <c r="N582" t="str">
        <f t="shared" si="38"/>
        <v>ATHENAEUM (0768)</v>
      </c>
      <c r="O582" t="s">
        <v>52</v>
      </c>
      <c r="P582" t="str">
        <f t="shared" si="39"/>
        <v>18000_0768</v>
      </c>
      <c r="Q582" s="180">
        <v>100</v>
      </c>
    </row>
    <row r="583" spans="1:17">
      <c r="A583" t="str">
        <f t="shared" si="36"/>
        <v>UGA_1000</v>
      </c>
      <c r="B583" t="str">
        <f t="shared" si="37"/>
        <v>UGA_CEDAR STREET BUILDING B</v>
      </c>
      <c r="C583" t="s">
        <v>443</v>
      </c>
      <c r="D583" s="180" t="s">
        <v>51</v>
      </c>
      <c r="E583" t="s">
        <v>2749</v>
      </c>
      <c r="F583" t="s">
        <v>7677</v>
      </c>
      <c r="G583" s="180">
        <v>210287</v>
      </c>
      <c r="H583">
        <v>1960</v>
      </c>
      <c r="J583" s="1334" t="s">
        <v>475</v>
      </c>
      <c r="K583" s="1335" t="s">
        <v>1520</v>
      </c>
      <c r="L583" s="180">
        <v>100</v>
      </c>
      <c r="M583" t="s">
        <v>7818</v>
      </c>
      <c r="N583" t="str">
        <f t="shared" si="38"/>
        <v>CEDAR STREET BUILDING B (1000)</v>
      </c>
      <c r="O583" t="s">
        <v>52</v>
      </c>
      <c r="P583" t="str">
        <f t="shared" si="39"/>
        <v>18000_1000</v>
      </c>
      <c r="Q583" s="180">
        <v>100</v>
      </c>
    </row>
    <row r="584" spans="1:17">
      <c r="A584" t="str">
        <f t="shared" si="36"/>
        <v>UGA_1001</v>
      </c>
      <c r="B584" t="str">
        <f t="shared" si="37"/>
        <v>UGA_CEDAR STREET BUILDING C</v>
      </c>
      <c r="C584" t="s">
        <v>443</v>
      </c>
      <c r="D584" s="180" t="s">
        <v>51</v>
      </c>
      <c r="E584" t="s">
        <v>1433</v>
      </c>
      <c r="F584" t="s">
        <v>7678</v>
      </c>
      <c r="G584" s="180">
        <v>185450</v>
      </c>
      <c r="H584">
        <v>1960</v>
      </c>
      <c r="J584" s="1334" t="s">
        <v>475</v>
      </c>
      <c r="K584" s="1335" t="s">
        <v>1520</v>
      </c>
      <c r="L584" s="180">
        <v>100</v>
      </c>
      <c r="M584" t="s">
        <v>7818</v>
      </c>
      <c r="N584" t="str">
        <f t="shared" si="38"/>
        <v>CEDAR STREET BUILDING C (1001)</v>
      </c>
      <c r="O584" t="s">
        <v>52</v>
      </c>
      <c r="P584" t="str">
        <f t="shared" si="39"/>
        <v>18000_1001</v>
      </c>
      <c r="Q584" s="180">
        <v>100</v>
      </c>
    </row>
    <row r="585" spans="1:17">
      <c r="A585" t="str">
        <f t="shared" si="36"/>
        <v>UGA_1002</v>
      </c>
      <c r="B585" t="str">
        <f t="shared" si="37"/>
        <v>UGA_GEOGRAPHY GEOLOGY</v>
      </c>
      <c r="C585" t="s">
        <v>443</v>
      </c>
      <c r="D585" s="180" t="s">
        <v>51</v>
      </c>
      <c r="E585" t="s">
        <v>4137</v>
      </c>
      <c r="F585" t="s">
        <v>4138</v>
      </c>
      <c r="G585" s="180">
        <v>98194</v>
      </c>
      <c r="H585">
        <v>1960</v>
      </c>
      <c r="J585" s="1334" t="s">
        <v>475</v>
      </c>
      <c r="K585" s="1335" t="s">
        <v>486</v>
      </c>
      <c r="L585" s="180">
        <v>100</v>
      </c>
      <c r="M585" t="s">
        <v>7818</v>
      </c>
      <c r="N585" t="str">
        <f t="shared" si="38"/>
        <v>GEOGRAPHY GEOLOGY (1002)</v>
      </c>
      <c r="O585" t="s">
        <v>52</v>
      </c>
      <c r="P585" t="str">
        <f t="shared" si="39"/>
        <v>18000_1002</v>
      </c>
      <c r="Q585" s="180">
        <v>100</v>
      </c>
    </row>
    <row r="586" spans="1:17">
      <c r="A586" t="str">
        <f t="shared" si="36"/>
        <v>UGA_1003</v>
      </c>
      <c r="B586" t="str">
        <f t="shared" si="37"/>
        <v>UGA_PHYSICS</v>
      </c>
      <c r="C586" t="s">
        <v>443</v>
      </c>
      <c r="D586" s="180" t="s">
        <v>51</v>
      </c>
      <c r="E586" t="s">
        <v>3838</v>
      </c>
      <c r="F586" t="s">
        <v>3839</v>
      </c>
      <c r="G586" s="180">
        <v>85977</v>
      </c>
      <c r="H586">
        <v>1959</v>
      </c>
      <c r="J586" s="1334" t="s">
        <v>475</v>
      </c>
      <c r="K586" s="1335" t="s">
        <v>1520</v>
      </c>
      <c r="L586" s="180">
        <v>100</v>
      </c>
      <c r="M586" t="s">
        <v>7818</v>
      </c>
      <c r="N586" t="str">
        <f t="shared" si="38"/>
        <v>PHYSICS (1003)</v>
      </c>
      <c r="O586" t="s">
        <v>52</v>
      </c>
      <c r="P586" t="str">
        <f t="shared" si="39"/>
        <v>18000_1003</v>
      </c>
      <c r="Q586" s="180">
        <v>100</v>
      </c>
    </row>
    <row r="587" spans="1:17">
      <c r="A587" t="str">
        <f t="shared" si="36"/>
        <v>UGA_1004</v>
      </c>
      <c r="B587" t="str">
        <f t="shared" si="37"/>
        <v>UGA_CEDAR STREET BUILDING D</v>
      </c>
      <c r="C587" t="s">
        <v>443</v>
      </c>
      <c r="D587" s="180" t="s">
        <v>51</v>
      </c>
      <c r="E587" t="s">
        <v>1434</v>
      </c>
      <c r="F587" t="s">
        <v>7679</v>
      </c>
      <c r="G587" s="180">
        <v>20107</v>
      </c>
      <c r="H587">
        <v>1997</v>
      </c>
      <c r="J587" s="1334" t="s">
        <v>475</v>
      </c>
      <c r="K587" s="1335" t="s">
        <v>475</v>
      </c>
      <c r="L587" s="180">
        <v>100</v>
      </c>
      <c r="M587" t="s">
        <v>7818</v>
      </c>
      <c r="N587" t="str">
        <f t="shared" si="38"/>
        <v>CEDAR STREET BUILDING D (1004)</v>
      </c>
      <c r="O587" t="s">
        <v>52</v>
      </c>
      <c r="P587" t="str">
        <f t="shared" si="39"/>
        <v>18000_1004</v>
      </c>
      <c r="Q587" s="180">
        <v>100</v>
      </c>
    </row>
    <row r="588" spans="1:17">
      <c r="A588" t="str">
        <f t="shared" si="36"/>
        <v>UGA_1010</v>
      </c>
      <c r="B588" t="str">
        <f t="shared" si="37"/>
        <v>UGA_DAWSON HALL</v>
      </c>
      <c r="C588" t="s">
        <v>443</v>
      </c>
      <c r="D588" s="180" t="s">
        <v>51</v>
      </c>
      <c r="E588" t="s">
        <v>1933</v>
      </c>
      <c r="F588" t="s">
        <v>1934</v>
      </c>
      <c r="G588" s="180">
        <v>81727</v>
      </c>
      <c r="H588">
        <v>1932</v>
      </c>
      <c r="J588" s="1334" t="s">
        <v>475</v>
      </c>
      <c r="K588" s="1335" t="s">
        <v>1520</v>
      </c>
      <c r="L588" s="180">
        <v>100</v>
      </c>
      <c r="M588" t="s">
        <v>7818</v>
      </c>
      <c r="N588" t="str">
        <f t="shared" si="38"/>
        <v>DAWSON HALL (1010)</v>
      </c>
      <c r="O588" t="s">
        <v>52</v>
      </c>
      <c r="P588" t="str">
        <f t="shared" si="39"/>
        <v>18000_1010</v>
      </c>
      <c r="Q588" s="180">
        <v>100</v>
      </c>
    </row>
    <row r="589" spans="1:17">
      <c r="A589" t="str">
        <f t="shared" si="36"/>
        <v>UGA_1011</v>
      </c>
      <c r="B589" t="str">
        <f t="shared" si="37"/>
        <v>UGA_CONNER HALL</v>
      </c>
      <c r="C589" t="s">
        <v>443</v>
      </c>
      <c r="D589" s="180" t="s">
        <v>51</v>
      </c>
      <c r="E589" t="s">
        <v>3256</v>
      </c>
      <c r="F589" t="s">
        <v>3257</v>
      </c>
      <c r="G589" s="180">
        <v>54398</v>
      </c>
      <c r="H589">
        <v>1908</v>
      </c>
      <c r="J589" s="1334" t="s">
        <v>475</v>
      </c>
      <c r="K589" s="1335" t="s">
        <v>475</v>
      </c>
      <c r="L589" s="180">
        <v>100</v>
      </c>
      <c r="M589" t="s">
        <v>7818</v>
      </c>
      <c r="N589" t="str">
        <f t="shared" si="38"/>
        <v>CONNER HALL (1011)</v>
      </c>
      <c r="O589" t="s">
        <v>52</v>
      </c>
      <c r="P589" t="str">
        <f t="shared" si="39"/>
        <v>18000_1011</v>
      </c>
      <c r="Q589" s="180">
        <v>100</v>
      </c>
    </row>
    <row r="590" spans="1:17">
      <c r="A590" t="str">
        <f t="shared" si="36"/>
        <v>UGA_1012</v>
      </c>
      <c r="B590" t="str">
        <f t="shared" si="37"/>
        <v>UGA_LUMPKIN HOUSE</v>
      </c>
      <c r="C590" t="s">
        <v>443</v>
      </c>
      <c r="D590" s="180" t="s">
        <v>51</v>
      </c>
      <c r="E590" t="s">
        <v>1814</v>
      </c>
      <c r="F590" t="s">
        <v>1815</v>
      </c>
      <c r="G590" s="180">
        <v>6697</v>
      </c>
      <c r="H590">
        <v>1850</v>
      </c>
      <c r="J590" s="1334" t="s">
        <v>475</v>
      </c>
      <c r="K590" s="1335" t="s">
        <v>481</v>
      </c>
      <c r="L590" s="180">
        <v>100</v>
      </c>
      <c r="M590" t="s">
        <v>7818</v>
      </c>
      <c r="N590" t="str">
        <f t="shared" si="38"/>
        <v>LUMPKIN HOUSE (1012)</v>
      </c>
      <c r="O590" t="s">
        <v>52</v>
      </c>
      <c r="P590" t="str">
        <f t="shared" si="39"/>
        <v>18000_1012</v>
      </c>
      <c r="Q590" s="180">
        <v>100</v>
      </c>
    </row>
    <row r="591" spans="1:17">
      <c r="A591" t="str">
        <f t="shared" si="36"/>
        <v>UGA_1013</v>
      </c>
      <c r="B591" t="str">
        <f t="shared" si="37"/>
        <v>UGA_CEDAR STREET BUILDING A</v>
      </c>
      <c r="C591" t="s">
        <v>443</v>
      </c>
      <c r="D591" s="180" t="s">
        <v>51</v>
      </c>
      <c r="E591" t="s">
        <v>1583</v>
      </c>
      <c r="F591" t="s">
        <v>7680</v>
      </c>
      <c r="G591" s="180">
        <v>64883</v>
      </c>
      <c r="H591">
        <v>1960</v>
      </c>
      <c r="J591" s="1334" t="s">
        <v>475</v>
      </c>
      <c r="K591" s="1335" t="s">
        <v>1520</v>
      </c>
      <c r="L591" s="180">
        <v>100</v>
      </c>
      <c r="M591" t="s">
        <v>7818</v>
      </c>
      <c r="N591" t="str">
        <f t="shared" si="38"/>
        <v>CEDAR STREET BUILDING A (1013)</v>
      </c>
      <c r="O591" t="s">
        <v>52</v>
      </c>
      <c r="P591" t="str">
        <f t="shared" si="39"/>
        <v>18000_1013</v>
      </c>
      <c r="Q591" s="180">
        <v>100</v>
      </c>
    </row>
    <row r="592" spans="1:17">
      <c r="A592" t="str">
        <f t="shared" si="36"/>
        <v>UGA_1014</v>
      </c>
      <c r="B592" t="str">
        <f t="shared" si="37"/>
        <v>UGA_HAZ STRG CHEMISTRY</v>
      </c>
      <c r="C592" t="s">
        <v>443</v>
      </c>
      <c r="D592" s="180" t="s">
        <v>51</v>
      </c>
      <c r="E592" t="s">
        <v>1788</v>
      </c>
      <c r="F592" t="s">
        <v>1789</v>
      </c>
      <c r="G592" s="180">
        <v>468</v>
      </c>
      <c r="H592">
        <v>2017</v>
      </c>
      <c r="J592" s="1334" t="s">
        <v>475</v>
      </c>
      <c r="K592" s="1335" t="s">
        <v>475</v>
      </c>
      <c r="L592" s="180">
        <v>100</v>
      </c>
      <c r="M592" t="s">
        <v>7818</v>
      </c>
      <c r="N592" t="str">
        <f t="shared" si="38"/>
        <v>HAZ STRG CHEMISTRY (1014)</v>
      </c>
      <c r="O592" t="s">
        <v>52</v>
      </c>
      <c r="P592" t="str">
        <f t="shared" si="39"/>
        <v>18000_1014</v>
      </c>
      <c r="Q592" s="180">
        <v>100</v>
      </c>
    </row>
    <row r="593" spans="1:17">
      <c r="A593" t="str">
        <f t="shared" si="36"/>
        <v>UGA_1020</v>
      </c>
      <c r="B593" t="str">
        <f t="shared" si="37"/>
        <v>UGA_FOOD SCIENCE</v>
      </c>
      <c r="C593" t="s">
        <v>443</v>
      </c>
      <c r="D593" s="180" t="s">
        <v>51</v>
      </c>
      <c r="E593" t="s">
        <v>3881</v>
      </c>
      <c r="F593" t="s">
        <v>3882</v>
      </c>
      <c r="G593" s="180">
        <v>66850</v>
      </c>
      <c r="H593">
        <v>1958</v>
      </c>
      <c r="J593" s="1334" t="s">
        <v>475</v>
      </c>
      <c r="K593" s="1335" t="s">
        <v>475</v>
      </c>
      <c r="L593" s="180">
        <v>100</v>
      </c>
      <c r="M593" t="s">
        <v>7818</v>
      </c>
      <c r="N593" t="str">
        <f t="shared" si="38"/>
        <v>FOOD SCIENCE (1020)</v>
      </c>
      <c r="O593" t="s">
        <v>52</v>
      </c>
      <c r="P593" t="str">
        <f t="shared" si="39"/>
        <v>18000_1020</v>
      </c>
      <c r="Q593" s="180">
        <v>100</v>
      </c>
    </row>
    <row r="594" spans="1:17">
      <c r="A594" t="str">
        <f t="shared" si="36"/>
        <v>UGA_1021</v>
      </c>
      <c r="B594" t="str">
        <f t="shared" si="37"/>
        <v>UGA_BARROW HALL</v>
      </c>
      <c r="C594" t="s">
        <v>443</v>
      </c>
      <c r="D594" s="180" t="s">
        <v>51</v>
      </c>
      <c r="E594" t="s">
        <v>2398</v>
      </c>
      <c r="F594" t="s">
        <v>2399</v>
      </c>
      <c r="G594" s="180">
        <v>43993</v>
      </c>
      <c r="H594">
        <v>1911</v>
      </c>
      <c r="J594" s="1334" t="s">
        <v>475</v>
      </c>
      <c r="K594" s="1335" t="s">
        <v>481</v>
      </c>
      <c r="L594" s="180">
        <v>100</v>
      </c>
      <c r="M594" t="s">
        <v>7818</v>
      </c>
      <c r="N594" t="str">
        <f t="shared" si="38"/>
        <v>BARROW HALL (1021)</v>
      </c>
      <c r="O594" t="s">
        <v>52</v>
      </c>
      <c r="P594" t="str">
        <f t="shared" si="39"/>
        <v>18000_1021</v>
      </c>
      <c r="Q594" s="180">
        <v>100</v>
      </c>
    </row>
    <row r="595" spans="1:17">
      <c r="A595" t="str">
        <f t="shared" si="36"/>
        <v>UGA_1022</v>
      </c>
      <c r="B595" t="str">
        <f t="shared" si="37"/>
        <v>UGA_FOOD PROCESS LAB</v>
      </c>
      <c r="C595" t="s">
        <v>443</v>
      </c>
      <c r="D595" s="180" t="s">
        <v>51</v>
      </c>
      <c r="E595" t="s">
        <v>3840</v>
      </c>
      <c r="F595" t="s">
        <v>3841</v>
      </c>
      <c r="G595" s="180">
        <v>5589</v>
      </c>
      <c r="H595">
        <v>1936</v>
      </c>
      <c r="J595" s="1334" t="s">
        <v>475</v>
      </c>
      <c r="K595" s="1335" t="s">
        <v>475</v>
      </c>
      <c r="L595" s="180">
        <v>100</v>
      </c>
      <c r="M595" t="s">
        <v>7818</v>
      </c>
      <c r="N595" t="str">
        <f t="shared" si="38"/>
        <v>FOOD PROCESS LAB (1022)</v>
      </c>
      <c r="O595" t="s">
        <v>52</v>
      </c>
      <c r="P595" t="str">
        <f t="shared" si="39"/>
        <v>18000_1022</v>
      </c>
      <c r="Q595" s="180">
        <v>100</v>
      </c>
    </row>
    <row r="596" spans="1:17">
      <c r="A596" t="str">
        <f t="shared" si="36"/>
        <v>UGA_1023</v>
      </c>
      <c r="B596" t="str">
        <f t="shared" si="37"/>
        <v>UGA_BOYD RSRCH AND EDU CTR</v>
      </c>
      <c r="C596" t="s">
        <v>443</v>
      </c>
      <c r="D596" s="180" t="s">
        <v>51</v>
      </c>
      <c r="E596" t="s">
        <v>2873</v>
      </c>
      <c r="F596" t="s">
        <v>7120</v>
      </c>
      <c r="G596" s="180">
        <v>159932</v>
      </c>
      <c r="H596">
        <v>1968</v>
      </c>
      <c r="J596" s="1334" t="s">
        <v>475</v>
      </c>
      <c r="K596" s="1335" t="s">
        <v>1520</v>
      </c>
      <c r="L596" s="180">
        <v>100</v>
      </c>
      <c r="M596" t="s">
        <v>7818</v>
      </c>
      <c r="N596" t="str">
        <f t="shared" si="38"/>
        <v>BOYD RSRCH AND EDU CTR (1023)</v>
      </c>
      <c r="O596" t="s">
        <v>52</v>
      </c>
      <c r="P596" t="str">
        <f t="shared" si="39"/>
        <v>18000_1023</v>
      </c>
      <c r="Q596" s="180">
        <v>100</v>
      </c>
    </row>
    <row r="597" spans="1:17">
      <c r="A597" t="str">
        <f t="shared" si="36"/>
        <v>UGA_1024</v>
      </c>
      <c r="B597" t="str">
        <f t="shared" si="37"/>
        <v>UGA_ECOLOGY ANNEX</v>
      </c>
      <c r="C597" t="s">
        <v>443</v>
      </c>
      <c r="D597" s="180" t="s">
        <v>51</v>
      </c>
      <c r="E597" t="s">
        <v>3340</v>
      </c>
      <c r="F597" t="s">
        <v>3341</v>
      </c>
      <c r="G597" s="180">
        <v>4401</v>
      </c>
      <c r="H597">
        <v>1979</v>
      </c>
      <c r="J597" s="1334" t="s">
        <v>475</v>
      </c>
      <c r="K597" s="1335" t="s">
        <v>475</v>
      </c>
      <c r="L597" s="180">
        <v>100</v>
      </c>
      <c r="M597" t="s">
        <v>7818</v>
      </c>
      <c r="N597" t="str">
        <f t="shared" si="38"/>
        <v>ECOLOGY ANNEX (1024)</v>
      </c>
      <c r="O597" t="s">
        <v>52</v>
      </c>
      <c r="P597" t="str">
        <f t="shared" si="39"/>
        <v>18000_1024</v>
      </c>
      <c r="Q597" s="180">
        <v>100</v>
      </c>
    </row>
    <row r="598" spans="1:17">
      <c r="A598" t="str">
        <f t="shared" si="36"/>
        <v>UGA_1025</v>
      </c>
      <c r="B598" t="str">
        <f t="shared" si="37"/>
        <v>UGA_POULTRY SCIENCE BUILDING</v>
      </c>
      <c r="C598" t="s">
        <v>443</v>
      </c>
      <c r="D598" s="180" t="s">
        <v>51</v>
      </c>
      <c r="E598" t="s">
        <v>7602</v>
      </c>
      <c r="F598" t="s">
        <v>7681</v>
      </c>
      <c r="G598" s="180">
        <v>79210</v>
      </c>
      <c r="H598">
        <v>2023</v>
      </c>
      <c r="J598" s="1334" t="s">
        <v>475</v>
      </c>
      <c r="K598" s="1335" t="s">
        <v>475</v>
      </c>
      <c r="L598" s="180">
        <v>100</v>
      </c>
      <c r="M598" t="s">
        <v>7818</v>
      </c>
      <c r="N598" t="str">
        <f t="shared" si="38"/>
        <v>POULTRY SCIENCE BUILDING (1025)</v>
      </c>
      <c r="O598" t="s">
        <v>52</v>
      </c>
      <c r="P598" t="str">
        <f t="shared" si="39"/>
        <v>18000_1025</v>
      </c>
      <c r="Q598" s="180">
        <v>100</v>
      </c>
    </row>
    <row r="599" spans="1:17">
      <c r="A599" t="str">
        <f t="shared" si="36"/>
        <v>UGA_1030</v>
      </c>
      <c r="B599" t="str">
        <f t="shared" si="37"/>
        <v>UGA_MARINE SCI - DANCE</v>
      </c>
      <c r="C599" t="s">
        <v>443</v>
      </c>
      <c r="D599" s="180" t="s">
        <v>51</v>
      </c>
      <c r="E599" t="s">
        <v>4271</v>
      </c>
      <c r="F599" t="s">
        <v>4272</v>
      </c>
      <c r="G599" s="180">
        <v>97348</v>
      </c>
      <c r="H599">
        <v>1928</v>
      </c>
      <c r="J599" s="1334" t="s">
        <v>475</v>
      </c>
      <c r="K599" s="1335" t="s">
        <v>1520</v>
      </c>
      <c r="L599" s="180">
        <v>100</v>
      </c>
      <c r="M599" t="s">
        <v>7818</v>
      </c>
      <c r="N599" t="str">
        <f t="shared" si="38"/>
        <v>MARINE SCI - DANCE (1030)</v>
      </c>
      <c r="O599" t="s">
        <v>52</v>
      </c>
      <c r="P599" t="str">
        <f t="shared" si="39"/>
        <v>18000_1030</v>
      </c>
      <c r="Q599" s="180">
        <v>100</v>
      </c>
    </row>
    <row r="600" spans="1:17">
      <c r="A600" t="str">
        <f t="shared" si="36"/>
        <v>UGA_1031</v>
      </c>
      <c r="B600" t="str">
        <f t="shared" si="37"/>
        <v>UGA_HARDMAN HALL</v>
      </c>
      <c r="C600" t="s">
        <v>443</v>
      </c>
      <c r="D600" s="180" t="s">
        <v>51</v>
      </c>
      <c r="E600" t="s">
        <v>3203</v>
      </c>
      <c r="F600" t="s">
        <v>3204</v>
      </c>
      <c r="G600" s="180">
        <v>25664</v>
      </c>
      <c r="H600">
        <v>1918</v>
      </c>
      <c r="J600" s="1334" t="s">
        <v>475</v>
      </c>
      <c r="K600" s="1335" t="s">
        <v>1520</v>
      </c>
      <c r="L600" s="180">
        <v>100</v>
      </c>
      <c r="M600" t="s">
        <v>7818</v>
      </c>
      <c r="N600" t="str">
        <f t="shared" si="38"/>
        <v>HARDMAN HALL (1031)</v>
      </c>
      <c r="O600" t="s">
        <v>52</v>
      </c>
      <c r="P600" t="str">
        <f t="shared" si="39"/>
        <v>18000_1031</v>
      </c>
      <c r="Q600" s="180">
        <v>100</v>
      </c>
    </row>
    <row r="601" spans="1:17">
      <c r="A601" t="str">
        <f t="shared" si="36"/>
        <v>UGA_1033</v>
      </c>
      <c r="B601" t="str">
        <f t="shared" si="37"/>
        <v>UGA_ECOLOGY</v>
      </c>
      <c r="C601" t="s">
        <v>443</v>
      </c>
      <c r="D601" s="180" t="s">
        <v>51</v>
      </c>
      <c r="E601" t="s">
        <v>1978</v>
      </c>
      <c r="F601" t="s">
        <v>1979</v>
      </c>
      <c r="G601" s="180">
        <v>45053</v>
      </c>
      <c r="H601">
        <v>1974</v>
      </c>
      <c r="J601" s="1334" t="s">
        <v>475</v>
      </c>
      <c r="K601" s="1335" t="s">
        <v>1520</v>
      </c>
      <c r="L601" s="180">
        <v>100</v>
      </c>
      <c r="M601" t="s">
        <v>7818</v>
      </c>
      <c r="N601" t="str">
        <f t="shared" si="38"/>
        <v>ECOLOGY (1033)</v>
      </c>
      <c r="O601" t="s">
        <v>52</v>
      </c>
      <c r="P601" t="str">
        <f t="shared" si="39"/>
        <v>18000_1033</v>
      </c>
      <c r="Q601" s="180">
        <v>100</v>
      </c>
    </row>
    <row r="602" spans="1:17">
      <c r="A602" t="str">
        <f t="shared" si="36"/>
        <v>UGA_1035</v>
      </c>
      <c r="B602" t="str">
        <f t="shared" si="37"/>
        <v>UGA_SCIENCE LRN CTR</v>
      </c>
      <c r="C602" t="s">
        <v>443</v>
      </c>
      <c r="D602" s="180" t="s">
        <v>51</v>
      </c>
      <c r="E602" t="s">
        <v>1980</v>
      </c>
      <c r="F602" t="s">
        <v>1981</v>
      </c>
      <c r="G602" s="180">
        <v>155997</v>
      </c>
      <c r="H602">
        <v>2016</v>
      </c>
      <c r="J602" s="1334" t="s">
        <v>475</v>
      </c>
      <c r="K602" s="1335" t="s">
        <v>475</v>
      </c>
      <c r="L602" s="180">
        <v>100</v>
      </c>
      <c r="M602" t="s">
        <v>7818</v>
      </c>
      <c r="N602" t="str">
        <f t="shared" si="38"/>
        <v>SCIENCE LRN CTR (1035)</v>
      </c>
      <c r="O602" t="s">
        <v>52</v>
      </c>
      <c r="P602" t="str">
        <f t="shared" si="39"/>
        <v>18000_1035</v>
      </c>
      <c r="Q602" s="180">
        <v>100</v>
      </c>
    </row>
    <row r="603" spans="1:17">
      <c r="A603" t="str">
        <f t="shared" si="36"/>
        <v>UGA_1037</v>
      </c>
      <c r="B603" t="str">
        <f t="shared" si="37"/>
        <v>UGA_ESD HAZ STRG PHARMACY</v>
      </c>
      <c r="C603" t="s">
        <v>443</v>
      </c>
      <c r="D603" s="180" t="s">
        <v>51</v>
      </c>
      <c r="E603" t="s">
        <v>2079</v>
      </c>
      <c r="F603" t="s">
        <v>2080</v>
      </c>
      <c r="G603" s="180">
        <v>468</v>
      </c>
      <c r="H603">
        <v>2017</v>
      </c>
      <c r="J603" s="1334" t="s">
        <v>475</v>
      </c>
      <c r="K603" s="1335" t="s">
        <v>475</v>
      </c>
      <c r="L603" s="180">
        <v>100</v>
      </c>
      <c r="M603" t="s">
        <v>7818</v>
      </c>
      <c r="N603" t="str">
        <f t="shared" si="38"/>
        <v>ESD HAZ STRG PHARMACY (1037)</v>
      </c>
      <c r="O603" t="s">
        <v>52</v>
      </c>
      <c r="P603" t="str">
        <f t="shared" si="39"/>
        <v>18000_1037</v>
      </c>
      <c r="Q603" s="180">
        <v>100</v>
      </c>
    </row>
    <row r="604" spans="1:17">
      <c r="A604" t="str">
        <f t="shared" si="36"/>
        <v>UGA_1038</v>
      </c>
      <c r="B604" t="str">
        <f t="shared" si="37"/>
        <v>UGA_PHARMACY SOUTH</v>
      </c>
      <c r="C604" t="s">
        <v>443</v>
      </c>
      <c r="D604" s="180" t="s">
        <v>51</v>
      </c>
      <c r="E604" t="s">
        <v>3965</v>
      </c>
      <c r="F604" t="s">
        <v>3966</v>
      </c>
      <c r="G604" s="180">
        <v>93973</v>
      </c>
      <c r="H604">
        <v>2007</v>
      </c>
      <c r="J604" s="1334" t="s">
        <v>520</v>
      </c>
      <c r="K604" s="1335" t="s">
        <v>475</v>
      </c>
      <c r="L604" s="180">
        <v>100</v>
      </c>
      <c r="M604" t="s">
        <v>7818</v>
      </c>
      <c r="N604" t="str">
        <f t="shared" si="38"/>
        <v>PHARMACY SOUTH (1038)</v>
      </c>
      <c r="O604" t="s">
        <v>52</v>
      </c>
      <c r="P604" t="str">
        <f t="shared" si="39"/>
        <v>18000_1038</v>
      </c>
      <c r="Q604" s="180">
        <v>100</v>
      </c>
    </row>
    <row r="605" spans="1:17">
      <c r="A605" t="str">
        <f t="shared" si="36"/>
        <v>UGA_1039</v>
      </c>
      <c r="B605" t="str">
        <f t="shared" si="37"/>
        <v>UGA_PHAR STG BUILDING</v>
      </c>
      <c r="C605" t="s">
        <v>443</v>
      </c>
      <c r="D605" s="180" t="s">
        <v>51</v>
      </c>
      <c r="E605" t="s">
        <v>3666</v>
      </c>
      <c r="F605" t="s">
        <v>3667</v>
      </c>
      <c r="G605" s="180">
        <v>163</v>
      </c>
      <c r="H605">
        <v>1997</v>
      </c>
      <c r="J605" s="1334" t="s">
        <v>475</v>
      </c>
      <c r="K605" s="1335" t="s">
        <v>475</v>
      </c>
      <c r="L605" s="180">
        <v>100</v>
      </c>
      <c r="M605" t="s">
        <v>7818</v>
      </c>
      <c r="N605" t="str">
        <f t="shared" si="38"/>
        <v>PHAR STG BUILDING (1039)</v>
      </c>
      <c r="O605" t="s">
        <v>52</v>
      </c>
      <c r="P605" t="str">
        <f t="shared" si="39"/>
        <v>18000_1039</v>
      </c>
      <c r="Q605" s="180">
        <v>100</v>
      </c>
    </row>
    <row r="606" spans="1:17">
      <c r="A606" t="str">
        <f t="shared" si="36"/>
        <v>UGA_1040</v>
      </c>
      <c r="B606" t="str">
        <f t="shared" si="37"/>
        <v>UGA_FOREST RESOURCES-1</v>
      </c>
      <c r="C606" t="s">
        <v>443</v>
      </c>
      <c r="D606" s="180" t="s">
        <v>51</v>
      </c>
      <c r="E606" t="s">
        <v>3205</v>
      </c>
      <c r="F606" t="s">
        <v>3206</v>
      </c>
      <c r="G606" s="180">
        <v>21519</v>
      </c>
      <c r="H606">
        <v>1938</v>
      </c>
      <c r="J606" s="1334" t="s">
        <v>475</v>
      </c>
      <c r="K606" s="1335" t="s">
        <v>486</v>
      </c>
      <c r="L606" s="180">
        <v>100</v>
      </c>
      <c r="M606" t="s">
        <v>7818</v>
      </c>
      <c r="N606" t="str">
        <f t="shared" si="38"/>
        <v>FOREST RESOURCES-1 (1040)</v>
      </c>
      <c r="O606" t="s">
        <v>52</v>
      </c>
      <c r="P606" t="str">
        <f t="shared" si="39"/>
        <v>18000_1040</v>
      </c>
      <c r="Q606" s="180">
        <v>100</v>
      </c>
    </row>
    <row r="607" spans="1:17">
      <c r="A607" t="str">
        <f t="shared" si="36"/>
        <v>UGA_1041</v>
      </c>
      <c r="B607" t="str">
        <f t="shared" si="37"/>
        <v>UGA_ROBT C WILSON PHAR</v>
      </c>
      <c r="C607" t="s">
        <v>443</v>
      </c>
      <c r="D607" s="180" t="s">
        <v>51</v>
      </c>
      <c r="E607" t="s">
        <v>1521</v>
      </c>
      <c r="F607" t="s">
        <v>1522</v>
      </c>
      <c r="G607" s="180">
        <v>107789</v>
      </c>
      <c r="H607">
        <v>1964</v>
      </c>
      <c r="J607" s="1334" t="s">
        <v>475</v>
      </c>
      <c r="K607" s="1335" t="s">
        <v>475</v>
      </c>
      <c r="L607" s="180">
        <v>100</v>
      </c>
      <c r="M607" t="s">
        <v>7818</v>
      </c>
      <c r="N607" t="str">
        <f t="shared" si="38"/>
        <v>ROBT C WILSON PHAR (1041)</v>
      </c>
      <c r="O607" t="s">
        <v>52</v>
      </c>
      <c r="P607" t="str">
        <f t="shared" si="39"/>
        <v>18000_1041</v>
      </c>
      <c r="Q607" s="180">
        <v>100</v>
      </c>
    </row>
    <row r="608" spans="1:17">
      <c r="A608" t="str">
        <f t="shared" si="36"/>
        <v>UGA_1042</v>
      </c>
      <c r="B608" t="str">
        <f t="shared" si="37"/>
        <v>UGA_HOKE SMITH ANNEX</v>
      </c>
      <c r="C608" t="s">
        <v>443</v>
      </c>
      <c r="D608" s="180" t="s">
        <v>51</v>
      </c>
      <c r="E608" t="s">
        <v>2062</v>
      </c>
      <c r="F608" t="s">
        <v>2063</v>
      </c>
      <c r="G608" s="180">
        <v>27762</v>
      </c>
      <c r="H608">
        <v>1940</v>
      </c>
      <c r="J608" s="1334" t="s">
        <v>475</v>
      </c>
      <c r="K608" s="1335" t="s">
        <v>1520</v>
      </c>
      <c r="L608" s="180">
        <v>5</v>
      </c>
      <c r="M608" t="s">
        <v>7818</v>
      </c>
      <c r="N608" t="str">
        <f t="shared" si="38"/>
        <v>HOKE SMITH ANNEX (1042)</v>
      </c>
      <c r="O608" t="s">
        <v>52</v>
      </c>
      <c r="P608" t="str">
        <f t="shared" si="39"/>
        <v>18000_1042</v>
      </c>
      <c r="Q608" s="180">
        <v>100</v>
      </c>
    </row>
    <row r="609" spans="1:17">
      <c r="A609" t="str">
        <f t="shared" si="36"/>
        <v>UGA_1043</v>
      </c>
      <c r="B609" t="str">
        <f t="shared" si="37"/>
        <v>UGA_HOKE SMITH BLDG</v>
      </c>
      <c r="C609" t="s">
        <v>443</v>
      </c>
      <c r="D609" s="180" t="s">
        <v>51</v>
      </c>
      <c r="E609" t="s">
        <v>1949</v>
      </c>
      <c r="F609" t="s">
        <v>1950</v>
      </c>
      <c r="G609" s="180">
        <v>21012</v>
      </c>
      <c r="H609">
        <v>1937</v>
      </c>
      <c r="J609" s="1334" t="s">
        <v>475</v>
      </c>
      <c r="K609" s="1335" t="s">
        <v>475</v>
      </c>
      <c r="L609" s="180">
        <v>5</v>
      </c>
      <c r="M609" t="s">
        <v>7818</v>
      </c>
      <c r="N609" t="str">
        <f t="shared" si="38"/>
        <v>HOKE SMITH BLDG (1043)</v>
      </c>
      <c r="O609" t="s">
        <v>52</v>
      </c>
      <c r="P609" t="str">
        <f t="shared" si="39"/>
        <v>18000_1043</v>
      </c>
      <c r="Q609" s="180">
        <v>100</v>
      </c>
    </row>
    <row r="610" spans="1:17">
      <c r="A610" t="str">
        <f t="shared" si="36"/>
        <v>UGA_1044</v>
      </c>
      <c r="B610" t="str">
        <f t="shared" si="37"/>
        <v>UGA_FOREST RESOURCES-3</v>
      </c>
      <c r="C610" t="s">
        <v>443</v>
      </c>
      <c r="D610" s="180" t="s">
        <v>51</v>
      </c>
      <c r="E610" t="s">
        <v>3827</v>
      </c>
      <c r="F610" t="s">
        <v>3828</v>
      </c>
      <c r="G610" s="180">
        <v>40942</v>
      </c>
      <c r="H610">
        <v>1968</v>
      </c>
      <c r="J610" s="1334" t="s">
        <v>475</v>
      </c>
      <c r="K610" s="1335" t="s">
        <v>486</v>
      </c>
      <c r="L610" s="180">
        <v>100</v>
      </c>
      <c r="M610" t="s">
        <v>7818</v>
      </c>
      <c r="N610" t="str">
        <f t="shared" si="38"/>
        <v>FOREST RESOURCES-3 (1044)</v>
      </c>
      <c r="O610" t="s">
        <v>52</v>
      </c>
      <c r="P610" t="str">
        <f t="shared" si="39"/>
        <v>18000_1044</v>
      </c>
      <c r="Q610" s="180">
        <v>100</v>
      </c>
    </row>
    <row r="611" spans="1:17">
      <c r="A611" t="str">
        <f t="shared" si="36"/>
        <v>UGA_1046</v>
      </c>
      <c r="B611" t="str">
        <f t="shared" si="37"/>
        <v>UGA_FOREST RESOURCES-4</v>
      </c>
      <c r="C611" t="s">
        <v>443</v>
      </c>
      <c r="D611" s="180" t="s">
        <v>51</v>
      </c>
      <c r="E611" t="s">
        <v>3829</v>
      </c>
      <c r="F611" t="s">
        <v>3830</v>
      </c>
      <c r="G611" s="180">
        <v>49535</v>
      </c>
      <c r="H611">
        <v>1992</v>
      </c>
      <c r="J611" s="1334" t="s">
        <v>475</v>
      </c>
      <c r="K611" s="1335" t="s">
        <v>475</v>
      </c>
      <c r="L611" s="180">
        <v>100</v>
      </c>
      <c r="M611" t="s">
        <v>7818</v>
      </c>
      <c r="N611" t="str">
        <f t="shared" si="38"/>
        <v>FOREST RESOURCES-4 (1046)</v>
      </c>
      <c r="O611" t="s">
        <v>52</v>
      </c>
      <c r="P611" t="str">
        <f t="shared" si="39"/>
        <v>18000_1046</v>
      </c>
      <c r="Q611" s="180">
        <v>100</v>
      </c>
    </row>
    <row r="612" spans="1:17">
      <c r="A612" t="str">
        <f t="shared" si="36"/>
        <v>UGA_1050</v>
      </c>
      <c r="B612" t="str">
        <f t="shared" si="37"/>
        <v>UGA_ENVIRO HEALTH SCI</v>
      </c>
      <c r="C612" t="s">
        <v>443</v>
      </c>
      <c r="D612" s="180" t="s">
        <v>51</v>
      </c>
      <c r="E612" t="s">
        <v>4139</v>
      </c>
      <c r="F612" t="s">
        <v>4140</v>
      </c>
      <c r="G612" s="180">
        <v>23679</v>
      </c>
      <c r="H612">
        <v>1939</v>
      </c>
      <c r="J612" s="1334" t="s">
        <v>475</v>
      </c>
      <c r="K612" s="1335" t="s">
        <v>481</v>
      </c>
      <c r="L612" s="180">
        <v>94</v>
      </c>
      <c r="M612" t="s">
        <v>7818</v>
      </c>
      <c r="N612" t="str">
        <f t="shared" si="38"/>
        <v>ENVIRO HEALTH SCI (1050)</v>
      </c>
      <c r="O612" t="s">
        <v>52</v>
      </c>
      <c r="P612" t="str">
        <f t="shared" si="39"/>
        <v>18000_1050</v>
      </c>
      <c r="Q612" s="180">
        <v>0</v>
      </c>
    </row>
    <row r="613" spans="1:17">
      <c r="A613" t="str">
        <f t="shared" si="36"/>
        <v>UGA_1057</v>
      </c>
      <c r="B613" t="str">
        <f t="shared" si="37"/>
        <v>UGA_LIFE SCI F.DAVISON</v>
      </c>
      <c r="C613" t="s">
        <v>443</v>
      </c>
      <c r="D613" s="180" t="s">
        <v>51</v>
      </c>
      <c r="E613" t="s">
        <v>3577</v>
      </c>
      <c r="F613" t="s">
        <v>3578</v>
      </c>
      <c r="G613" s="180">
        <v>260809</v>
      </c>
      <c r="H613">
        <v>1989</v>
      </c>
      <c r="J613" s="1334" t="s">
        <v>475</v>
      </c>
      <c r="K613" s="1335" t="s">
        <v>475</v>
      </c>
      <c r="L613" s="180">
        <v>100</v>
      </c>
      <c r="M613" t="s">
        <v>7818</v>
      </c>
      <c r="N613" t="str">
        <f t="shared" si="38"/>
        <v>LIFE SCI F.DAVISON (1057)</v>
      </c>
      <c r="O613" t="s">
        <v>52</v>
      </c>
      <c r="P613" t="str">
        <f t="shared" si="39"/>
        <v>18000_1057</v>
      </c>
      <c r="Q613" s="180">
        <v>0</v>
      </c>
    </row>
    <row r="614" spans="1:17">
      <c r="A614" t="str">
        <f t="shared" si="36"/>
        <v>UGA_1058</v>
      </c>
      <c r="B614" t="str">
        <f t="shared" si="37"/>
        <v>UGA_L S FERM PLANT</v>
      </c>
      <c r="C614" t="s">
        <v>443</v>
      </c>
      <c r="D614" s="180" t="s">
        <v>51</v>
      </c>
      <c r="E614" t="s">
        <v>4273</v>
      </c>
      <c r="F614" t="s">
        <v>4274</v>
      </c>
      <c r="G614" s="180">
        <v>5654</v>
      </c>
      <c r="H614">
        <v>1992</v>
      </c>
      <c r="J614" s="1334" t="s">
        <v>475</v>
      </c>
      <c r="K614" s="1335" t="s">
        <v>475</v>
      </c>
      <c r="L614" s="180">
        <v>100</v>
      </c>
      <c r="M614" t="s">
        <v>7818</v>
      </c>
      <c r="N614" t="str">
        <f t="shared" si="38"/>
        <v>L S FERM PLANT (1058)</v>
      </c>
      <c r="O614" t="s">
        <v>52</v>
      </c>
      <c r="P614" t="str">
        <f t="shared" si="39"/>
        <v>18000_1058</v>
      </c>
      <c r="Q614" s="180">
        <v>0</v>
      </c>
    </row>
    <row r="615" spans="1:17">
      <c r="A615" t="str">
        <f t="shared" si="36"/>
        <v>UGA_1060</v>
      </c>
      <c r="B615" t="str">
        <f t="shared" si="37"/>
        <v>UGA_ADERHOLD HALL</v>
      </c>
      <c r="C615" t="s">
        <v>443</v>
      </c>
      <c r="D615" s="180" t="s">
        <v>51</v>
      </c>
      <c r="E615" t="s">
        <v>3697</v>
      </c>
      <c r="F615" t="s">
        <v>3698</v>
      </c>
      <c r="G615" s="180">
        <v>202005</v>
      </c>
      <c r="H615">
        <v>1971</v>
      </c>
      <c r="J615" s="1334" t="s">
        <v>475</v>
      </c>
      <c r="K615" s="1335" t="s">
        <v>475</v>
      </c>
      <c r="L615" s="180">
        <v>100</v>
      </c>
      <c r="M615" t="s">
        <v>7818</v>
      </c>
      <c r="N615" t="str">
        <f t="shared" si="38"/>
        <v>ADERHOLD HALL (1060)</v>
      </c>
      <c r="O615" t="s">
        <v>52</v>
      </c>
      <c r="P615" t="str">
        <f t="shared" si="39"/>
        <v>18000_1060</v>
      </c>
      <c r="Q615" s="180">
        <v>86</v>
      </c>
    </row>
    <row r="616" spans="1:17">
      <c r="A616" t="str">
        <f t="shared" si="36"/>
        <v>UGA_1061</v>
      </c>
      <c r="B616" t="str">
        <f t="shared" si="37"/>
        <v>UGA_MILLER PLANT SCI</v>
      </c>
      <c r="C616" t="s">
        <v>443</v>
      </c>
      <c r="D616" s="180" t="s">
        <v>51</v>
      </c>
      <c r="E616" t="s">
        <v>3778</v>
      </c>
      <c r="F616" t="s">
        <v>3779</v>
      </c>
      <c r="G616" s="180">
        <v>160255</v>
      </c>
      <c r="H616">
        <v>1972</v>
      </c>
      <c r="J616" s="1334" t="s">
        <v>475</v>
      </c>
      <c r="K616" s="1335" t="s">
        <v>475</v>
      </c>
      <c r="L616" s="180">
        <v>100</v>
      </c>
      <c r="M616" t="s">
        <v>7818</v>
      </c>
      <c r="N616" t="str">
        <f t="shared" si="38"/>
        <v>MILLER PLANT SCI (1061)</v>
      </c>
      <c r="O616" t="s">
        <v>52</v>
      </c>
      <c r="P616" t="str">
        <f t="shared" si="39"/>
        <v>18000_1061</v>
      </c>
      <c r="Q616" s="180">
        <v>92</v>
      </c>
    </row>
    <row r="617" spans="1:17">
      <c r="A617" t="str">
        <f t="shared" si="36"/>
        <v>UGA_1064</v>
      </c>
      <c r="B617" t="str">
        <f t="shared" si="37"/>
        <v>UGA_LOCOMO DIAG CTR</v>
      </c>
      <c r="C617" t="s">
        <v>443</v>
      </c>
      <c r="D617" s="180" t="s">
        <v>51</v>
      </c>
      <c r="E617" t="s">
        <v>2589</v>
      </c>
      <c r="F617" t="s">
        <v>2590</v>
      </c>
      <c r="G617" s="180">
        <v>1513</v>
      </c>
      <c r="H617">
        <v>1990</v>
      </c>
      <c r="J617" s="1334" t="s">
        <v>475</v>
      </c>
      <c r="K617" s="1335" t="s">
        <v>475</v>
      </c>
      <c r="L617" s="180">
        <v>100</v>
      </c>
      <c r="M617" t="s">
        <v>7818</v>
      </c>
      <c r="N617" t="str">
        <f t="shared" si="38"/>
        <v>LOCOMO DIAG CTR (1064)</v>
      </c>
      <c r="O617" t="s">
        <v>52</v>
      </c>
      <c r="P617" t="str">
        <f t="shared" si="39"/>
        <v>18000_1064</v>
      </c>
      <c r="Q617" s="180">
        <v>100</v>
      </c>
    </row>
    <row r="618" spans="1:17">
      <c r="A618" t="str">
        <f t="shared" si="36"/>
        <v>UGA_1065</v>
      </c>
      <c r="B618" t="str">
        <f t="shared" si="37"/>
        <v>UGA_PET HEALTH CENTER</v>
      </c>
      <c r="C618" t="s">
        <v>443</v>
      </c>
      <c r="D618" s="180" t="s">
        <v>51</v>
      </c>
      <c r="E618" t="s">
        <v>1626</v>
      </c>
      <c r="F618" t="s">
        <v>7121</v>
      </c>
      <c r="G618" s="180">
        <v>7825</v>
      </c>
      <c r="H618">
        <v>1973</v>
      </c>
      <c r="J618" s="1334" t="s">
        <v>475</v>
      </c>
      <c r="K618" s="1335" t="s">
        <v>486</v>
      </c>
      <c r="L618" s="180">
        <v>100</v>
      </c>
      <c r="M618" t="s">
        <v>7818</v>
      </c>
      <c r="N618" t="str">
        <f t="shared" si="38"/>
        <v>PET HEALTH CENTER (1065)</v>
      </c>
      <c r="O618" t="s">
        <v>52</v>
      </c>
      <c r="P618" t="str">
        <f t="shared" si="39"/>
        <v>18000_1065</v>
      </c>
      <c r="Q618" s="180">
        <v>100</v>
      </c>
    </row>
    <row r="619" spans="1:17">
      <c r="A619" t="str">
        <f t="shared" si="36"/>
        <v>UGA_1066</v>
      </c>
      <c r="B619" t="str">
        <f t="shared" si="37"/>
        <v>UGA_VET MED - 10</v>
      </c>
      <c r="C619" t="s">
        <v>443</v>
      </c>
      <c r="D619" s="180" t="s">
        <v>51</v>
      </c>
      <c r="E619" t="s">
        <v>1435</v>
      </c>
      <c r="F619" t="s">
        <v>1436</v>
      </c>
      <c r="G619" s="180">
        <v>7036</v>
      </c>
      <c r="H619">
        <v>1973</v>
      </c>
      <c r="J619" s="1334" t="s">
        <v>475</v>
      </c>
      <c r="K619" s="1335" t="s">
        <v>475</v>
      </c>
      <c r="L619" s="180">
        <v>100</v>
      </c>
      <c r="M619" t="s">
        <v>7818</v>
      </c>
      <c r="N619" t="str">
        <f t="shared" si="38"/>
        <v>VET MED - 10 (1066)</v>
      </c>
      <c r="O619" t="s">
        <v>52</v>
      </c>
      <c r="P619" t="str">
        <f t="shared" si="39"/>
        <v>18000_1066</v>
      </c>
      <c r="Q619" s="180">
        <v>100</v>
      </c>
    </row>
    <row r="620" spans="1:17">
      <c r="A620" t="str">
        <f t="shared" si="36"/>
        <v>UGA_1067</v>
      </c>
      <c r="B620" t="str">
        <f t="shared" si="37"/>
        <v>UGA_VET MED - 11</v>
      </c>
      <c r="C620" t="s">
        <v>443</v>
      </c>
      <c r="D620" s="180" t="s">
        <v>51</v>
      </c>
      <c r="E620" t="s">
        <v>2289</v>
      </c>
      <c r="F620" t="s">
        <v>2290</v>
      </c>
      <c r="G620" s="180">
        <v>11968</v>
      </c>
      <c r="H620">
        <v>1973</v>
      </c>
      <c r="J620" s="1334" t="s">
        <v>475</v>
      </c>
      <c r="K620" s="1335" t="s">
        <v>481</v>
      </c>
      <c r="L620" s="180">
        <v>100</v>
      </c>
      <c r="M620" t="s">
        <v>7818</v>
      </c>
      <c r="N620" t="str">
        <f t="shared" si="38"/>
        <v>VET MED - 11 (1067)</v>
      </c>
      <c r="O620" t="s">
        <v>52</v>
      </c>
      <c r="P620" t="str">
        <f t="shared" si="39"/>
        <v>18000_1067</v>
      </c>
      <c r="Q620" s="180">
        <v>100</v>
      </c>
    </row>
    <row r="621" spans="1:17">
      <c r="A621" t="str">
        <f t="shared" si="36"/>
        <v>UGA_1070</v>
      </c>
      <c r="B621" t="str">
        <f t="shared" si="37"/>
        <v>UGA_VET MED - 1</v>
      </c>
      <c r="C621" t="s">
        <v>443</v>
      </c>
      <c r="D621" s="180" t="s">
        <v>51</v>
      </c>
      <c r="E621" t="s">
        <v>4195</v>
      </c>
      <c r="F621" t="s">
        <v>4196</v>
      </c>
      <c r="G621" s="180">
        <v>287748</v>
      </c>
      <c r="H621">
        <v>1949</v>
      </c>
      <c r="J621" s="1334" t="s">
        <v>475</v>
      </c>
      <c r="K621" s="1335" t="s">
        <v>1520</v>
      </c>
      <c r="L621" s="180">
        <v>100</v>
      </c>
      <c r="M621" t="s">
        <v>7818</v>
      </c>
      <c r="N621" t="str">
        <f t="shared" si="38"/>
        <v>VET MED - 1 (1070)</v>
      </c>
      <c r="O621" t="s">
        <v>52</v>
      </c>
      <c r="P621" t="str">
        <f t="shared" si="39"/>
        <v>18000_1070</v>
      </c>
      <c r="Q621" s="180">
        <v>97</v>
      </c>
    </row>
    <row r="622" spans="1:17">
      <c r="A622" t="str">
        <f t="shared" si="36"/>
        <v>UGA_1072</v>
      </c>
      <c r="B622" t="str">
        <f t="shared" si="37"/>
        <v>UGA_VET MED-2</v>
      </c>
      <c r="C622" t="s">
        <v>443</v>
      </c>
      <c r="D622" s="180" t="s">
        <v>51</v>
      </c>
      <c r="E622" t="s">
        <v>2979</v>
      </c>
      <c r="F622" t="s">
        <v>2980</v>
      </c>
      <c r="G622" s="180">
        <v>2631</v>
      </c>
      <c r="H622">
        <v>1968</v>
      </c>
      <c r="J622" s="1334" t="s">
        <v>475</v>
      </c>
      <c r="K622" s="1335" t="s">
        <v>475</v>
      </c>
      <c r="L622" s="180">
        <v>100</v>
      </c>
      <c r="M622" t="s">
        <v>7818</v>
      </c>
      <c r="N622" t="str">
        <f t="shared" si="38"/>
        <v>VET MED-2 (1072)</v>
      </c>
      <c r="O622" t="s">
        <v>52</v>
      </c>
      <c r="P622" t="str">
        <f t="shared" si="39"/>
        <v>18000_1072</v>
      </c>
      <c r="Q622" s="180">
        <v>100</v>
      </c>
    </row>
    <row r="623" spans="1:17">
      <c r="A623" t="str">
        <f t="shared" si="36"/>
        <v>UGA_1073</v>
      </c>
      <c r="B623" t="str">
        <f t="shared" si="37"/>
        <v>UGA_VET MED-6</v>
      </c>
      <c r="C623" t="s">
        <v>443</v>
      </c>
      <c r="D623" s="180" t="s">
        <v>51</v>
      </c>
      <c r="E623" t="s">
        <v>3049</v>
      </c>
      <c r="F623" t="s">
        <v>3050</v>
      </c>
      <c r="G623" s="180">
        <v>4700</v>
      </c>
      <c r="H623">
        <v>1970</v>
      </c>
      <c r="J623" s="1334" t="s">
        <v>475</v>
      </c>
      <c r="K623" s="1335" t="s">
        <v>475</v>
      </c>
      <c r="L623" s="180">
        <v>100</v>
      </c>
      <c r="M623" t="s">
        <v>7818</v>
      </c>
      <c r="N623" t="str">
        <f t="shared" si="38"/>
        <v>VET MED-6 (1073)</v>
      </c>
      <c r="O623" t="s">
        <v>52</v>
      </c>
      <c r="P623" t="str">
        <f t="shared" si="39"/>
        <v>18000_1073</v>
      </c>
      <c r="Q623" s="180">
        <v>80</v>
      </c>
    </row>
    <row r="624" spans="1:17">
      <c r="A624" t="str">
        <f t="shared" si="36"/>
        <v>UGA_1077</v>
      </c>
      <c r="B624" t="str">
        <f t="shared" si="37"/>
        <v>UGA_ANIMAL HEALTH RSCH</v>
      </c>
      <c r="C624" t="s">
        <v>443</v>
      </c>
      <c r="D624" s="180" t="s">
        <v>51</v>
      </c>
      <c r="E624" t="s">
        <v>2064</v>
      </c>
      <c r="F624" t="s">
        <v>2065</v>
      </c>
      <c r="G624" s="180">
        <v>75022</v>
      </c>
      <c r="H624">
        <v>2001</v>
      </c>
      <c r="J624" s="1334" t="s">
        <v>520</v>
      </c>
      <c r="K624" s="1335" t="s">
        <v>475</v>
      </c>
      <c r="L624" s="180">
        <v>100</v>
      </c>
      <c r="M624" t="s">
        <v>7818</v>
      </c>
      <c r="N624" t="str">
        <f t="shared" si="38"/>
        <v>ANIMAL HEALTH RSCH (1077)</v>
      </c>
      <c r="O624" t="s">
        <v>52</v>
      </c>
      <c r="P624" t="str">
        <f t="shared" si="39"/>
        <v>18000_1077</v>
      </c>
      <c r="Q624" s="180">
        <v>100</v>
      </c>
    </row>
    <row r="625" spans="1:17">
      <c r="A625" t="str">
        <f t="shared" si="36"/>
        <v>UGA_1079</v>
      </c>
      <c r="B625" t="str">
        <f t="shared" si="37"/>
        <v>UGA_ATH V M DIAG LAB</v>
      </c>
      <c r="C625" t="s">
        <v>443</v>
      </c>
      <c r="D625" s="180" t="s">
        <v>51</v>
      </c>
      <c r="E625" t="s">
        <v>2667</v>
      </c>
      <c r="F625" t="s">
        <v>2668</v>
      </c>
      <c r="G625" s="180">
        <v>27550</v>
      </c>
      <c r="H625">
        <v>2001</v>
      </c>
      <c r="J625" s="1334" t="s">
        <v>520</v>
      </c>
      <c r="K625" s="1335" t="s">
        <v>475</v>
      </c>
      <c r="L625" s="180">
        <v>100</v>
      </c>
      <c r="M625" t="s">
        <v>7818</v>
      </c>
      <c r="N625" t="str">
        <f t="shared" si="38"/>
        <v>ATH V M DIAG LAB (1079)</v>
      </c>
      <c r="O625" t="s">
        <v>52</v>
      </c>
      <c r="P625" t="str">
        <f t="shared" si="39"/>
        <v>18000_1079</v>
      </c>
      <c r="Q625" s="180">
        <v>100</v>
      </c>
    </row>
    <row r="626" spans="1:17">
      <c r="A626" t="str">
        <f t="shared" si="36"/>
        <v>UGA_1082</v>
      </c>
      <c r="B626" t="str">
        <f t="shared" si="37"/>
        <v>UGA_WILDLIFE HEALTH</v>
      </c>
      <c r="C626" t="s">
        <v>443</v>
      </c>
      <c r="D626" s="180" t="s">
        <v>51</v>
      </c>
      <c r="E626" t="s">
        <v>3883</v>
      </c>
      <c r="F626" t="s">
        <v>3884</v>
      </c>
      <c r="G626" s="180">
        <v>26333</v>
      </c>
      <c r="H626">
        <v>1971</v>
      </c>
      <c r="J626" s="1334" t="s">
        <v>475</v>
      </c>
      <c r="K626" s="1335" t="s">
        <v>486</v>
      </c>
      <c r="L626" s="180">
        <v>100</v>
      </c>
      <c r="M626" t="s">
        <v>7818</v>
      </c>
      <c r="N626" t="str">
        <f t="shared" si="38"/>
        <v>WILDLIFE HEALTH (1082)</v>
      </c>
      <c r="O626" t="s">
        <v>52</v>
      </c>
      <c r="P626" t="str">
        <f t="shared" si="39"/>
        <v>18000_1082</v>
      </c>
      <c r="Q626" s="180">
        <v>100</v>
      </c>
    </row>
    <row r="627" spans="1:17">
      <c r="A627" t="str">
        <f t="shared" si="36"/>
        <v>UGA_1083</v>
      </c>
      <c r="B627" t="str">
        <f t="shared" si="37"/>
        <v>UGA_VET MED HAZ MAT BL</v>
      </c>
      <c r="C627" t="s">
        <v>443</v>
      </c>
      <c r="D627" s="180" t="s">
        <v>51</v>
      </c>
      <c r="E627" t="s">
        <v>2805</v>
      </c>
      <c r="F627" t="s">
        <v>2806</v>
      </c>
      <c r="G627" s="180">
        <v>163</v>
      </c>
      <c r="H627">
        <v>2006</v>
      </c>
      <c r="J627" s="1334" t="s">
        <v>475</v>
      </c>
      <c r="K627" s="1335" t="s">
        <v>475</v>
      </c>
      <c r="L627" s="180">
        <v>100</v>
      </c>
      <c r="M627" t="s">
        <v>7818</v>
      </c>
      <c r="N627" t="str">
        <f t="shared" si="38"/>
        <v>VET MED HAZ MAT BL (1083)</v>
      </c>
      <c r="O627" t="s">
        <v>52</v>
      </c>
      <c r="P627" t="str">
        <f t="shared" si="39"/>
        <v>18000_1083</v>
      </c>
      <c r="Q627" s="180">
        <v>100</v>
      </c>
    </row>
    <row r="628" spans="1:17">
      <c r="A628" t="str">
        <f t="shared" si="36"/>
        <v>UGA_1084</v>
      </c>
      <c r="B628" t="str">
        <f t="shared" si="37"/>
        <v>UGA_VET BIORES FAC-VBF</v>
      </c>
      <c r="C628" t="s">
        <v>443</v>
      </c>
      <c r="D628" s="180" t="s">
        <v>51</v>
      </c>
      <c r="E628" t="s">
        <v>2568</v>
      </c>
      <c r="F628" t="s">
        <v>2569</v>
      </c>
      <c r="G628" s="180">
        <v>32341</v>
      </c>
      <c r="H628">
        <v>2004</v>
      </c>
      <c r="J628" s="1334" t="s">
        <v>520</v>
      </c>
      <c r="K628" s="1335" t="s">
        <v>475</v>
      </c>
      <c r="L628" s="180">
        <v>100</v>
      </c>
      <c r="M628" t="s">
        <v>7818</v>
      </c>
      <c r="N628" t="str">
        <f t="shared" si="38"/>
        <v>VET BIORES FAC-VBF (1084)</v>
      </c>
      <c r="O628" t="s">
        <v>52</v>
      </c>
      <c r="P628" t="str">
        <f t="shared" si="39"/>
        <v>18000_1084</v>
      </c>
      <c r="Q628" s="180">
        <v>100</v>
      </c>
    </row>
    <row r="629" spans="1:17">
      <c r="A629" t="str">
        <f t="shared" si="36"/>
        <v>UGA_1085</v>
      </c>
      <c r="B629" t="str">
        <f t="shared" si="37"/>
        <v>UGA_HAZ STRG VET MED</v>
      </c>
      <c r="C629" t="s">
        <v>443</v>
      </c>
      <c r="D629" s="180" t="s">
        <v>51</v>
      </c>
      <c r="E629" t="s">
        <v>3149</v>
      </c>
      <c r="F629" t="s">
        <v>3150</v>
      </c>
      <c r="G629" s="180">
        <v>468</v>
      </c>
      <c r="H629">
        <v>2016</v>
      </c>
      <c r="J629" s="1334" t="s">
        <v>475</v>
      </c>
      <c r="K629" s="1335" t="s">
        <v>475</v>
      </c>
      <c r="L629" s="180">
        <v>100</v>
      </c>
      <c r="M629" t="s">
        <v>7818</v>
      </c>
      <c r="N629" t="str">
        <f t="shared" si="38"/>
        <v>HAZ STRG VET MED (1085)</v>
      </c>
      <c r="O629" t="s">
        <v>52</v>
      </c>
      <c r="P629" t="str">
        <f t="shared" si="39"/>
        <v>18000_1085</v>
      </c>
      <c r="Q629" s="180">
        <v>100</v>
      </c>
    </row>
    <row r="630" spans="1:17">
      <c r="A630" t="str">
        <f t="shared" si="36"/>
        <v>UGA_1090</v>
      </c>
      <c r="B630" t="str">
        <f t="shared" si="37"/>
        <v>UGA_DRIFTMIER ENG CNTR</v>
      </c>
      <c r="C630" t="s">
        <v>443</v>
      </c>
      <c r="D630" s="180" t="s">
        <v>51</v>
      </c>
      <c r="E630" t="s">
        <v>3668</v>
      </c>
      <c r="F630" t="s">
        <v>7122</v>
      </c>
      <c r="G630" s="180">
        <v>98163</v>
      </c>
      <c r="H630">
        <v>1965</v>
      </c>
      <c r="J630" s="1334" t="s">
        <v>475</v>
      </c>
      <c r="K630" s="1335" t="s">
        <v>475</v>
      </c>
      <c r="L630" s="180">
        <v>100</v>
      </c>
      <c r="M630" t="s">
        <v>7818</v>
      </c>
      <c r="N630" t="str">
        <f t="shared" si="38"/>
        <v>DRIFTMIER ENG CNTR (1090)</v>
      </c>
      <c r="O630" t="s">
        <v>52</v>
      </c>
      <c r="P630" t="str">
        <f t="shared" si="39"/>
        <v>18000_1090</v>
      </c>
      <c r="Q630" s="180">
        <v>85</v>
      </c>
    </row>
    <row r="631" spans="1:17">
      <c r="A631" t="str">
        <f t="shared" si="36"/>
        <v>UGA_1093</v>
      </c>
      <c r="B631" t="str">
        <f t="shared" si="37"/>
        <v>UGA_AG. ENG. SHED-1</v>
      </c>
      <c r="C631" t="s">
        <v>443</v>
      </c>
      <c r="D631" s="180" t="s">
        <v>51</v>
      </c>
      <c r="E631" t="s">
        <v>2874</v>
      </c>
      <c r="F631" t="s">
        <v>2875</v>
      </c>
      <c r="G631" s="180">
        <v>1549</v>
      </c>
      <c r="H631">
        <v>1965</v>
      </c>
      <c r="J631" s="1334" t="s">
        <v>475</v>
      </c>
      <c r="K631" s="1335" t="s">
        <v>486</v>
      </c>
      <c r="L631" s="180">
        <v>100</v>
      </c>
      <c r="M631" t="s">
        <v>7818</v>
      </c>
      <c r="N631" t="str">
        <f t="shared" si="38"/>
        <v>AG. ENG. SHED-1 (1093)</v>
      </c>
      <c r="O631" t="s">
        <v>52</v>
      </c>
      <c r="P631" t="str">
        <f t="shared" si="39"/>
        <v>18000_1093</v>
      </c>
      <c r="Q631" s="180">
        <v>100</v>
      </c>
    </row>
    <row r="632" spans="1:17">
      <c r="A632" t="str">
        <f t="shared" si="36"/>
        <v>UGA_1094</v>
      </c>
      <c r="B632" t="str">
        <f t="shared" si="37"/>
        <v>UGA_DRIFTMIER ENG ANNX</v>
      </c>
      <c r="C632" t="s">
        <v>443</v>
      </c>
      <c r="D632" s="180" t="s">
        <v>51</v>
      </c>
      <c r="E632" t="s">
        <v>2876</v>
      </c>
      <c r="F632" t="s">
        <v>2877</v>
      </c>
      <c r="G632" s="180">
        <v>8481</v>
      </c>
      <c r="H632">
        <v>1968</v>
      </c>
      <c r="J632" s="1334" t="s">
        <v>475</v>
      </c>
      <c r="K632" s="1335" t="s">
        <v>475</v>
      </c>
      <c r="L632" s="180">
        <v>100</v>
      </c>
      <c r="M632" t="s">
        <v>7818</v>
      </c>
      <c r="N632" t="str">
        <f t="shared" si="38"/>
        <v>DRIFTMIER ENG ANNX (1094)</v>
      </c>
      <c r="O632" t="s">
        <v>52</v>
      </c>
      <c r="P632" t="str">
        <f t="shared" si="39"/>
        <v>18000_1094</v>
      </c>
      <c r="Q632" s="180">
        <v>100</v>
      </c>
    </row>
    <row r="633" spans="1:17">
      <c r="A633" t="str">
        <f t="shared" si="36"/>
        <v>UGA_1095</v>
      </c>
      <c r="B633" t="str">
        <f t="shared" si="37"/>
        <v>UGA_AG. ENG. SHED-2</v>
      </c>
      <c r="C633" t="s">
        <v>443</v>
      </c>
      <c r="D633" s="180" t="s">
        <v>51</v>
      </c>
      <c r="E633" t="s">
        <v>1720</v>
      </c>
      <c r="F633" t="s">
        <v>1721</v>
      </c>
      <c r="G633" s="180">
        <v>220</v>
      </c>
      <c r="H633">
        <v>1964</v>
      </c>
      <c r="J633" s="1334" t="s">
        <v>475</v>
      </c>
      <c r="K633" s="1335" t="s">
        <v>1520</v>
      </c>
      <c r="L633" s="180">
        <v>100</v>
      </c>
      <c r="M633" t="s">
        <v>7818</v>
      </c>
      <c r="N633" t="str">
        <f t="shared" si="38"/>
        <v>AG. ENG. SHED-2 (1095)</v>
      </c>
      <c r="O633" t="s">
        <v>52</v>
      </c>
      <c r="P633" t="str">
        <f t="shared" si="39"/>
        <v>18000_1095</v>
      </c>
      <c r="Q633" s="180">
        <v>100</v>
      </c>
    </row>
    <row r="634" spans="1:17">
      <c r="A634" t="str">
        <f t="shared" si="36"/>
        <v>UGA_1096</v>
      </c>
      <c r="B634" t="str">
        <f t="shared" si="37"/>
        <v>UGA_COMMUNICATION HUT1</v>
      </c>
      <c r="C634" t="s">
        <v>443</v>
      </c>
      <c r="D634" s="180" t="s">
        <v>51</v>
      </c>
      <c r="E634" t="s">
        <v>1566</v>
      </c>
      <c r="F634" t="s">
        <v>1567</v>
      </c>
      <c r="G634" s="180">
        <v>240</v>
      </c>
      <c r="H634">
        <v>2003</v>
      </c>
      <c r="J634" s="1334" t="s">
        <v>475</v>
      </c>
      <c r="K634" s="1335" t="s">
        <v>475</v>
      </c>
      <c r="L634" s="180">
        <v>0</v>
      </c>
      <c r="M634" t="s">
        <v>7818</v>
      </c>
      <c r="N634" t="str">
        <f t="shared" si="38"/>
        <v>COMMUNICATION HUT1 (1096)</v>
      </c>
      <c r="O634" t="s">
        <v>52</v>
      </c>
      <c r="P634" t="str">
        <f t="shared" si="39"/>
        <v>18000_1096</v>
      </c>
      <c r="Q634" s="180">
        <v>100</v>
      </c>
    </row>
    <row r="635" spans="1:17">
      <c r="A635" t="str">
        <f t="shared" si="36"/>
        <v>UGA_1110</v>
      </c>
      <c r="B635" t="str">
        <f t="shared" si="37"/>
        <v>UGA_CARLTON ST DECK</v>
      </c>
      <c r="C635" t="s">
        <v>443</v>
      </c>
      <c r="D635" s="180" t="s">
        <v>51</v>
      </c>
      <c r="E635" t="s">
        <v>1982</v>
      </c>
      <c r="F635" t="s">
        <v>1983</v>
      </c>
      <c r="G635" s="180">
        <v>256088</v>
      </c>
      <c r="H635">
        <v>2001</v>
      </c>
      <c r="J635" s="1334" t="s">
        <v>475</v>
      </c>
      <c r="K635" s="1335" t="s">
        <v>475</v>
      </c>
      <c r="L635" s="180">
        <v>0</v>
      </c>
      <c r="M635" t="s">
        <v>7818</v>
      </c>
      <c r="N635" t="str">
        <f t="shared" si="38"/>
        <v>CARLTON ST DECK (1110)</v>
      </c>
      <c r="O635" t="s">
        <v>52</v>
      </c>
      <c r="P635" t="str">
        <f t="shared" si="39"/>
        <v>18000_1110</v>
      </c>
      <c r="Q635" s="180">
        <v>100</v>
      </c>
    </row>
    <row r="636" spans="1:17">
      <c r="A636" t="str">
        <f t="shared" si="36"/>
        <v>UGA_1111</v>
      </c>
      <c r="B636" t="str">
        <f t="shared" si="37"/>
        <v>UGA_COVERDELL CENTER</v>
      </c>
      <c r="C636" t="s">
        <v>443</v>
      </c>
      <c r="D636" s="180" t="s">
        <v>51</v>
      </c>
      <c r="E636" t="s">
        <v>3669</v>
      </c>
      <c r="F636" t="s">
        <v>3670</v>
      </c>
      <c r="G636" s="180">
        <v>170818</v>
      </c>
      <c r="H636">
        <v>2005</v>
      </c>
      <c r="J636" s="1334" t="s">
        <v>475</v>
      </c>
      <c r="K636" s="1335" t="s">
        <v>475</v>
      </c>
      <c r="L636" s="180">
        <v>100</v>
      </c>
      <c r="M636" t="s">
        <v>7818</v>
      </c>
      <c r="N636" t="str">
        <f t="shared" si="38"/>
        <v>COVERDELL CENTER (1111)</v>
      </c>
      <c r="O636" t="s">
        <v>52</v>
      </c>
      <c r="P636" t="str">
        <f t="shared" si="39"/>
        <v>18000_1111</v>
      </c>
      <c r="Q636" s="180">
        <v>100</v>
      </c>
    </row>
    <row r="637" spans="1:17">
      <c r="A637" t="str">
        <f t="shared" si="36"/>
        <v>UGA_1129</v>
      </c>
      <c r="B637" t="str">
        <f t="shared" si="37"/>
        <v>UGA_CENTRAL ZONE SHOP</v>
      </c>
      <c r="C637" t="s">
        <v>443</v>
      </c>
      <c r="D637" s="180" t="s">
        <v>51</v>
      </c>
      <c r="E637" t="s">
        <v>7603</v>
      </c>
      <c r="F637" t="s">
        <v>7682</v>
      </c>
      <c r="G637" s="180">
        <v>3201</v>
      </c>
      <c r="H637">
        <v>2022</v>
      </c>
      <c r="J637" s="1334" t="s">
        <v>475</v>
      </c>
      <c r="K637" s="1335" t="s">
        <v>475</v>
      </c>
      <c r="L637" s="180">
        <v>100</v>
      </c>
      <c r="M637" t="s">
        <v>7818</v>
      </c>
      <c r="N637" t="str">
        <f t="shared" si="38"/>
        <v>CENTRAL ZONE SHOP (1129)</v>
      </c>
      <c r="O637" t="s">
        <v>52</v>
      </c>
      <c r="P637" t="str">
        <f t="shared" si="39"/>
        <v>18000_1129</v>
      </c>
      <c r="Q637" s="180">
        <v>100</v>
      </c>
    </row>
    <row r="638" spans="1:17">
      <c r="A638" t="str">
        <f t="shared" si="36"/>
        <v>UGA_1130</v>
      </c>
      <c r="B638" t="str">
        <f t="shared" si="37"/>
        <v>UGA_COMPUTING SERVICES</v>
      </c>
      <c r="C638" t="s">
        <v>443</v>
      </c>
      <c r="D638" s="180" t="s">
        <v>51</v>
      </c>
      <c r="E638" t="s">
        <v>2807</v>
      </c>
      <c r="F638" t="s">
        <v>2808</v>
      </c>
      <c r="G638" s="180">
        <v>55131</v>
      </c>
      <c r="H638">
        <v>1958</v>
      </c>
      <c r="J638" s="1334" t="s">
        <v>475</v>
      </c>
      <c r="K638" s="1335" t="s">
        <v>486</v>
      </c>
      <c r="L638" s="180">
        <v>100</v>
      </c>
      <c r="M638" t="s">
        <v>7818</v>
      </c>
      <c r="N638" t="str">
        <f t="shared" si="38"/>
        <v>COMPUTING SERVICES (1130)</v>
      </c>
      <c r="O638" t="s">
        <v>52</v>
      </c>
      <c r="P638" t="str">
        <f t="shared" si="39"/>
        <v>18000_1130</v>
      </c>
      <c r="Q638" s="180">
        <v>100</v>
      </c>
    </row>
    <row r="639" spans="1:17">
      <c r="A639" t="str">
        <f t="shared" si="36"/>
        <v>UGA_1131</v>
      </c>
      <c r="B639" t="str">
        <f t="shared" si="37"/>
        <v>UGA_STEM RESEARCH BUILDING I</v>
      </c>
      <c r="C639" t="s">
        <v>443</v>
      </c>
      <c r="D639" s="180" t="s">
        <v>51</v>
      </c>
      <c r="E639" t="s">
        <v>2193</v>
      </c>
      <c r="F639" t="s">
        <v>2194</v>
      </c>
      <c r="G639" s="180">
        <v>96737</v>
      </c>
      <c r="H639">
        <v>2021</v>
      </c>
      <c r="J639" s="1334" t="s">
        <v>475</v>
      </c>
      <c r="K639" s="1335" t="s">
        <v>475</v>
      </c>
      <c r="L639" s="180">
        <v>100</v>
      </c>
      <c r="M639" t="s">
        <v>7818</v>
      </c>
      <c r="N639" t="str">
        <f t="shared" si="38"/>
        <v>STEM RESEARCH BUILDING I (1131)</v>
      </c>
      <c r="O639" t="s">
        <v>52</v>
      </c>
      <c r="P639" t="str">
        <f t="shared" si="39"/>
        <v>18000_1131</v>
      </c>
      <c r="Q639" s="180">
        <v>100</v>
      </c>
    </row>
    <row r="640" spans="1:17">
      <c r="A640" t="str">
        <f t="shared" si="36"/>
        <v>UGA_1132</v>
      </c>
      <c r="B640" t="str">
        <f t="shared" si="37"/>
        <v>UGA_STEM RESEARCH BUILDING II</v>
      </c>
      <c r="C640" t="s">
        <v>443</v>
      </c>
      <c r="D640" s="180" t="s">
        <v>51</v>
      </c>
      <c r="E640" t="s">
        <v>7035</v>
      </c>
      <c r="F640" t="s">
        <v>7123</v>
      </c>
      <c r="G640" s="180">
        <v>104102</v>
      </c>
      <c r="H640">
        <v>2022</v>
      </c>
      <c r="J640" s="1334" t="s">
        <v>520</v>
      </c>
      <c r="K640" s="1335" t="s">
        <v>475</v>
      </c>
      <c r="L640" s="180">
        <v>100</v>
      </c>
      <c r="M640" t="s">
        <v>7818</v>
      </c>
      <c r="N640" t="str">
        <f t="shared" si="38"/>
        <v>STEM RESEARCH BUILDING II (1132)</v>
      </c>
      <c r="O640" t="s">
        <v>52</v>
      </c>
      <c r="P640" t="str">
        <f t="shared" si="39"/>
        <v>18000_1132</v>
      </c>
      <c r="Q640" s="180">
        <v>100</v>
      </c>
    </row>
    <row r="641" spans="1:17">
      <c r="A641" t="str">
        <f t="shared" si="36"/>
        <v>UGA_1133</v>
      </c>
      <c r="B641" t="str">
        <f t="shared" si="37"/>
        <v>UGA_STEM I PARKING DECK</v>
      </c>
      <c r="C641" t="s">
        <v>443</v>
      </c>
      <c r="D641" s="180" t="s">
        <v>51</v>
      </c>
      <c r="E641" t="s">
        <v>2864</v>
      </c>
      <c r="F641" t="s">
        <v>7124</v>
      </c>
      <c r="G641" s="180">
        <v>90218</v>
      </c>
      <c r="H641">
        <v>2021</v>
      </c>
      <c r="J641" s="1334" t="s">
        <v>475</v>
      </c>
      <c r="K641" s="1335" t="s">
        <v>901</v>
      </c>
      <c r="L641" s="180">
        <v>0</v>
      </c>
      <c r="M641" t="s">
        <v>7818</v>
      </c>
      <c r="N641" t="str">
        <f t="shared" si="38"/>
        <v>STEM I PARKING DECK (1133)</v>
      </c>
      <c r="O641" t="s">
        <v>52</v>
      </c>
      <c r="P641" t="str">
        <f t="shared" si="39"/>
        <v>18000_1133</v>
      </c>
      <c r="Q641" s="180">
        <v>100</v>
      </c>
    </row>
    <row r="642" spans="1:17">
      <c r="A642" t="str">
        <f t="shared" si="36"/>
        <v>UGA_1134</v>
      </c>
      <c r="B642" t="str">
        <f t="shared" si="37"/>
        <v>UGA_STEM II PARKING DECK</v>
      </c>
      <c r="C642" t="s">
        <v>443</v>
      </c>
      <c r="D642" s="180" t="s">
        <v>51</v>
      </c>
      <c r="E642" t="s">
        <v>7036</v>
      </c>
      <c r="F642" t="s">
        <v>7125</v>
      </c>
      <c r="G642" s="180">
        <v>108137</v>
      </c>
      <c r="H642">
        <v>2022</v>
      </c>
      <c r="J642" s="1334" t="s">
        <v>475</v>
      </c>
      <c r="K642" s="1335" t="s">
        <v>475</v>
      </c>
      <c r="L642" s="180">
        <v>0</v>
      </c>
      <c r="M642" t="s">
        <v>7818</v>
      </c>
      <c r="N642" t="str">
        <f t="shared" si="38"/>
        <v>STEM II PARKING DECK (1134)</v>
      </c>
      <c r="O642" t="s">
        <v>52</v>
      </c>
      <c r="P642" t="str">
        <f t="shared" si="39"/>
        <v>18000_1134</v>
      </c>
      <c r="Q642" s="180">
        <v>100</v>
      </c>
    </row>
    <row r="643" spans="1:17">
      <c r="A643" t="str">
        <f t="shared" ref="A643:A706" si="40">_xlfn.CONCAT(D643,"_",E643)</f>
        <v>UGA_1139</v>
      </c>
      <c r="B643" t="str">
        <f t="shared" ref="B643:B706" si="41">_xlfn.CONCAT(D643,"_",F643)</f>
        <v>UGA_SOUTH CAMPUS PRKNG</v>
      </c>
      <c r="C643" t="s">
        <v>443</v>
      </c>
      <c r="D643" s="180" t="s">
        <v>51</v>
      </c>
      <c r="E643" t="s">
        <v>3699</v>
      </c>
      <c r="F643" t="s">
        <v>3700</v>
      </c>
      <c r="G643" s="180">
        <v>402272</v>
      </c>
      <c r="H643">
        <v>1986</v>
      </c>
      <c r="J643" s="1334" t="s">
        <v>475</v>
      </c>
      <c r="K643" s="1335" t="s">
        <v>475</v>
      </c>
      <c r="L643" s="180">
        <v>1</v>
      </c>
      <c r="M643" t="s">
        <v>7818</v>
      </c>
      <c r="N643" t="str">
        <f t="shared" ref="N643:N706" si="42">_xlfn.CONCAT(F643," (",E643,")")</f>
        <v>SOUTH CAMPUS PRKNG (1139)</v>
      </c>
      <c r="O643" t="s">
        <v>52</v>
      </c>
      <c r="P643" t="str">
        <f t="shared" ref="P643:P706" si="43">_xlfn.CONCAT(C643,"_",E643)</f>
        <v>18000_1139</v>
      </c>
      <c r="Q643" s="180">
        <v>100</v>
      </c>
    </row>
    <row r="644" spans="1:17">
      <c r="A644" t="str">
        <f t="shared" si="40"/>
        <v>UGA_1140</v>
      </c>
      <c r="B644" t="str">
        <f t="shared" si="41"/>
        <v>UGA_FOREST RESOURCES-2</v>
      </c>
      <c r="C644" t="s">
        <v>443</v>
      </c>
      <c r="D644" s="180" t="s">
        <v>51</v>
      </c>
      <c r="E644" t="s">
        <v>3342</v>
      </c>
      <c r="F644" t="s">
        <v>3343</v>
      </c>
      <c r="G644" s="180">
        <v>14900</v>
      </c>
      <c r="H644">
        <v>1968</v>
      </c>
      <c r="J644" s="1334" t="s">
        <v>475</v>
      </c>
      <c r="K644" s="1335" t="s">
        <v>486</v>
      </c>
      <c r="L644" s="180">
        <v>100</v>
      </c>
      <c r="M644" t="s">
        <v>7818</v>
      </c>
      <c r="N644" t="str">
        <f t="shared" si="42"/>
        <v>FOREST RESOURCES-2 (1140)</v>
      </c>
      <c r="O644" t="s">
        <v>52</v>
      </c>
      <c r="P644" t="str">
        <f t="shared" si="43"/>
        <v>18000_1140</v>
      </c>
      <c r="Q644" s="180">
        <v>100</v>
      </c>
    </row>
    <row r="645" spans="1:17">
      <c r="A645" t="str">
        <f t="shared" si="40"/>
        <v>UGA_1215</v>
      </c>
      <c r="B645" t="str">
        <f t="shared" si="41"/>
        <v>UGA_RUTHERFORD HALL</v>
      </c>
      <c r="C645" t="s">
        <v>443</v>
      </c>
      <c r="D645" s="180" t="s">
        <v>51</v>
      </c>
      <c r="E645" t="s">
        <v>2750</v>
      </c>
      <c r="F645" t="s">
        <v>2751</v>
      </c>
      <c r="G645" s="180">
        <v>92669</v>
      </c>
      <c r="H645">
        <v>2013</v>
      </c>
      <c r="J645" s="1334" t="s">
        <v>475</v>
      </c>
      <c r="K645" s="1335" t="s">
        <v>901</v>
      </c>
      <c r="L645" s="180">
        <v>0</v>
      </c>
      <c r="M645" t="s">
        <v>7818</v>
      </c>
      <c r="N645" t="str">
        <f t="shared" si="42"/>
        <v>RUTHERFORD HALL (1215)</v>
      </c>
      <c r="O645" t="s">
        <v>52</v>
      </c>
      <c r="P645" t="str">
        <f t="shared" si="43"/>
        <v>18000_1215</v>
      </c>
      <c r="Q645" s="180">
        <v>100</v>
      </c>
    </row>
    <row r="646" spans="1:17">
      <c r="A646" t="str">
        <f t="shared" si="40"/>
        <v>UGA_1220</v>
      </c>
      <c r="B646" t="str">
        <f t="shared" si="41"/>
        <v>UGA_SOULE HALL</v>
      </c>
      <c r="C646" t="s">
        <v>443</v>
      </c>
      <c r="D646" s="180" t="s">
        <v>51</v>
      </c>
      <c r="E646" t="s">
        <v>2337</v>
      </c>
      <c r="F646" t="s">
        <v>2338</v>
      </c>
      <c r="G646" s="180">
        <v>33025</v>
      </c>
      <c r="H646">
        <v>1920</v>
      </c>
      <c r="J646" s="1334" t="s">
        <v>475</v>
      </c>
      <c r="K646" s="1335" t="s">
        <v>475</v>
      </c>
      <c r="L646" s="180">
        <v>0</v>
      </c>
      <c r="M646" t="s">
        <v>7818</v>
      </c>
      <c r="N646" t="str">
        <f t="shared" si="42"/>
        <v>SOULE HALL (1220)</v>
      </c>
      <c r="O646" t="s">
        <v>52</v>
      </c>
      <c r="P646" t="str">
        <f t="shared" si="43"/>
        <v>18000_1220</v>
      </c>
      <c r="Q646" s="180">
        <v>100</v>
      </c>
    </row>
    <row r="647" spans="1:17">
      <c r="A647" t="str">
        <f t="shared" si="40"/>
        <v>UGA_1221</v>
      </c>
      <c r="B647" t="str">
        <f t="shared" si="41"/>
        <v>UGA_MARY LYNDON HALL</v>
      </c>
      <c r="C647" t="s">
        <v>443</v>
      </c>
      <c r="D647" s="180" t="s">
        <v>51</v>
      </c>
      <c r="E647" t="s">
        <v>2400</v>
      </c>
      <c r="F647" t="s">
        <v>2401</v>
      </c>
      <c r="G647" s="180">
        <v>47578</v>
      </c>
      <c r="H647">
        <v>1936</v>
      </c>
      <c r="J647" s="1334" t="s">
        <v>475</v>
      </c>
      <c r="K647" s="1335" t="s">
        <v>1520</v>
      </c>
      <c r="L647" s="180">
        <v>1</v>
      </c>
      <c r="M647" t="s">
        <v>7818</v>
      </c>
      <c r="N647" t="str">
        <f t="shared" si="42"/>
        <v>MARY LYNDON HALL (1221)</v>
      </c>
      <c r="O647" t="s">
        <v>52</v>
      </c>
      <c r="P647" t="str">
        <f t="shared" si="43"/>
        <v>18000_1221</v>
      </c>
      <c r="Q647" s="180">
        <v>50</v>
      </c>
    </row>
    <row r="648" spans="1:17">
      <c r="A648" t="str">
        <f t="shared" si="40"/>
        <v>UGA_1222</v>
      </c>
      <c r="B648" t="str">
        <f t="shared" si="41"/>
        <v>UGA_MYERS HALL</v>
      </c>
      <c r="C648" t="s">
        <v>443</v>
      </c>
      <c r="D648" s="180" t="s">
        <v>51</v>
      </c>
      <c r="E648" t="s">
        <v>1711</v>
      </c>
      <c r="F648" t="s">
        <v>1712</v>
      </c>
      <c r="G648" s="180">
        <v>125466</v>
      </c>
      <c r="H648">
        <v>1953</v>
      </c>
      <c r="J648" s="1334" t="s">
        <v>475</v>
      </c>
      <c r="K648" s="1335" t="s">
        <v>475</v>
      </c>
      <c r="L648" s="180">
        <v>3</v>
      </c>
      <c r="M648" t="s">
        <v>7818</v>
      </c>
      <c r="N648" t="str">
        <f t="shared" si="42"/>
        <v>MYERS HALL (1222)</v>
      </c>
      <c r="O648" t="s">
        <v>52</v>
      </c>
      <c r="P648" t="str">
        <f t="shared" si="43"/>
        <v>18000_1222</v>
      </c>
      <c r="Q648" s="180">
        <v>1</v>
      </c>
    </row>
    <row r="649" spans="1:17">
      <c r="A649" t="str">
        <f t="shared" si="40"/>
        <v>UGA_1246</v>
      </c>
      <c r="B649" t="str">
        <f t="shared" si="41"/>
        <v>UGA_FAMILY SCI CTR I</v>
      </c>
      <c r="C649" t="s">
        <v>443</v>
      </c>
      <c r="D649" s="180" t="s">
        <v>51</v>
      </c>
      <c r="E649" t="s">
        <v>4035</v>
      </c>
      <c r="F649" t="s">
        <v>4036</v>
      </c>
      <c r="G649" s="180">
        <v>3743</v>
      </c>
      <c r="H649">
        <v>1940</v>
      </c>
      <c r="J649" s="1334" t="s">
        <v>475</v>
      </c>
      <c r="K649" s="1335" t="s">
        <v>1520</v>
      </c>
      <c r="L649" s="180">
        <v>100</v>
      </c>
      <c r="M649" t="s">
        <v>7818</v>
      </c>
      <c r="N649" t="str">
        <f t="shared" si="42"/>
        <v>FAMILY SCI CTR I (1246)</v>
      </c>
      <c r="O649" t="s">
        <v>52</v>
      </c>
      <c r="P649" t="str">
        <f t="shared" si="43"/>
        <v>18000_1246</v>
      </c>
      <c r="Q649" s="180">
        <v>1</v>
      </c>
    </row>
    <row r="650" spans="1:17">
      <c r="A650" t="str">
        <f t="shared" si="40"/>
        <v>UGA_1247</v>
      </c>
      <c r="B650" t="str">
        <f t="shared" si="41"/>
        <v>UGA_C SCHWAB FINANCIAL PLNING CTR</v>
      </c>
      <c r="C650" t="s">
        <v>443</v>
      </c>
      <c r="D650" s="180" t="s">
        <v>51</v>
      </c>
      <c r="E650" t="s">
        <v>4456</v>
      </c>
      <c r="F650" t="s">
        <v>4457</v>
      </c>
      <c r="G650" s="180">
        <v>4625</v>
      </c>
      <c r="H650">
        <v>1940</v>
      </c>
      <c r="J650" s="1334" t="s">
        <v>475</v>
      </c>
      <c r="K650" s="1335" t="s">
        <v>1520</v>
      </c>
      <c r="L650" s="180">
        <v>100</v>
      </c>
      <c r="M650" t="s">
        <v>7818</v>
      </c>
      <c r="N650" t="str">
        <f t="shared" si="42"/>
        <v>C SCHWAB FINANCIAL PLNING CTR (1247)</v>
      </c>
      <c r="O650" t="s">
        <v>52</v>
      </c>
      <c r="P650" t="str">
        <f t="shared" si="43"/>
        <v>18000_1247</v>
      </c>
      <c r="Q650" s="180">
        <v>0</v>
      </c>
    </row>
    <row r="651" spans="1:17">
      <c r="A651" t="str">
        <f t="shared" si="40"/>
        <v>UGA_1248</v>
      </c>
      <c r="B651" t="str">
        <f t="shared" si="41"/>
        <v>UGA_HOUSING AND CONSUMER RSCH CNTR</v>
      </c>
      <c r="C651" t="s">
        <v>443</v>
      </c>
      <c r="D651" s="180" t="s">
        <v>51</v>
      </c>
      <c r="E651" t="s">
        <v>1935</v>
      </c>
      <c r="F651" t="s">
        <v>1936</v>
      </c>
      <c r="G651" s="180">
        <v>3692</v>
      </c>
      <c r="H651">
        <v>1940</v>
      </c>
      <c r="J651" s="1334" t="s">
        <v>475</v>
      </c>
      <c r="K651" s="1335" t="s">
        <v>1520</v>
      </c>
      <c r="L651" s="180">
        <v>100</v>
      </c>
      <c r="M651" t="s">
        <v>7818</v>
      </c>
      <c r="N651" t="str">
        <f t="shared" si="42"/>
        <v>HOUSING AND CONSUMER RSCH CNTR (1248)</v>
      </c>
      <c r="O651" t="s">
        <v>52</v>
      </c>
      <c r="P651" t="str">
        <f t="shared" si="43"/>
        <v>18000_1248</v>
      </c>
      <c r="Q651" s="180">
        <v>0</v>
      </c>
    </row>
    <row r="652" spans="1:17">
      <c r="A652" t="str">
        <f t="shared" si="40"/>
        <v>UGA_1249</v>
      </c>
      <c r="B652" t="str">
        <f t="shared" si="41"/>
        <v>UGA_FAMILY SCI CTR II</v>
      </c>
      <c r="C652" t="s">
        <v>443</v>
      </c>
      <c r="D652" s="180" t="s">
        <v>51</v>
      </c>
      <c r="E652" t="s">
        <v>4275</v>
      </c>
      <c r="F652" t="s">
        <v>4276</v>
      </c>
      <c r="G652" s="180">
        <v>3673</v>
      </c>
      <c r="H652">
        <v>1940</v>
      </c>
      <c r="J652" s="1334" t="s">
        <v>475</v>
      </c>
      <c r="K652" s="1335" t="s">
        <v>1520</v>
      </c>
      <c r="L652" s="180">
        <v>100</v>
      </c>
      <c r="M652" t="s">
        <v>7818</v>
      </c>
      <c r="N652" t="str">
        <f t="shared" si="42"/>
        <v>FAMILY SCI CTR II (1249)</v>
      </c>
      <c r="O652" t="s">
        <v>52</v>
      </c>
      <c r="P652" t="str">
        <f t="shared" si="43"/>
        <v>18000_1249</v>
      </c>
      <c r="Q652" s="180">
        <v>1</v>
      </c>
    </row>
    <row r="653" spans="1:17">
      <c r="A653" t="str">
        <f t="shared" si="40"/>
        <v>UGA_1250</v>
      </c>
      <c r="B653" t="str">
        <f t="shared" si="41"/>
        <v>UGA_TUCKER HALL</v>
      </c>
      <c r="C653" t="s">
        <v>443</v>
      </c>
      <c r="D653" s="180" t="s">
        <v>51</v>
      </c>
      <c r="E653" t="s">
        <v>2949</v>
      </c>
      <c r="F653" t="s">
        <v>2950</v>
      </c>
      <c r="G653" s="180">
        <v>36497</v>
      </c>
      <c r="H653">
        <v>1961</v>
      </c>
      <c r="J653" s="1334" t="s">
        <v>475</v>
      </c>
      <c r="K653" s="1335" t="s">
        <v>486</v>
      </c>
      <c r="L653" s="180">
        <v>100</v>
      </c>
      <c r="M653" t="s">
        <v>7818</v>
      </c>
      <c r="N653" t="str">
        <f t="shared" si="42"/>
        <v>TUCKER HALL (1250)</v>
      </c>
      <c r="O653" t="s">
        <v>52</v>
      </c>
      <c r="P653" t="str">
        <f t="shared" si="43"/>
        <v>18000_1250</v>
      </c>
      <c r="Q653" s="180">
        <v>1</v>
      </c>
    </row>
    <row r="654" spans="1:17">
      <c r="A654" t="str">
        <f t="shared" si="40"/>
        <v>UGA_1340</v>
      </c>
      <c r="B654" t="str">
        <f t="shared" si="41"/>
        <v>UGA_GREENHSE A NR PHAR</v>
      </c>
      <c r="C654" t="s">
        <v>443</v>
      </c>
      <c r="D654" s="180" t="s">
        <v>51</v>
      </c>
      <c r="E654" t="s">
        <v>3051</v>
      </c>
      <c r="F654" t="s">
        <v>3052</v>
      </c>
      <c r="G654" s="180">
        <v>10793</v>
      </c>
      <c r="H654">
        <v>1959</v>
      </c>
      <c r="J654" s="1334" t="s">
        <v>475</v>
      </c>
      <c r="K654" s="1335" t="s">
        <v>1520</v>
      </c>
      <c r="L654" s="180">
        <v>100</v>
      </c>
      <c r="M654" t="s">
        <v>7818</v>
      </c>
      <c r="N654" t="str">
        <f t="shared" si="42"/>
        <v>GREENHSE A NR PHAR (1340)</v>
      </c>
      <c r="O654" t="s">
        <v>52</v>
      </c>
      <c r="P654" t="str">
        <f t="shared" si="43"/>
        <v>18000_1340</v>
      </c>
      <c r="Q654" s="180">
        <v>10</v>
      </c>
    </row>
    <row r="655" spans="1:17">
      <c r="A655" t="str">
        <f t="shared" si="40"/>
        <v>UGA_1501</v>
      </c>
      <c r="B655" t="str">
        <f t="shared" si="41"/>
        <v>UGA_ANIMAL DAIRY SCI - RHODES CTR</v>
      </c>
      <c r="C655" t="s">
        <v>443</v>
      </c>
      <c r="D655" s="180" t="s">
        <v>51</v>
      </c>
      <c r="E655" t="s">
        <v>4345</v>
      </c>
      <c r="F655" t="s">
        <v>4346</v>
      </c>
      <c r="G655" s="180">
        <v>70488</v>
      </c>
      <c r="H655">
        <v>1998</v>
      </c>
      <c r="J655" s="1334" t="s">
        <v>475</v>
      </c>
      <c r="K655" s="1335" t="s">
        <v>475</v>
      </c>
      <c r="L655" s="180">
        <v>100</v>
      </c>
      <c r="M655" t="s">
        <v>7818</v>
      </c>
      <c r="N655" t="str">
        <f t="shared" si="42"/>
        <v>ANIMAL DAIRY SCI - RHODES CTR (1501)</v>
      </c>
      <c r="O655" t="s">
        <v>52</v>
      </c>
      <c r="P655" t="str">
        <f t="shared" si="43"/>
        <v>18000_1501</v>
      </c>
      <c r="Q655" s="180">
        <v>1</v>
      </c>
    </row>
    <row r="656" spans="1:17">
      <c r="A656" t="str">
        <f t="shared" si="40"/>
        <v>UGA_1502</v>
      </c>
      <c r="B656" t="str">
        <f t="shared" si="41"/>
        <v>UGA_RHODES CNTR ADS -C</v>
      </c>
      <c r="C656" t="s">
        <v>443</v>
      </c>
      <c r="D656" s="180" t="s">
        <v>51</v>
      </c>
      <c r="E656" t="s">
        <v>1722</v>
      </c>
      <c r="F656" t="s">
        <v>1723</v>
      </c>
      <c r="G656" s="180">
        <v>27754</v>
      </c>
      <c r="H656">
        <v>1998</v>
      </c>
      <c r="J656" s="1334" t="s">
        <v>475</v>
      </c>
      <c r="K656" s="1335" t="s">
        <v>475</v>
      </c>
      <c r="L656" s="180">
        <v>100</v>
      </c>
      <c r="M656" t="s">
        <v>7818</v>
      </c>
      <c r="N656" t="str">
        <f t="shared" si="42"/>
        <v>RHODES CNTR ADS -C (1502)</v>
      </c>
      <c r="O656" t="s">
        <v>52</v>
      </c>
      <c r="P656" t="str">
        <f t="shared" si="43"/>
        <v>18000_1502</v>
      </c>
      <c r="Q656" s="180">
        <v>1</v>
      </c>
    </row>
    <row r="657" spans="1:17">
      <c r="A657" t="str">
        <f t="shared" si="40"/>
        <v>UGA_1503</v>
      </c>
      <c r="B657" t="str">
        <f t="shared" si="41"/>
        <v>UGA_RHODES CNTR ADS -B</v>
      </c>
      <c r="C657" t="s">
        <v>443</v>
      </c>
      <c r="D657" s="180" t="s">
        <v>51</v>
      </c>
      <c r="E657" t="s">
        <v>1984</v>
      </c>
      <c r="F657" t="s">
        <v>1985</v>
      </c>
      <c r="G657" s="180">
        <v>45108</v>
      </c>
      <c r="H657">
        <v>1998</v>
      </c>
      <c r="J657" s="1334" t="s">
        <v>475</v>
      </c>
      <c r="K657" s="1335" t="s">
        <v>475</v>
      </c>
      <c r="L657" s="180">
        <v>100</v>
      </c>
      <c r="M657" t="s">
        <v>7818</v>
      </c>
      <c r="N657" t="str">
        <f t="shared" si="42"/>
        <v>RHODES CNTR ADS -B (1503)</v>
      </c>
      <c r="O657" t="s">
        <v>52</v>
      </c>
      <c r="P657" t="str">
        <f t="shared" si="43"/>
        <v>18000_1503</v>
      </c>
      <c r="Q657" s="180">
        <v>1</v>
      </c>
    </row>
    <row r="658" spans="1:17">
      <c r="A658" t="str">
        <f t="shared" si="40"/>
        <v>UGA_1504</v>
      </c>
      <c r="B658" t="str">
        <f t="shared" si="41"/>
        <v>UGA_LIVEST INS ARENA</v>
      </c>
      <c r="C658" t="s">
        <v>443</v>
      </c>
      <c r="D658" s="180" t="s">
        <v>51</v>
      </c>
      <c r="E658" t="s">
        <v>3885</v>
      </c>
      <c r="F658" t="s">
        <v>3886</v>
      </c>
      <c r="G658" s="180">
        <v>70707</v>
      </c>
      <c r="H658">
        <v>2001</v>
      </c>
      <c r="J658" s="1334" t="s">
        <v>475</v>
      </c>
      <c r="K658" s="1335" t="s">
        <v>475</v>
      </c>
      <c r="L658" s="180">
        <v>100</v>
      </c>
      <c r="M658" t="s">
        <v>7818</v>
      </c>
      <c r="N658" t="str">
        <f t="shared" si="42"/>
        <v>LIVEST INS ARENA (1504)</v>
      </c>
      <c r="O658" t="s">
        <v>52</v>
      </c>
      <c r="P658" t="str">
        <f t="shared" si="43"/>
        <v>18000_1504</v>
      </c>
      <c r="Q658" s="180">
        <v>1</v>
      </c>
    </row>
    <row r="659" spans="1:17">
      <c r="A659" t="str">
        <f t="shared" si="40"/>
        <v>UGA_1509</v>
      </c>
      <c r="B659" t="str">
        <f t="shared" si="41"/>
        <v>UGA_FACIL MGMT EAST</v>
      </c>
      <c r="C659" t="s">
        <v>443</v>
      </c>
      <c r="D659" s="180" t="s">
        <v>51</v>
      </c>
      <c r="E659" t="s">
        <v>1986</v>
      </c>
      <c r="F659" t="s">
        <v>1987</v>
      </c>
      <c r="G659" s="180">
        <v>8384</v>
      </c>
      <c r="H659">
        <v>2009</v>
      </c>
      <c r="J659" s="1334" t="s">
        <v>475</v>
      </c>
      <c r="K659" s="1335" t="s">
        <v>475</v>
      </c>
      <c r="L659" s="180">
        <v>100</v>
      </c>
      <c r="M659" t="s">
        <v>7818</v>
      </c>
      <c r="N659" t="str">
        <f t="shared" si="42"/>
        <v>FACIL MGMT EAST (1509)</v>
      </c>
      <c r="O659" t="s">
        <v>52</v>
      </c>
      <c r="P659" t="str">
        <f t="shared" si="43"/>
        <v>18000_1509</v>
      </c>
      <c r="Q659" s="180">
        <v>100</v>
      </c>
    </row>
    <row r="660" spans="1:17">
      <c r="A660" t="str">
        <f t="shared" si="40"/>
        <v>UGA_1510</v>
      </c>
      <c r="B660" t="str">
        <f t="shared" si="41"/>
        <v>UGA_EAST VILL PRKNG</v>
      </c>
      <c r="C660" t="s">
        <v>443</v>
      </c>
      <c r="D660" s="180" t="s">
        <v>51</v>
      </c>
      <c r="E660" t="s">
        <v>2402</v>
      </c>
      <c r="F660" t="s">
        <v>2403</v>
      </c>
      <c r="G660" s="180">
        <v>266847</v>
      </c>
      <c r="H660">
        <v>2002</v>
      </c>
      <c r="J660" s="1334" t="s">
        <v>475</v>
      </c>
      <c r="K660" s="1335" t="s">
        <v>475</v>
      </c>
      <c r="L660" s="180">
        <v>0</v>
      </c>
      <c r="M660" t="s">
        <v>7818</v>
      </c>
      <c r="N660" t="str">
        <f t="shared" si="42"/>
        <v>EAST VILL PRKNG (1510)</v>
      </c>
      <c r="O660" t="s">
        <v>52</v>
      </c>
      <c r="P660" t="str">
        <f t="shared" si="43"/>
        <v>18000_1510</v>
      </c>
      <c r="Q660" s="180">
        <v>100</v>
      </c>
    </row>
    <row r="661" spans="1:17">
      <c r="A661" t="str">
        <f t="shared" si="40"/>
        <v>UGA_1511</v>
      </c>
      <c r="B661" t="str">
        <f t="shared" si="41"/>
        <v>UGA_JOE FRANK HARRIS COMMONS</v>
      </c>
      <c r="C661" t="s">
        <v>443</v>
      </c>
      <c r="D661" s="180" t="s">
        <v>51</v>
      </c>
      <c r="E661" t="s">
        <v>2488</v>
      </c>
      <c r="F661" t="s">
        <v>2489</v>
      </c>
      <c r="G661" s="180">
        <v>58040</v>
      </c>
      <c r="H661">
        <v>2004</v>
      </c>
      <c r="J661" s="1334" t="s">
        <v>486</v>
      </c>
      <c r="K661" s="1335" t="s">
        <v>475</v>
      </c>
      <c r="L661" s="180">
        <v>0</v>
      </c>
      <c r="M661" t="s">
        <v>7818</v>
      </c>
      <c r="N661" t="str">
        <f t="shared" si="42"/>
        <v>JOE FRANK HARRIS COMMONS (1511)</v>
      </c>
      <c r="O661" t="s">
        <v>52</v>
      </c>
      <c r="P661" t="str">
        <f t="shared" si="43"/>
        <v>18000_1511</v>
      </c>
      <c r="Q661" s="180">
        <v>100</v>
      </c>
    </row>
    <row r="662" spans="1:17">
      <c r="A662" t="str">
        <f t="shared" si="40"/>
        <v>UGA_1512</v>
      </c>
      <c r="B662" t="str">
        <f t="shared" si="41"/>
        <v>UGA_GEO D BUSBEE HALL</v>
      </c>
      <c r="C662" t="s">
        <v>443</v>
      </c>
      <c r="D662" s="180" t="s">
        <v>51</v>
      </c>
      <c r="E662" t="s">
        <v>3515</v>
      </c>
      <c r="F662" t="s">
        <v>3516</v>
      </c>
      <c r="G662" s="180">
        <v>157160</v>
      </c>
      <c r="H662">
        <v>2004</v>
      </c>
      <c r="J662" s="1334" t="s">
        <v>486</v>
      </c>
      <c r="K662" s="1335" t="s">
        <v>475</v>
      </c>
      <c r="L662" s="180">
        <v>3</v>
      </c>
      <c r="M662" t="s">
        <v>7818</v>
      </c>
      <c r="N662" t="str">
        <f t="shared" si="42"/>
        <v>GEO D BUSBEE HALL (1512)</v>
      </c>
      <c r="O662" t="s">
        <v>52</v>
      </c>
      <c r="P662" t="str">
        <f t="shared" si="43"/>
        <v>18000_1512</v>
      </c>
      <c r="Q662" s="180">
        <v>100</v>
      </c>
    </row>
    <row r="663" spans="1:17">
      <c r="A663" t="str">
        <f t="shared" si="40"/>
        <v>UGA_1513</v>
      </c>
      <c r="B663" t="str">
        <f t="shared" si="41"/>
        <v>UGA_E V ROOKER HALL</v>
      </c>
      <c r="C663" t="s">
        <v>443</v>
      </c>
      <c r="D663" s="180" t="s">
        <v>51</v>
      </c>
      <c r="E663" t="s">
        <v>3367</v>
      </c>
      <c r="F663" t="s">
        <v>3368</v>
      </c>
      <c r="G663" s="180">
        <v>108906</v>
      </c>
      <c r="H663">
        <v>2004</v>
      </c>
      <c r="J663" s="1334" t="s">
        <v>486</v>
      </c>
      <c r="K663" s="1335" t="s">
        <v>475</v>
      </c>
      <c r="L663" s="180">
        <v>1</v>
      </c>
      <c r="M663" t="s">
        <v>7818</v>
      </c>
      <c r="N663" t="str">
        <f t="shared" si="42"/>
        <v>E V ROOKER HALL (1513)</v>
      </c>
      <c r="O663" t="s">
        <v>52</v>
      </c>
      <c r="P663" t="str">
        <f t="shared" si="43"/>
        <v>18000_1513</v>
      </c>
      <c r="Q663" s="180">
        <v>100</v>
      </c>
    </row>
    <row r="664" spans="1:17">
      <c r="A664" t="str">
        <f t="shared" si="40"/>
        <v>UGA_1514</v>
      </c>
      <c r="B664" t="str">
        <f t="shared" si="41"/>
        <v>UGA_E V VANDIVER HALL</v>
      </c>
      <c r="C664" t="s">
        <v>443</v>
      </c>
      <c r="D664" s="180" t="s">
        <v>51</v>
      </c>
      <c r="E664" t="s">
        <v>3887</v>
      </c>
      <c r="F664" t="s">
        <v>3888</v>
      </c>
      <c r="G664" s="180">
        <v>134734</v>
      </c>
      <c r="H664">
        <v>2004</v>
      </c>
      <c r="J664" s="1334" t="s">
        <v>486</v>
      </c>
      <c r="K664" s="1335" t="s">
        <v>475</v>
      </c>
      <c r="L664" s="180">
        <v>1</v>
      </c>
      <c r="M664" t="s">
        <v>7818</v>
      </c>
      <c r="N664" t="str">
        <f t="shared" si="42"/>
        <v>E V VANDIVER HALL (1514)</v>
      </c>
      <c r="O664" t="s">
        <v>52</v>
      </c>
      <c r="P664" t="str">
        <f t="shared" si="43"/>
        <v>18000_1514</v>
      </c>
      <c r="Q664" s="180">
        <v>100</v>
      </c>
    </row>
    <row r="665" spans="1:17">
      <c r="A665" t="str">
        <f t="shared" si="40"/>
        <v>UGA_1515</v>
      </c>
      <c r="B665" t="str">
        <f t="shared" si="41"/>
        <v>UGA_E V MCWHORTER HALL</v>
      </c>
      <c r="C665" t="s">
        <v>443</v>
      </c>
      <c r="D665" s="180" t="s">
        <v>51</v>
      </c>
      <c r="E665" t="s">
        <v>3258</v>
      </c>
      <c r="F665" t="s">
        <v>3259</v>
      </c>
      <c r="G665" s="180">
        <v>107370</v>
      </c>
      <c r="H665">
        <v>2004</v>
      </c>
      <c r="J665" s="1334" t="s">
        <v>486</v>
      </c>
      <c r="K665" s="1335" t="s">
        <v>475</v>
      </c>
      <c r="L665" s="180">
        <v>1</v>
      </c>
      <c r="M665" t="s">
        <v>7818</v>
      </c>
      <c r="N665" t="str">
        <f t="shared" si="42"/>
        <v>E V MCWHORTER HALL (1515)</v>
      </c>
      <c r="O665" t="s">
        <v>52</v>
      </c>
      <c r="P665" t="str">
        <f t="shared" si="43"/>
        <v>18000_1515</v>
      </c>
      <c r="Q665" s="180">
        <v>100</v>
      </c>
    </row>
    <row r="666" spans="1:17">
      <c r="A666" t="str">
        <f t="shared" si="40"/>
        <v>UGA_1516</v>
      </c>
      <c r="B666" t="str">
        <f t="shared" si="41"/>
        <v>UGA_EAST CAMPUS RES HL</v>
      </c>
      <c r="C666" t="s">
        <v>443</v>
      </c>
      <c r="D666" s="180" t="s">
        <v>51</v>
      </c>
      <c r="E666" t="s">
        <v>4366</v>
      </c>
      <c r="F666" t="s">
        <v>4367</v>
      </c>
      <c r="G666" s="180">
        <v>191103</v>
      </c>
      <c r="H666">
        <v>2010</v>
      </c>
      <c r="J666" s="1334" t="s">
        <v>486</v>
      </c>
      <c r="K666" s="1335" t="s">
        <v>901</v>
      </c>
      <c r="L666" s="180">
        <v>0</v>
      </c>
      <c r="M666" t="s">
        <v>7818</v>
      </c>
      <c r="N666" t="str">
        <f t="shared" si="42"/>
        <v>EAST CAMPUS RES HL (1516)</v>
      </c>
      <c r="O666" t="s">
        <v>52</v>
      </c>
      <c r="P666" t="str">
        <f t="shared" si="43"/>
        <v>18000_1516</v>
      </c>
      <c r="Q666" s="180">
        <v>0</v>
      </c>
    </row>
    <row r="667" spans="1:17">
      <c r="A667" t="str">
        <f t="shared" si="40"/>
        <v>UGA_1600</v>
      </c>
      <c r="B667" t="str">
        <f t="shared" si="41"/>
        <v>UGA_CHEMISTRY STORAGE</v>
      </c>
      <c r="C667" t="s">
        <v>443</v>
      </c>
      <c r="D667" s="180" t="s">
        <v>51</v>
      </c>
      <c r="E667" t="s">
        <v>1988</v>
      </c>
      <c r="F667" t="s">
        <v>1989</v>
      </c>
      <c r="G667" s="180">
        <v>694</v>
      </c>
      <c r="H667">
        <v>1962</v>
      </c>
      <c r="J667" s="1334" t="s">
        <v>475</v>
      </c>
      <c r="K667" s="1335" t="s">
        <v>486</v>
      </c>
      <c r="L667" s="180">
        <v>100</v>
      </c>
      <c r="M667" t="s">
        <v>7818</v>
      </c>
      <c r="N667" t="str">
        <f t="shared" si="42"/>
        <v>CHEMISTRY STORAGE (1600)</v>
      </c>
      <c r="O667" t="s">
        <v>52</v>
      </c>
      <c r="P667" t="str">
        <f t="shared" si="43"/>
        <v>18000_1600</v>
      </c>
      <c r="Q667" s="180">
        <v>100</v>
      </c>
    </row>
    <row r="668" spans="1:17">
      <c r="A668" t="str">
        <f t="shared" si="40"/>
        <v>UGA_1615</v>
      </c>
      <c r="B668" t="str">
        <f t="shared" si="41"/>
        <v>UGA_DIST ENGY #2 ANNEX</v>
      </c>
      <c r="C668" t="s">
        <v>443</v>
      </c>
      <c r="D668" s="180" t="s">
        <v>51</v>
      </c>
      <c r="E668" t="s">
        <v>1790</v>
      </c>
      <c r="F668" t="s">
        <v>1791</v>
      </c>
      <c r="G668" s="180">
        <v>7101</v>
      </c>
      <c r="H668">
        <v>2016</v>
      </c>
      <c r="J668" s="1334" t="s">
        <v>475</v>
      </c>
      <c r="K668" s="1335" t="s">
        <v>475</v>
      </c>
      <c r="L668" s="180">
        <v>100</v>
      </c>
      <c r="M668" t="s">
        <v>7818</v>
      </c>
      <c r="N668" t="str">
        <f t="shared" si="42"/>
        <v>DIST ENGY #2 ANNEX (1615)</v>
      </c>
      <c r="O668" t="s">
        <v>52</v>
      </c>
      <c r="P668" t="str">
        <f t="shared" si="43"/>
        <v>18000_1615</v>
      </c>
      <c r="Q668" s="180">
        <v>100</v>
      </c>
    </row>
    <row r="669" spans="1:17">
      <c r="A669" t="str">
        <f t="shared" si="40"/>
        <v>UGA_1616</v>
      </c>
      <c r="B669" t="str">
        <f t="shared" si="41"/>
        <v>UGA_FUEL OIL TRANS HSE</v>
      </c>
      <c r="C669" t="s">
        <v>443</v>
      </c>
      <c r="D669" s="180" t="s">
        <v>51</v>
      </c>
      <c r="E669" t="s">
        <v>4220</v>
      </c>
      <c r="F669" t="s">
        <v>4221</v>
      </c>
      <c r="G669" s="180">
        <v>72</v>
      </c>
      <c r="H669">
        <v>1997</v>
      </c>
      <c r="J669" s="1334" t="s">
        <v>475</v>
      </c>
      <c r="K669" s="1335" t="s">
        <v>475</v>
      </c>
      <c r="L669" s="180">
        <v>100</v>
      </c>
      <c r="M669" t="s">
        <v>7818</v>
      </c>
      <c r="N669" t="str">
        <f t="shared" si="42"/>
        <v>FUEL OIL TRANS HSE (1616)</v>
      </c>
      <c r="O669" t="s">
        <v>52</v>
      </c>
      <c r="P669" t="str">
        <f t="shared" si="43"/>
        <v>18000_1616</v>
      </c>
      <c r="Q669" s="180">
        <v>100</v>
      </c>
    </row>
    <row r="670" spans="1:17">
      <c r="A670" t="str">
        <f t="shared" si="40"/>
        <v>UGA_1617</v>
      </c>
      <c r="B670" t="str">
        <f t="shared" si="41"/>
        <v>UGA_DIST ENERGY PL #2</v>
      </c>
      <c r="C670" t="s">
        <v>443</v>
      </c>
      <c r="D670" s="180" t="s">
        <v>51</v>
      </c>
      <c r="E670" t="s">
        <v>2951</v>
      </c>
      <c r="F670" t="s">
        <v>2952</v>
      </c>
      <c r="G670" s="180">
        <v>2797</v>
      </c>
      <c r="H670">
        <v>1994</v>
      </c>
      <c r="J670" s="1334" t="s">
        <v>475</v>
      </c>
      <c r="K670" s="1335" t="s">
        <v>475</v>
      </c>
      <c r="L670" s="180">
        <v>100</v>
      </c>
      <c r="M670" t="s">
        <v>7818</v>
      </c>
      <c r="N670" t="str">
        <f t="shared" si="42"/>
        <v>DIST ENERGY PL #2 (1617)</v>
      </c>
      <c r="O670" t="s">
        <v>52</v>
      </c>
      <c r="P670" t="str">
        <f t="shared" si="43"/>
        <v>18000_1617</v>
      </c>
      <c r="Q670" s="180">
        <v>100</v>
      </c>
    </row>
    <row r="671" spans="1:17">
      <c r="A671" t="str">
        <f t="shared" si="40"/>
        <v>UGA_1618</v>
      </c>
      <c r="B671" t="str">
        <f t="shared" si="41"/>
        <v>UGA_CENT STEAM PLT BOILER HS 2</v>
      </c>
      <c r="C671" t="s">
        <v>443</v>
      </c>
      <c r="D671" s="180" t="s">
        <v>51</v>
      </c>
      <c r="E671" t="s">
        <v>3053</v>
      </c>
      <c r="F671" t="s">
        <v>3054</v>
      </c>
      <c r="G671" s="180">
        <v>8866</v>
      </c>
      <c r="H671">
        <v>1972</v>
      </c>
      <c r="J671" s="1334" t="s">
        <v>475</v>
      </c>
      <c r="K671" s="1335" t="s">
        <v>475</v>
      </c>
      <c r="L671" s="180">
        <v>100</v>
      </c>
      <c r="M671" t="s">
        <v>7818</v>
      </c>
      <c r="N671" t="str">
        <f t="shared" si="42"/>
        <v>CENT STEAM PLT BOILER HS 2 (1618)</v>
      </c>
      <c r="O671" t="s">
        <v>52</v>
      </c>
      <c r="P671" t="str">
        <f t="shared" si="43"/>
        <v>18000_1618</v>
      </c>
      <c r="Q671" s="180">
        <v>100</v>
      </c>
    </row>
    <row r="672" spans="1:17">
      <c r="A672" t="str">
        <f t="shared" si="40"/>
        <v>UGA_1619</v>
      </c>
      <c r="B672" t="str">
        <f t="shared" si="41"/>
        <v>UGA_FUEL OIL STORAGE</v>
      </c>
      <c r="C672" t="s">
        <v>443</v>
      </c>
      <c r="D672" s="180" t="s">
        <v>51</v>
      </c>
      <c r="E672" t="s">
        <v>1990</v>
      </c>
      <c r="F672" t="s">
        <v>1991</v>
      </c>
      <c r="G672" s="180">
        <v>252</v>
      </c>
      <c r="H672">
        <v>1948</v>
      </c>
      <c r="J672" s="1334" t="s">
        <v>475</v>
      </c>
      <c r="K672" s="1335" t="s">
        <v>475</v>
      </c>
      <c r="L672" s="180">
        <v>100</v>
      </c>
      <c r="M672" t="s">
        <v>7818</v>
      </c>
      <c r="N672" t="str">
        <f t="shared" si="42"/>
        <v>FUEL OIL STORAGE (1619)</v>
      </c>
      <c r="O672" t="s">
        <v>52</v>
      </c>
      <c r="P672" t="str">
        <f t="shared" si="43"/>
        <v>18000_1619</v>
      </c>
      <c r="Q672" s="180">
        <v>100</v>
      </c>
    </row>
    <row r="673" spans="1:17">
      <c r="A673" t="str">
        <f t="shared" si="40"/>
        <v>UGA_1620</v>
      </c>
      <c r="B673" t="str">
        <f t="shared" si="41"/>
        <v>UGA_CENTRAL STEAM PLT BOILER HS 1</v>
      </c>
      <c r="C673" t="s">
        <v>443</v>
      </c>
      <c r="D673" s="180" t="s">
        <v>51</v>
      </c>
      <c r="E673" t="s">
        <v>1627</v>
      </c>
      <c r="F673" t="s">
        <v>1628</v>
      </c>
      <c r="G673" s="180">
        <v>6859</v>
      </c>
      <c r="H673">
        <v>1948</v>
      </c>
      <c r="J673" s="1334" t="s">
        <v>475</v>
      </c>
      <c r="K673" s="1335" t="s">
        <v>481</v>
      </c>
      <c r="L673" s="180">
        <v>100</v>
      </c>
      <c r="M673" t="s">
        <v>7818</v>
      </c>
      <c r="N673" t="str">
        <f t="shared" si="42"/>
        <v>CENTRAL STEAM PLT BOILER HS 1 (1620)</v>
      </c>
      <c r="O673" t="s">
        <v>52</v>
      </c>
      <c r="P673" t="str">
        <f t="shared" si="43"/>
        <v>18000_1620</v>
      </c>
      <c r="Q673" s="180">
        <v>100</v>
      </c>
    </row>
    <row r="674" spans="1:17">
      <c r="A674" t="str">
        <f t="shared" si="40"/>
        <v>UGA_1621</v>
      </c>
      <c r="B674" t="str">
        <f t="shared" si="41"/>
        <v>UGA_MCBAY SCIENCE LIBRARY</v>
      </c>
      <c r="C674" t="s">
        <v>443</v>
      </c>
      <c r="D674" s="180" t="s">
        <v>51</v>
      </c>
      <c r="E674" t="s">
        <v>1568</v>
      </c>
      <c r="F674" t="s">
        <v>7126</v>
      </c>
      <c r="G674" s="180">
        <v>94800</v>
      </c>
      <c r="H674">
        <v>1968</v>
      </c>
      <c r="J674" s="1334" t="s">
        <v>475</v>
      </c>
      <c r="K674" s="1335" t="s">
        <v>486</v>
      </c>
      <c r="L674" s="180">
        <v>100</v>
      </c>
      <c r="M674" t="s">
        <v>7818</v>
      </c>
      <c r="N674" t="str">
        <f t="shared" si="42"/>
        <v>MCBAY SCIENCE LIBRARY (1621)</v>
      </c>
      <c r="O674" t="s">
        <v>52</v>
      </c>
      <c r="P674" t="str">
        <f t="shared" si="43"/>
        <v>18000_1621</v>
      </c>
      <c r="Q674" s="180">
        <v>100</v>
      </c>
    </row>
    <row r="675" spans="1:17">
      <c r="A675" t="str">
        <f t="shared" si="40"/>
        <v>UGA_1630</v>
      </c>
      <c r="B675" t="str">
        <f t="shared" si="41"/>
        <v>UGA_CEDAR STREET ART</v>
      </c>
      <c r="C675" t="s">
        <v>443</v>
      </c>
      <c r="D675" s="180" t="s">
        <v>51</v>
      </c>
      <c r="E675" t="s">
        <v>2496</v>
      </c>
      <c r="F675" t="s">
        <v>2497</v>
      </c>
      <c r="G675" s="180">
        <v>553</v>
      </c>
      <c r="H675">
        <v>1948</v>
      </c>
      <c r="J675" s="1334" t="s">
        <v>475</v>
      </c>
      <c r="K675" s="1335" t="s">
        <v>481</v>
      </c>
      <c r="L675" s="180">
        <v>100</v>
      </c>
      <c r="M675" t="s">
        <v>7818</v>
      </c>
      <c r="N675" t="str">
        <f t="shared" si="42"/>
        <v>CEDAR STREET ART (1630)</v>
      </c>
      <c r="O675" t="s">
        <v>52</v>
      </c>
      <c r="P675" t="str">
        <f t="shared" si="43"/>
        <v>18000_1630</v>
      </c>
      <c r="Q675" s="180">
        <v>60</v>
      </c>
    </row>
    <row r="676" spans="1:17">
      <c r="A676" t="str">
        <f t="shared" si="40"/>
        <v>UGA_1632</v>
      </c>
      <c r="B676" t="str">
        <f t="shared" si="41"/>
        <v>UGA_ECOLOGY CENTERS</v>
      </c>
      <c r="C676" t="s">
        <v>443</v>
      </c>
      <c r="D676" s="180" t="s">
        <v>51</v>
      </c>
      <c r="E676" t="s">
        <v>2528</v>
      </c>
      <c r="F676" t="s">
        <v>7127</v>
      </c>
      <c r="G676" s="180">
        <v>8983</v>
      </c>
      <c r="H676">
        <v>1948</v>
      </c>
      <c r="J676" s="1334" t="s">
        <v>475</v>
      </c>
      <c r="K676" s="1335" t="s">
        <v>1520</v>
      </c>
      <c r="L676" s="180">
        <v>100</v>
      </c>
      <c r="M676" t="s">
        <v>7818</v>
      </c>
      <c r="N676" t="str">
        <f t="shared" si="42"/>
        <v>ECOLOGY CENTERS (1632)</v>
      </c>
      <c r="O676" t="s">
        <v>52</v>
      </c>
      <c r="P676" t="str">
        <f t="shared" si="43"/>
        <v>18000_1632</v>
      </c>
      <c r="Q676" s="180">
        <v>100</v>
      </c>
    </row>
    <row r="677" spans="1:17">
      <c r="A677" t="str">
        <f t="shared" si="40"/>
        <v>UGA_1633</v>
      </c>
      <c r="B677" t="str">
        <f t="shared" si="41"/>
        <v>UGA_V T M CAR WASH</v>
      </c>
      <c r="C677" t="s">
        <v>443</v>
      </c>
      <c r="D677" s="180" t="s">
        <v>51</v>
      </c>
      <c r="E677" t="s">
        <v>3889</v>
      </c>
      <c r="F677" t="s">
        <v>3890</v>
      </c>
      <c r="G677" s="180">
        <v>1556</v>
      </c>
      <c r="H677">
        <v>1995</v>
      </c>
      <c r="J677" s="1334" t="s">
        <v>475</v>
      </c>
      <c r="K677" s="1335" t="s">
        <v>475</v>
      </c>
      <c r="L677" s="180">
        <v>100</v>
      </c>
      <c r="M677" t="s">
        <v>7818</v>
      </c>
      <c r="N677" t="str">
        <f t="shared" si="42"/>
        <v>V T M CAR WASH (1633)</v>
      </c>
      <c r="O677" t="s">
        <v>52</v>
      </c>
      <c r="P677" t="str">
        <f t="shared" si="43"/>
        <v>18000_1633</v>
      </c>
      <c r="Q677" s="180">
        <v>100</v>
      </c>
    </row>
    <row r="678" spans="1:17">
      <c r="A678" t="str">
        <f t="shared" si="40"/>
        <v>UGA_1634</v>
      </c>
      <c r="B678" t="str">
        <f t="shared" si="41"/>
        <v>UGA_AUTOMOTIVE CENTER</v>
      </c>
      <c r="C678" t="s">
        <v>443</v>
      </c>
      <c r="D678" s="180" t="s">
        <v>51</v>
      </c>
      <c r="E678" t="s">
        <v>2669</v>
      </c>
      <c r="F678" t="s">
        <v>2670</v>
      </c>
      <c r="G678" s="180">
        <v>19675</v>
      </c>
      <c r="H678">
        <v>1971</v>
      </c>
      <c r="J678" s="1334" t="s">
        <v>475</v>
      </c>
      <c r="K678" s="1335" t="s">
        <v>1520</v>
      </c>
      <c r="L678" s="180">
        <v>100</v>
      </c>
      <c r="M678" t="s">
        <v>7818</v>
      </c>
      <c r="N678" t="str">
        <f t="shared" si="42"/>
        <v>AUTOMOTIVE CENTER (1634)</v>
      </c>
      <c r="O678" t="s">
        <v>52</v>
      </c>
      <c r="P678" t="str">
        <f t="shared" si="43"/>
        <v>18000_1634</v>
      </c>
      <c r="Q678" s="180">
        <v>1</v>
      </c>
    </row>
    <row r="679" spans="1:17">
      <c r="A679" t="str">
        <f t="shared" si="40"/>
        <v>UGA_1635</v>
      </c>
      <c r="B679" t="str">
        <f t="shared" si="41"/>
        <v>UGA_AUTO CTR TIRE STG</v>
      </c>
      <c r="C679" t="s">
        <v>443</v>
      </c>
      <c r="D679" s="180" t="s">
        <v>51</v>
      </c>
      <c r="E679" t="s">
        <v>2195</v>
      </c>
      <c r="F679" t="s">
        <v>2196</v>
      </c>
      <c r="G679" s="180">
        <v>580</v>
      </c>
      <c r="H679">
        <v>1989</v>
      </c>
      <c r="J679" s="1334" t="s">
        <v>475</v>
      </c>
      <c r="K679" s="1335" t="s">
        <v>475</v>
      </c>
      <c r="L679" s="180">
        <v>100</v>
      </c>
      <c r="M679" t="s">
        <v>7818</v>
      </c>
      <c r="N679" t="str">
        <f t="shared" si="42"/>
        <v>AUTO CTR TIRE STG (1635)</v>
      </c>
      <c r="O679" t="s">
        <v>52</v>
      </c>
      <c r="P679" t="str">
        <f t="shared" si="43"/>
        <v>18000_1635</v>
      </c>
      <c r="Q679" s="180">
        <v>0</v>
      </c>
    </row>
    <row r="680" spans="1:17">
      <c r="A680" t="str">
        <f t="shared" si="40"/>
        <v>UGA_1637</v>
      </c>
      <c r="B680" t="str">
        <f t="shared" si="41"/>
        <v>UGA_CAMPUS TRANS FAC</v>
      </c>
      <c r="C680" t="s">
        <v>443</v>
      </c>
      <c r="D680" s="180" t="s">
        <v>51</v>
      </c>
      <c r="E680" t="s">
        <v>2591</v>
      </c>
      <c r="F680" t="s">
        <v>2592</v>
      </c>
      <c r="G680" s="180">
        <v>16907</v>
      </c>
      <c r="H680">
        <v>1994</v>
      </c>
      <c r="J680" s="1334" t="s">
        <v>475</v>
      </c>
      <c r="K680" s="1335" t="s">
        <v>475</v>
      </c>
      <c r="L680" s="180">
        <v>0</v>
      </c>
      <c r="M680" t="s">
        <v>7818</v>
      </c>
      <c r="N680" t="str">
        <f t="shared" si="42"/>
        <v>CAMPUS TRANS FAC (1637)</v>
      </c>
      <c r="O680" t="s">
        <v>52</v>
      </c>
      <c r="P680" t="str">
        <f t="shared" si="43"/>
        <v>18000_1637</v>
      </c>
      <c r="Q680" s="180">
        <v>100</v>
      </c>
    </row>
    <row r="681" spans="1:17">
      <c r="A681" t="str">
        <f t="shared" si="40"/>
        <v>UGA_1638</v>
      </c>
      <c r="B681" t="str">
        <f t="shared" si="41"/>
        <v>UGA_PRACTICE FLDS STRG</v>
      </c>
      <c r="C681" t="s">
        <v>443</v>
      </c>
      <c r="D681" s="180" t="s">
        <v>51</v>
      </c>
      <c r="E681" t="s">
        <v>4458</v>
      </c>
      <c r="F681" t="s">
        <v>4459</v>
      </c>
      <c r="G681" s="180">
        <v>2150</v>
      </c>
      <c r="H681">
        <v>2017</v>
      </c>
      <c r="J681" s="1334" t="s">
        <v>475</v>
      </c>
      <c r="K681" s="1335" t="s">
        <v>475</v>
      </c>
      <c r="L681" s="180">
        <v>0</v>
      </c>
      <c r="M681" t="s">
        <v>7818</v>
      </c>
      <c r="N681" t="str">
        <f t="shared" si="42"/>
        <v>PRACTICE FLDS STRG (1638)</v>
      </c>
      <c r="O681" t="s">
        <v>52</v>
      </c>
      <c r="P681" t="str">
        <f t="shared" si="43"/>
        <v>18000_1638</v>
      </c>
      <c r="Q681" s="180">
        <v>100</v>
      </c>
    </row>
    <row r="682" spans="1:17">
      <c r="A682" t="str">
        <f t="shared" si="40"/>
        <v>UGA_1639</v>
      </c>
      <c r="B682" t="str">
        <f t="shared" si="41"/>
        <v>UGA_LANDSCAPE STRG SHED</v>
      </c>
      <c r="C682" t="s">
        <v>443</v>
      </c>
      <c r="D682" s="180" t="s">
        <v>51</v>
      </c>
      <c r="E682" t="s">
        <v>2923</v>
      </c>
      <c r="F682" t="s">
        <v>2924</v>
      </c>
      <c r="G682" s="180">
        <v>308</v>
      </c>
      <c r="H682">
        <v>2016</v>
      </c>
      <c r="J682" s="1334" t="s">
        <v>475</v>
      </c>
      <c r="K682" s="1335" t="s">
        <v>475</v>
      </c>
      <c r="L682" s="180">
        <v>0</v>
      </c>
      <c r="M682" t="s">
        <v>7818</v>
      </c>
      <c r="N682" t="str">
        <f t="shared" si="42"/>
        <v>LANDSCAPE STRG SHED (1639)</v>
      </c>
      <c r="O682" t="s">
        <v>52</v>
      </c>
      <c r="P682" t="str">
        <f t="shared" si="43"/>
        <v>18000_1639</v>
      </c>
      <c r="Q682" s="180">
        <v>100</v>
      </c>
    </row>
    <row r="683" spans="1:17">
      <c r="A683" t="str">
        <f t="shared" si="40"/>
        <v>UGA_1640</v>
      </c>
      <c r="B683" t="str">
        <f t="shared" si="41"/>
        <v>UGA_GEORGIA CENTER C.E</v>
      </c>
      <c r="C683" t="s">
        <v>443</v>
      </c>
      <c r="D683" s="180" t="s">
        <v>51</v>
      </c>
      <c r="E683" t="s">
        <v>3780</v>
      </c>
      <c r="F683" t="s">
        <v>3781</v>
      </c>
      <c r="G683" s="180">
        <v>274139</v>
      </c>
      <c r="H683">
        <v>1956</v>
      </c>
      <c r="J683" s="1334" t="s">
        <v>475</v>
      </c>
      <c r="K683" s="1335" t="s">
        <v>475</v>
      </c>
      <c r="L683" s="180">
        <v>71</v>
      </c>
      <c r="M683" t="s">
        <v>7818</v>
      </c>
      <c r="N683" t="str">
        <f t="shared" si="42"/>
        <v>GEORGIA CENTER C.E (1640)</v>
      </c>
      <c r="O683" t="s">
        <v>52</v>
      </c>
      <c r="P683" t="str">
        <f t="shared" si="43"/>
        <v>18000_1640</v>
      </c>
      <c r="Q683" s="180">
        <v>100</v>
      </c>
    </row>
    <row r="684" spans="1:17">
      <c r="A684" t="str">
        <f t="shared" si="40"/>
        <v>UGA_1643</v>
      </c>
      <c r="B684" t="str">
        <f t="shared" si="41"/>
        <v>UGA_SNELLING HALL</v>
      </c>
      <c r="C684" t="s">
        <v>443</v>
      </c>
      <c r="D684" s="180" t="s">
        <v>51</v>
      </c>
      <c r="E684" t="s">
        <v>3207</v>
      </c>
      <c r="F684" t="s">
        <v>3208</v>
      </c>
      <c r="G684" s="180">
        <v>40041</v>
      </c>
      <c r="H684">
        <v>1940</v>
      </c>
      <c r="J684" s="1334" t="s">
        <v>475</v>
      </c>
      <c r="K684" s="1335" t="s">
        <v>1520</v>
      </c>
      <c r="L684" s="180">
        <v>0</v>
      </c>
      <c r="M684" t="s">
        <v>7818</v>
      </c>
      <c r="N684" t="str">
        <f t="shared" si="42"/>
        <v>SNELLING HALL (1643)</v>
      </c>
      <c r="O684" t="s">
        <v>52</v>
      </c>
      <c r="P684" t="str">
        <f t="shared" si="43"/>
        <v>18000_1643</v>
      </c>
      <c r="Q684" s="180">
        <v>100</v>
      </c>
    </row>
    <row r="685" spans="1:17">
      <c r="A685" t="str">
        <f t="shared" si="40"/>
        <v>UGA_1652</v>
      </c>
      <c r="B685" t="str">
        <f t="shared" si="41"/>
        <v>UGA_CHILD DEVEL. LAB</v>
      </c>
      <c r="C685" t="s">
        <v>443</v>
      </c>
      <c r="D685" s="180" t="s">
        <v>51</v>
      </c>
      <c r="E685" t="s">
        <v>4460</v>
      </c>
      <c r="F685" t="s">
        <v>4461</v>
      </c>
      <c r="G685" s="180">
        <v>22320</v>
      </c>
      <c r="H685">
        <v>1940</v>
      </c>
      <c r="J685" s="1334" t="s">
        <v>475</v>
      </c>
      <c r="K685" s="1335" t="s">
        <v>1520</v>
      </c>
      <c r="L685" s="180">
        <v>100</v>
      </c>
      <c r="M685" t="s">
        <v>7818</v>
      </c>
      <c r="N685" t="str">
        <f t="shared" si="42"/>
        <v>CHILD DEVEL. LAB (1652)</v>
      </c>
      <c r="O685" t="s">
        <v>52</v>
      </c>
      <c r="P685" t="str">
        <f t="shared" si="43"/>
        <v>18000_1652</v>
      </c>
      <c r="Q685" s="180">
        <v>0</v>
      </c>
    </row>
    <row r="686" spans="1:17">
      <c r="A686" t="str">
        <f t="shared" si="40"/>
        <v>UGA_1654</v>
      </c>
      <c r="B686" t="str">
        <f t="shared" si="41"/>
        <v>UGA_STEGEMAN COLISEUM</v>
      </c>
      <c r="C686" t="s">
        <v>443</v>
      </c>
      <c r="D686" s="180" t="s">
        <v>51</v>
      </c>
      <c r="E686" t="s">
        <v>1756</v>
      </c>
      <c r="F686" t="s">
        <v>1757</v>
      </c>
      <c r="G686" s="180">
        <v>245434</v>
      </c>
      <c r="H686">
        <v>1964</v>
      </c>
      <c r="J686" s="1334" t="s">
        <v>475</v>
      </c>
      <c r="K686" s="1335" t="s">
        <v>486</v>
      </c>
      <c r="L686" s="180">
        <v>69</v>
      </c>
      <c r="M686" t="s">
        <v>7818</v>
      </c>
      <c r="N686" t="str">
        <f t="shared" si="42"/>
        <v>STEGEMAN COLISEUM (1654)</v>
      </c>
      <c r="O686" t="s">
        <v>52</v>
      </c>
      <c r="P686" t="str">
        <f t="shared" si="43"/>
        <v>18000_1654</v>
      </c>
      <c r="Q686" s="180">
        <v>100</v>
      </c>
    </row>
    <row r="687" spans="1:17">
      <c r="A687" t="str">
        <f t="shared" si="40"/>
        <v>UGA_1656</v>
      </c>
      <c r="B687" t="str">
        <f t="shared" si="41"/>
        <v>UGA_COBB HOUSE</v>
      </c>
      <c r="C687" t="s">
        <v>443</v>
      </c>
      <c r="D687" s="180" t="s">
        <v>51</v>
      </c>
      <c r="E687" t="s">
        <v>3891</v>
      </c>
      <c r="F687" t="s">
        <v>3892</v>
      </c>
      <c r="G687" s="180">
        <v>2453</v>
      </c>
      <c r="H687">
        <v>1938</v>
      </c>
      <c r="J687" s="1334" t="s">
        <v>475</v>
      </c>
      <c r="K687" s="1335" t="s">
        <v>481</v>
      </c>
      <c r="L687" s="180">
        <v>100</v>
      </c>
      <c r="M687" t="s">
        <v>7818</v>
      </c>
      <c r="N687" t="str">
        <f t="shared" si="42"/>
        <v>COBB HOUSE (1656)</v>
      </c>
      <c r="O687" t="s">
        <v>52</v>
      </c>
      <c r="P687" t="str">
        <f t="shared" si="43"/>
        <v>18000_1656</v>
      </c>
      <c r="Q687" s="180">
        <v>1</v>
      </c>
    </row>
    <row r="688" spans="1:17">
      <c r="A688" t="str">
        <f t="shared" si="40"/>
        <v>UGA_1657</v>
      </c>
      <c r="B688" t="str">
        <f t="shared" si="41"/>
        <v>UGA_TREANOR HOUSE</v>
      </c>
      <c r="C688" t="s">
        <v>443</v>
      </c>
      <c r="D688" s="180" t="s">
        <v>51</v>
      </c>
      <c r="E688" t="s">
        <v>3299</v>
      </c>
      <c r="F688" t="s">
        <v>3300</v>
      </c>
      <c r="G688" s="180">
        <v>5703</v>
      </c>
      <c r="H688">
        <v>1850</v>
      </c>
      <c r="J688" s="1334" t="s">
        <v>475</v>
      </c>
      <c r="K688" s="1335" t="s">
        <v>475</v>
      </c>
      <c r="L688" s="180">
        <v>100</v>
      </c>
      <c r="M688" t="s">
        <v>7818</v>
      </c>
      <c r="N688" t="str">
        <f t="shared" si="42"/>
        <v>TREANOR HOUSE (1657)</v>
      </c>
      <c r="O688" t="s">
        <v>52</v>
      </c>
      <c r="P688" t="str">
        <f t="shared" si="43"/>
        <v>18000_1657</v>
      </c>
      <c r="Q688" s="180">
        <v>1</v>
      </c>
    </row>
    <row r="689" spans="1:17">
      <c r="A689" t="str">
        <f t="shared" si="40"/>
        <v>UGA_1665</v>
      </c>
      <c r="B689" t="str">
        <f t="shared" si="41"/>
        <v>UGA_ATH STG SHD 1 NCAA</v>
      </c>
      <c r="C689" t="s">
        <v>443</v>
      </c>
      <c r="D689" s="180" t="s">
        <v>51</v>
      </c>
      <c r="E689" t="s">
        <v>3126</v>
      </c>
      <c r="F689" t="s">
        <v>3127</v>
      </c>
      <c r="G689" s="180">
        <v>288</v>
      </c>
      <c r="H689">
        <v>1985</v>
      </c>
      <c r="J689" s="1334" t="s">
        <v>475</v>
      </c>
      <c r="K689" s="1335" t="s">
        <v>475</v>
      </c>
      <c r="L689" s="180">
        <v>0</v>
      </c>
      <c r="M689" t="s">
        <v>7818</v>
      </c>
      <c r="N689" t="str">
        <f t="shared" si="42"/>
        <v>ATH STG SHD 1 NCAA (1665)</v>
      </c>
      <c r="O689" t="s">
        <v>52</v>
      </c>
      <c r="P689" t="str">
        <f t="shared" si="43"/>
        <v>18000_1665</v>
      </c>
      <c r="Q689" s="180">
        <v>100</v>
      </c>
    </row>
    <row r="690" spans="1:17">
      <c r="A690" t="str">
        <f t="shared" si="40"/>
        <v>UGA_1667</v>
      </c>
      <c r="B690" t="str">
        <f t="shared" si="41"/>
        <v>UGA_TOWNS TRACK GRAND</v>
      </c>
      <c r="C690" t="s">
        <v>443</v>
      </c>
      <c r="D690" s="180" t="s">
        <v>51</v>
      </c>
      <c r="E690" t="s">
        <v>3622</v>
      </c>
      <c r="F690" t="s">
        <v>3623</v>
      </c>
      <c r="G690" s="180">
        <v>3906</v>
      </c>
      <c r="H690">
        <v>1988</v>
      </c>
      <c r="J690" s="1334" t="s">
        <v>475</v>
      </c>
      <c r="K690" s="1335" t="s">
        <v>475</v>
      </c>
      <c r="L690" s="180">
        <v>0</v>
      </c>
      <c r="M690" t="s">
        <v>7818</v>
      </c>
      <c r="N690" t="str">
        <f t="shared" si="42"/>
        <v>TOWNS TRACK GRAND (1667)</v>
      </c>
      <c r="O690" t="s">
        <v>52</v>
      </c>
      <c r="P690" t="str">
        <f t="shared" si="43"/>
        <v>18000_1667</v>
      </c>
      <c r="Q690" s="180">
        <v>100</v>
      </c>
    </row>
    <row r="691" spans="1:17">
      <c r="A691" t="str">
        <f t="shared" si="40"/>
        <v>UGA_1670</v>
      </c>
      <c r="B691" t="str">
        <f t="shared" si="41"/>
        <v>UGA_TENNIS HALL FAME</v>
      </c>
      <c r="C691" t="s">
        <v>443</v>
      </c>
      <c r="D691" s="180" t="s">
        <v>51</v>
      </c>
      <c r="E691" t="s">
        <v>3842</v>
      </c>
      <c r="F691" t="s">
        <v>3843</v>
      </c>
      <c r="G691" s="180">
        <v>4588</v>
      </c>
      <c r="H691">
        <v>1984</v>
      </c>
      <c r="J691" s="1334" t="s">
        <v>475</v>
      </c>
      <c r="K691" s="1335" t="s">
        <v>475</v>
      </c>
      <c r="L691" s="180">
        <v>0</v>
      </c>
      <c r="M691" t="s">
        <v>7818</v>
      </c>
      <c r="N691" t="str">
        <f t="shared" si="42"/>
        <v>TENNIS HALL FAME (1670)</v>
      </c>
      <c r="O691" t="s">
        <v>52</v>
      </c>
      <c r="P691" t="str">
        <f t="shared" si="43"/>
        <v>18000_1670</v>
      </c>
      <c r="Q691" s="180">
        <v>100</v>
      </c>
    </row>
    <row r="692" spans="1:17">
      <c r="A692" t="str">
        <f t="shared" si="40"/>
        <v>UGA_1671</v>
      </c>
      <c r="B692" t="str">
        <f t="shared" si="41"/>
        <v>UGA_BUTTS-MEHRE</v>
      </c>
      <c r="C692" t="s">
        <v>443</v>
      </c>
      <c r="D692" s="180" t="s">
        <v>51</v>
      </c>
      <c r="E692" t="s">
        <v>2671</v>
      </c>
      <c r="F692" t="s">
        <v>2672</v>
      </c>
      <c r="G692" s="180">
        <v>112955</v>
      </c>
      <c r="H692">
        <v>1987</v>
      </c>
      <c r="J692" s="1334" t="s">
        <v>475</v>
      </c>
      <c r="K692" s="1335" t="s">
        <v>475</v>
      </c>
      <c r="L692" s="180">
        <v>0</v>
      </c>
      <c r="M692" t="s">
        <v>7818</v>
      </c>
      <c r="N692" t="str">
        <f t="shared" si="42"/>
        <v>BUTTS-MEHRE (1671)</v>
      </c>
      <c r="O692" t="s">
        <v>52</v>
      </c>
      <c r="P692" t="str">
        <f t="shared" si="43"/>
        <v>18000_1671</v>
      </c>
      <c r="Q692" s="180">
        <v>0</v>
      </c>
    </row>
    <row r="693" spans="1:17">
      <c r="A693" t="str">
        <f t="shared" si="40"/>
        <v>UGA_1673</v>
      </c>
      <c r="B693" t="str">
        <f t="shared" si="41"/>
        <v>UGA_RANKIN ST ATH ACAD</v>
      </c>
      <c r="C693" t="s">
        <v>443</v>
      </c>
      <c r="D693" s="180" t="s">
        <v>51</v>
      </c>
      <c r="E693" t="s">
        <v>2953</v>
      </c>
      <c r="F693" t="s">
        <v>2954</v>
      </c>
      <c r="G693" s="180">
        <v>30496</v>
      </c>
      <c r="H693">
        <v>2002</v>
      </c>
      <c r="J693" s="1334" t="s">
        <v>475</v>
      </c>
      <c r="K693" s="1335" t="s">
        <v>475</v>
      </c>
      <c r="L693" s="180">
        <v>0</v>
      </c>
      <c r="M693" t="s">
        <v>7818</v>
      </c>
      <c r="N693" t="str">
        <f t="shared" si="42"/>
        <v>RANKIN ST ATH ACAD (1673)</v>
      </c>
      <c r="O693" t="s">
        <v>52</v>
      </c>
      <c r="P693" t="str">
        <f t="shared" si="43"/>
        <v>18000_1673</v>
      </c>
      <c r="Q693" s="180">
        <v>50</v>
      </c>
    </row>
    <row r="694" spans="1:17">
      <c r="A694" t="str">
        <f t="shared" si="40"/>
        <v>UGA_1674</v>
      </c>
      <c r="B694" t="str">
        <f t="shared" si="41"/>
        <v>UGA_PAYNE IAF</v>
      </c>
      <c r="C694" t="s">
        <v>443</v>
      </c>
      <c r="D694" s="180" t="s">
        <v>51</v>
      </c>
      <c r="E694" t="s">
        <v>1816</v>
      </c>
      <c r="F694" t="s">
        <v>1817</v>
      </c>
      <c r="G694" s="180">
        <v>116272</v>
      </c>
      <c r="H694">
        <v>2017</v>
      </c>
      <c r="J694" s="1334" t="s">
        <v>475</v>
      </c>
      <c r="K694" s="1335" t="s">
        <v>901</v>
      </c>
      <c r="L694" s="180">
        <v>0</v>
      </c>
      <c r="M694" t="s">
        <v>7818</v>
      </c>
      <c r="N694" t="str">
        <f t="shared" si="42"/>
        <v>PAYNE IAF (1674)</v>
      </c>
      <c r="O694" t="s">
        <v>52</v>
      </c>
      <c r="P694" t="str">
        <f t="shared" si="43"/>
        <v>18000_1674</v>
      </c>
      <c r="Q694" s="180">
        <v>44</v>
      </c>
    </row>
    <row r="695" spans="1:17">
      <c r="A695" t="str">
        <f t="shared" si="40"/>
        <v>UGA_1675</v>
      </c>
      <c r="B695" t="str">
        <f t="shared" si="41"/>
        <v>UGA_J.W. FANNING BLDG</v>
      </c>
      <c r="C695" t="s">
        <v>443</v>
      </c>
      <c r="D695" s="180" t="s">
        <v>51</v>
      </c>
      <c r="E695" t="s">
        <v>3260</v>
      </c>
      <c r="F695" t="s">
        <v>3261</v>
      </c>
      <c r="G695" s="180">
        <v>21954</v>
      </c>
      <c r="H695">
        <v>2002</v>
      </c>
      <c r="J695" s="1334" t="s">
        <v>475</v>
      </c>
      <c r="K695" s="1335" t="s">
        <v>475</v>
      </c>
      <c r="L695" s="180">
        <v>100</v>
      </c>
      <c r="M695" t="s">
        <v>7818</v>
      </c>
      <c r="N695" t="str">
        <f t="shared" si="42"/>
        <v>J.W. FANNING BLDG (1675)</v>
      </c>
      <c r="O695" t="s">
        <v>52</v>
      </c>
      <c r="P695" t="str">
        <f t="shared" si="43"/>
        <v>18000_1675</v>
      </c>
      <c r="Q695" s="180">
        <v>100</v>
      </c>
    </row>
    <row r="696" spans="1:17">
      <c r="A696" t="str">
        <f t="shared" si="40"/>
        <v>UGA_1678</v>
      </c>
      <c r="B696" t="str">
        <f t="shared" si="41"/>
        <v>UGA_WOMENS TENNIS CLUB</v>
      </c>
      <c r="C696" t="s">
        <v>443</v>
      </c>
      <c r="D696" s="180" t="s">
        <v>51</v>
      </c>
      <c r="E696" t="s">
        <v>1584</v>
      </c>
      <c r="F696" t="s">
        <v>1585</v>
      </c>
      <c r="G696" s="180">
        <v>7235</v>
      </c>
      <c r="H696">
        <v>2004</v>
      </c>
      <c r="J696" s="1334" t="s">
        <v>475</v>
      </c>
      <c r="K696" s="1335" t="s">
        <v>475</v>
      </c>
      <c r="L696" s="180">
        <v>0</v>
      </c>
      <c r="M696" t="s">
        <v>7818</v>
      </c>
      <c r="N696" t="str">
        <f t="shared" si="42"/>
        <v>WOMENS TENNIS CLUB (1678)</v>
      </c>
      <c r="O696" t="s">
        <v>52</v>
      </c>
      <c r="P696" t="str">
        <f t="shared" si="43"/>
        <v>18000_1678</v>
      </c>
      <c r="Q696" s="180">
        <v>100</v>
      </c>
    </row>
    <row r="697" spans="1:17">
      <c r="A697" t="str">
        <f t="shared" si="40"/>
        <v>UGA_1679</v>
      </c>
      <c r="B697" t="str">
        <f t="shared" si="41"/>
        <v>UGA_MENS TENNIS CLUBHS</v>
      </c>
      <c r="C697" t="s">
        <v>443</v>
      </c>
      <c r="D697" s="180" t="s">
        <v>51</v>
      </c>
      <c r="E697" t="s">
        <v>4141</v>
      </c>
      <c r="F697" t="s">
        <v>4142</v>
      </c>
      <c r="G697" s="180">
        <v>7305</v>
      </c>
      <c r="H697">
        <v>2004</v>
      </c>
      <c r="J697" s="1334" t="s">
        <v>475</v>
      </c>
      <c r="K697" s="1335" t="s">
        <v>475</v>
      </c>
      <c r="L697" s="180">
        <v>0</v>
      </c>
      <c r="M697" t="s">
        <v>7818</v>
      </c>
      <c r="N697" t="str">
        <f t="shared" si="42"/>
        <v>MENS TENNIS CLUBHS (1679)</v>
      </c>
      <c r="O697" t="s">
        <v>52</v>
      </c>
      <c r="P697" t="str">
        <f t="shared" si="43"/>
        <v>18000_1679</v>
      </c>
      <c r="Q697" s="180">
        <v>100</v>
      </c>
    </row>
    <row r="698" spans="1:17">
      <c r="A698" t="str">
        <f t="shared" si="40"/>
        <v>UGA_1680</v>
      </c>
      <c r="B698" t="str">
        <f t="shared" si="41"/>
        <v>UGA_VET MED - 5A</v>
      </c>
      <c r="C698" t="s">
        <v>443</v>
      </c>
      <c r="D698" s="180" t="s">
        <v>51</v>
      </c>
      <c r="E698" t="s">
        <v>2752</v>
      </c>
      <c r="F698" t="s">
        <v>2753</v>
      </c>
      <c r="G698" s="180">
        <v>397</v>
      </c>
      <c r="H698">
        <v>1953</v>
      </c>
      <c r="J698" s="1334" t="s">
        <v>475</v>
      </c>
      <c r="K698" s="1335" t="s">
        <v>481</v>
      </c>
      <c r="L698" s="180">
        <v>100</v>
      </c>
      <c r="M698" t="s">
        <v>7818</v>
      </c>
      <c r="N698" t="str">
        <f t="shared" si="42"/>
        <v>VET MED - 5A (1680)</v>
      </c>
      <c r="O698" t="s">
        <v>52</v>
      </c>
      <c r="P698" t="str">
        <f t="shared" si="43"/>
        <v>18000_1680</v>
      </c>
      <c r="Q698" s="180">
        <v>100</v>
      </c>
    </row>
    <row r="699" spans="1:17">
      <c r="A699" t="str">
        <f t="shared" si="40"/>
        <v>UGA_1682</v>
      </c>
      <c r="B699" t="str">
        <f t="shared" si="41"/>
        <v>UGA_VET MED - 5C</v>
      </c>
      <c r="C699" t="s">
        <v>443</v>
      </c>
      <c r="D699" s="180" t="s">
        <v>51</v>
      </c>
      <c r="E699" t="s">
        <v>4197</v>
      </c>
      <c r="F699" t="s">
        <v>4198</v>
      </c>
      <c r="G699" s="180">
        <v>1007</v>
      </c>
      <c r="H699">
        <v>1953</v>
      </c>
      <c r="J699" s="1334" t="s">
        <v>475</v>
      </c>
      <c r="K699" s="1335" t="s">
        <v>481</v>
      </c>
      <c r="L699" s="180">
        <v>100</v>
      </c>
      <c r="M699" t="s">
        <v>7818</v>
      </c>
      <c r="N699" t="str">
        <f t="shared" si="42"/>
        <v>VET MED - 5C (1682)</v>
      </c>
      <c r="O699" t="s">
        <v>52</v>
      </c>
      <c r="P699" t="str">
        <f t="shared" si="43"/>
        <v>18000_1682</v>
      </c>
      <c r="Q699" s="180">
        <v>100</v>
      </c>
    </row>
    <row r="700" spans="1:17">
      <c r="A700" t="str">
        <f t="shared" si="40"/>
        <v>UGA_1683</v>
      </c>
      <c r="B700" t="str">
        <f t="shared" si="41"/>
        <v>UGA_VET MED - 5D</v>
      </c>
      <c r="C700" t="s">
        <v>443</v>
      </c>
      <c r="D700" s="180" t="s">
        <v>51</v>
      </c>
      <c r="E700" t="s">
        <v>2529</v>
      </c>
      <c r="F700" t="s">
        <v>2530</v>
      </c>
      <c r="G700" s="180">
        <v>1557</v>
      </c>
      <c r="H700">
        <v>1953</v>
      </c>
      <c r="J700" s="1334" t="s">
        <v>475</v>
      </c>
      <c r="K700" s="1335" t="s">
        <v>481</v>
      </c>
      <c r="L700" s="180">
        <v>100</v>
      </c>
      <c r="M700" t="s">
        <v>7818</v>
      </c>
      <c r="N700" t="str">
        <f t="shared" si="42"/>
        <v>VET MED - 5D (1683)</v>
      </c>
      <c r="O700" t="s">
        <v>52</v>
      </c>
      <c r="P700" t="str">
        <f t="shared" si="43"/>
        <v>18000_1683</v>
      </c>
      <c r="Q700" s="180">
        <v>100</v>
      </c>
    </row>
    <row r="701" spans="1:17">
      <c r="A701" t="str">
        <f t="shared" si="40"/>
        <v>UGA_1685</v>
      </c>
      <c r="B701" t="str">
        <f t="shared" si="41"/>
        <v>UGA_FOLEY BASEBALL STA</v>
      </c>
      <c r="C701" t="s">
        <v>443</v>
      </c>
      <c r="D701" s="180" t="s">
        <v>51</v>
      </c>
      <c r="E701" t="s">
        <v>4008</v>
      </c>
      <c r="F701" t="s">
        <v>4009</v>
      </c>
      <c r="G701" s="180">
        <v>40429</v>
      </c>
      <c r="H701">
        <v>1990</v>
      </c>
      <c r="J701" s="1334" t="s">
        <v>475</v>
      </c>
      <c r="K701" s="1335" t="s">
        <v>475</v>
      </c>
      <c r="L701" s="180">
        <v>0</v>
      </c>
      <c r="M701" t="s">
        <v>7818</v>
      </c>
      <c r="N701" t="str">
        <f t="shared" si="42"/>
        <v>FOLEY BASEBALL STA (1685)</v>
      </c>
      <c r="O701" t="s">
        <v>52</v>
      </c>
      <c r="P701" t="str">
        <f t="shared" si="43"/>
        <v>18000_1685</v>
      </c>
      <c r="Q701" s="180">
        <v>100</v>
      </c>
    </row>
    <row r="702" spans="1:17">
      <c r="A702" t="str">
        <f t="shared" si="40"/>
        <v>UGA_1686</v>
      </c>
      <c r="B702" t="str">
        <f t="shared" si="41"/>
        <v>UGA_BASEBALL MAINT BL</v>
      </c>
      <c r="C702" t="s">
        <v>443</v>
      </c>
      <c r="D702" s="180" t="s">
        <v>51</v>
      </c>
      <c r="E702" t="s">
        <v>3439</v>
      </c>
      <c r="F702" t="s">
        <v>3440</v>
      </c>
      <c r="G702" s="180">
        <v>1470</v>
      </c>
      <c r="H702">
        <v>1992</v>
      </c>
      <c r="J702" s="1334" t="s">
        <v>475</v>
      </c>
      <c r="K702" s="1335" t="s">
        <v>475</v>
      </c>
      <c r="L702" s="180">
        <v>0</v>
      </c>
      <c r="M702" t="s">
        <v>7818</v>
      </c>
      <c r="N702" t="str">
        <f t="shared" si="42"/>
        <v>BASEBALL MAINT BL (1686)</v>
      </c>
      <c r="O702" t="s">
        <v>52</v>
      </c>
      <c r="P702" t="str">
        <f t="shared" si="43"/>
        <v>18000_1686</v>
      </c>
      <c r="Q702" s="180">
        <v>1</v>
      </c>
    </row>
    <row r="703" spans="1:17">
      <c r="A703" t="str">
        <f t="shared" si="40"/>
        <v>UGA_1687</v>
      </c>
      <c r="B703" t="str">
        <f t="shared" si="41"/>
        <v>UGA_COLISEUM TRAIN FAC</v>
      </c>
      <c r="C703" t="s">
        <v>443</v>
      </c>
      <c r="D703" s="180" t="s">
        <v>51</v>
      </c>
      <c r="E703" t="s">
        <v>3579</v>
      </c>
      <c r="F703" t="s">
        <v>3580</v>
      </c>
      <c r="G703" s="180">
        <v>133161</v>
      </c>
      <c r="H703">
        <v>2007</v>
      </c>
      <c r="J703" s="1334" t="s">
        <v>475</v>
      </c>
      <c r="K703" s="1335" t="s">
        <v>475</v>
      </c>
      <c r="L703" s="180">
        <v>0</v>
      </c>
      <c r="M703" t="s">
        <v>7818</v>
      </c>
      <c r="N703" t="str">
        <f t="shared" si="42"/>
        <v>COLISEUM TRAIN FAC (1687)</v>
      </c>
      <c r="O703" t="s">
        <v>52</v>
      </c>
      <c r="P703" t="str">
        <f t="shared" si="43"/>
        <v>18000_1687</v>
      </c>
      <c r="Q703" s="180">
        <v>1</v>
      </c>
    </row>
    <row r="704" spans="1:17">
      <c r="A704" t="str">
        <f t="shared" si="40"/>
        <v>UGA_1688</v>
      </c>
      <c r="B704" t="str">
        <f t="shared" si="41"/>
        <v>UGA_BUTTS-MEHRE HERITAGE HALL EXPA</v>
      </c>
      <c r="C704" t="s">
        <v>443</v>
      </c>
      <c r="D704" s="180" t="s">
        <v>51</v>
      </c>
      <c r="E704" t="s">
        <v>4416</v>
      </c>
      <c r="F704" t="s">
        <v>4417</v>
      </c>
      <c r="G704" s="180">
        <v>163414</v>
      </c>
      <c r="H704">
        <v>2021</v>
      </c>
      <c r="J704" s="1334" t="s">
        <v>475</v>
      </c>
      <c r="K704" s="1335" t="s">
        <v>920</v>
      </c>
      <c r="L704" s="180">
        <v>0</v>
      </c>
      <c r="M704" t="s">
        <v>7818</v>
      </c>
      <c r="N704" t="str">
        <f t="shared" si="42"/>
        <v>BUTTS-MEHRE HERITAGE HALL EXPA (1688)</v>
      </c>
      <c r="O704" t="s">
        <v>52</v>
      </c>
      <c r="P704" t="str">
        <f t="shared" si="43"/>
        <v>18000_1688</v>
      </c>
      <c r="Q704" s="180">
        <v>1</v>
      </c>
    </row>
    <row r="705" spans="1:17">
      <c r="A705" t="str">
        <f t="shared" si="40"/>
        <v>UGA_1690</v>
      </c>
      <c r="B705" t="str">
        <f t="shared" si="41"/>
        <v>UGA_RAMSEY STU CTR PA</v>
      </c>
      <c r="C705" t="s">
        <v>443</v>
      </c>
      <c r="D705" s="180" t="s">
        <v>51</v>
      </c>
      <c r="E705" t="s">
        <v>3151</v>
      </c>
      <c r="F705" t="s">
        <v>3152</v>
      </c>
      <c r="G705" s="180">
        <v>386288</v>
      </c>
      <c r="H705">
        <v>1995</v>
      </c>
      <c r="J705" s="1334" t="s">
        <v>475</v>
      </c>
      <c r="K705" s="1335" t="s">
        <v>475</v>
      </c>
      <c r="L705" s="180">
        <v>100</v>
      </c>
      <c r="M705" t="s">
        <v>7818</v>
      </c>
      <c r="N705" t="str">
        <f t="shared" si="42"/>
        <v>RAMSEY STU CTR PA (1690)</v>
      </c>
      <c r="O705" t="s">
        <v>52</v>
      </c>
      <c r="P705" t="str">
        <f t="shared" si="43"/>
        <v>18000_1690</v>
      </c>
      <c r="Q705" s="180">
        <v>1</v>
      </c>
    </row>
    <row r="706" spans="1:17">
      <c r="A706" t="str">
        <f t="shared" si="40"/>
        <v>UGA_1691</v>
      </c>
      <c r="B706" t="str">
        <f t="shared" si="41"/>
        <v>UGA_MUSIC BUILDING</v>
      </c>
      <c r="C706" t="s">
        <v>443</v>
      </c>
      <c r="D706" s="180" t="s">
        <v>51</v>
      </c>
      <c r="E706" t="s">
        <v>2531</v>
      </c>
      <c r="F706" t="s">
        <v>2532</v>
      </c>
      <c r="G706" s="180">
        <v>104502</v>
      </c>
      <c r="H706">
        <v>1995</v>
      </c>
      <c r="J706" s="1334" t="s">
        <v>475</v>
      </c>
      <c r="K706" s="1335" t="s">
        <v>475</v>
      </c>
      <c r="L706" s="180">
        <v>100</v>
      </c>
      <c r="M706" t="s">
        <v>7818</v>
      </c>
      <c r="N706" t="str">
        <f t="shared" si="42"/>
        <v>MUSIC BUILDING (1691)</v>
      </c>
      <c r="O706" t="s">
        <v>52</v>
      </c>
      <c r="P706" t="str">
        <f t="shared" si="43"/>
        <v>18000_1691</v>
      </c>
      <c r="Q706" s="180">
        <v>1</v>
      </c>
    </row>
    <row r="707" spans="1:17">
      <c r="A707" t="str">
        <f t="shared" ref="A707:A770" si="44">_xlfn.CONCAT(D707,"_",E707)</f>
        <v>UGA_1692</v>
      </c>
      <c r="B707" t="str">
        <f t="shared" ref="B707:B770" si="45">_xlfn.CONCAT(D707,"_",F707)</f>
        <v>UGA_PERFORMNG ARTS CTR</v>
      </c>
      <c r="C707" t="s">
        <v>443</v>
      </c>
      <c r="D707" s="180" t="s">
        <v>51</v>
      </c>
      <c r="E707" t="s">
        <v>3055</v>
      </c>
      <c r="F707" t="s">
        <v>3056</v>
      </c>
      <c r="G707" s="180">
        <v>51203</v>
      </c>
      <c r="H707">
        <v>1995</v>
      </c>
      <c r="J707" s="1334" t="s">
        <v>475</v>
      </c>
      <c r="K707" s="1335" t="s">
        <v>475</v>
      </c>
      <c r="L707" s="180">
        <v>100</v>
      </c>
      <c r="M707" t="s">
        <v>7818</v>
      </c>
      <c r="N707" t="str">
        <f t="shared" ref="N707:N770" si="46">_xlfn.CONCAT(F707," (",E707,")")</f>
        <v>PERFORMNG ARTS CTR (1692)</v>
      </c>
      <c r="O707" t="s">
        <v>52</v>
      </c>
      <c r="P707" t="str">
        <f t="shared" ref="P707:P770" si="47">_xlfn.CONCAT(C707,"_",E707)</f>
        <v>18000_1692</v>
      </c>
      <c r="Q707" s="180">
        <v>100</v>
      </c>
    </row>
    <row r="708" spans="1:17">
      <c r="A708" t="str">
        <f t="shared" si="44"/>
        <v>UGA_1693</v>
      </c>
      <c r="B708" t="str">
        <f t="shared" si="45"/>
        <v>UGA_GA MUS OF ART PVAC</v>
      </c>
      <c r="C708" t="s">
        <v>443</v>
      </c>
      <c r="D708" s="180" t="s">
        <v>51</v>
      </c>
      <c r="E708" t="s">
        <v>4037</v>
      </c>
      <c r="F708" t="s">
        <v>4038</v>
      </c>
      <c r="G708" s="180">
        <v>98282</v>
      </c>
      <c r="H708">
        <v>1995</v>
      </c>
      <c r="J708" s="1334" t="s">
        <v>475</v>
      </c>
      <c r="K708" s="1335" t="s">
        <v>475</v>
      </c>
      <c r="L708" s="180">
        <v>100</v>
      </c>
      <c r="M708" t="s">
        <v>7818</v>
      </c>
      <c r="N708" t="str">
        <f t="shared" si="46"/>
        <v>GA MUS OF ART PVAC (1693)</v>
      </c>
      <c r="O708" t="s">
        <v>52</v>
      </c>
      <c r="P708" t="str">
        <f t="shared" si="47"/>
        <v>18000_1693</v>
      </c>
      <c r="Q708" s="180">
        <v>100</v>
      </c>
    </row>
    <row r="709" spans="1:17">
      <c r="A709" t="str">
        <f t="shared" si="44"/>
        <v>UGA_1694</v>
      </c>
      <c r="B709" t="str">
        <f t="shared" si="45"/>
        <v>UGA_MAIN ART BUILDING</v>
      </c>
      <c r="C709" t="s">
        <v>443</v>
      </c>
      <c r="D709" s="180" t="s">
        <v>51</v>
      </c>
      <c r="E709" t="s">
        <v>3369</v>
      </c>
      <c r="F709" t="s">
        <v>3370</v>
      </c>
      <c r="G709" s="180">
        <v>214611</v>
      </c>
      <c r="H709">
        <v>2006</v>
      </c>
      <c r="J709" s="1334" t="s">
        <v>475</v>
      </c>
      <c r="K709" s="1335" t="s">
        <v>475</v>
      </c>
      <c r="L709" s="180">
        <v>100</v>
      </c>
      <c r="M709" t="s">
        <v>7818</v>
      </c>
      <c r="N709" t="str">
        <f t="shared" si="46"/>
        <v>MAIN ART BUILDING (1694)</v>
      </c>
      <c r="O709" t="s">
        <v>52</v>
      </c>
      <c r="P709" t="str">
        <f t="shared" si="47"/>
        <v>18000_1694</v>
      </c>
      <c r="Q709" s="180">
        <v>0</v>
      </c>
    </row>
    <row r="710" spans="1:17">
      <c r="A710" t="str">
        <f t="shared" si="44"/>
        <v>UGA_1698</v>
      </c>
      <c r="B710" t="str">
        <f t="shared" si="45"/>
        <v>UGA_EAST CAMPUS PARKING DECK</v>
      </c>
      <c r="C710" t="s">
        <v>443</v>
      </c>
      <c r="D710" s="180" t="s">
        <v>51</v>
      </c>
      <c r="E710" t="s">
        <v>3153</v>
      </c>
      <c r="F710" t="s">
        <v>7165</v>
      </c>
      <c r="G710" s="180">
        <v>407028</v>
      </c>
      <c r="H710">
        <v>1995</v>
      </c>
      <c r="J710" s="1334" t="s">
        <v>486</v>
      </c>
      <c r="K710" s="1335" t="s">
        <v>475</v>
      </c>
      <c r="L710" s="180">
        <v>1</v>
      </c>
      <c r="M710" t="s">
        <v>7818</v>
      </c>
      <c r="N710" t="str">
        <f t="shared" si="46"/>
        <v>EAST CAMPUS PARKING DECK (1698)</v>
      </c>
      <c r="O710" t="s">
        <v>52</v>
      </c>
      <c r="P710" t="str">
        <f t="shared" si="47"/>
        <v>18000_1698</v>
      </c>
      <c r="Q710" s="180">
        <v>97</v>
      </c>
    </row>
    <row r="711" spans="1:17">
      <c r="A711" t="str">
        <f t="shared" si="44"/>
        <v>UGA_1699</v>
      </c>
      <c r="B711" t="str">
        <f t="shared" si="45"/>
        <v>UGA_PRF ARTS PRKING DK</v>
      </c>
      <c r="C711" t="s">
        <v>443</v>
      </c>
      <c r="D711" s="180" t="s">
        <v>51</v>
      </c>
      <c r="E711" t="s">
        <v>4418</v>
      </c>
      <c r="F711" t="s">
        <v>4419</v>
      </c>
      <c r="G711" s="180">
        <v>153892</v>
      </c>
      <c r="H711">
        <v>2009</v>
      </c>
      <c r="J711" s="1334" t="s">
        <v>486</v>
      </c>
      <c r="K711" s="1335" t="s">
        <v>475</v>
      </c>
      <c r="L711" s="180">
        <v>0</v>
      </c>
      <c r="M711" t="s">
        <v>7818</v>
      </c>
      <c r="N711" t="str">
        <f t="shared" si="46"/>
        <v>PRF ARTS PRKING DK (1699)</v>
      </c>
      <c r="O711" t="s">
        <v>52</v>
      </c>
      <c r="P711" t="str">
        <f t="shared" si="47"/>
        <v>18000_1699</v>
      </c>
      <c r="Q711" s="180">
        <v>100</v>
      </c>
    </row>
    <row r="712" spans="1:17">
      <c r="A712" t="str">
        <f t="shared" si="44"/>
        <v>UGA_1701</v>
      </c>
      <c r="B712" t="str">
        <f t="shared" si="45"/>
        <v>UGA_UGA HEALTH CNTR</v>
      </c>
      <c r="C712" t="s">
        <v>443</v>
      </c>
      <c r="D712" s="180" t="s">
        <v>51</v>
      </c>
      <c r="E712" t="s">
        <v>4199</v>
      </c>
      <c r="F712" t="s">
        <v>4200</v>
      </c>
      <c r="G712" s="180">
        <v>112198</v>
      </c>
      <c r="H712">
        <v>1998</v>
      </c>
      <c r="J712" s="1334" t="s">
        <v>475</v>
      </c>
      <c r="K712" s="1335" t="s">
        <v>475</v>
      </c>
      <c r="L712" s="180">
        <v>0</v>
      </c>
      <c r="M712" t="s">
        <v>7818</v>
      </c>
      <c r="N712" t="str">
        <f t="shared" si="46"/>
        <v>UGA HEALTH CNTR (1701)</v>
      </c>
      <c r="O712" t="s">
        <v>52</v>
      </c>
      <c r="P712" t="str">
        <f t="shared" si="47"/>
        <v>18000_1701</v>
      </c>
      <c r="Q712" s="180">
        <v>100</v>
      </c>
    </row>
    <row r="713" spans="1:17">
      <c r="A713" t="str">
        <f t="shared" si="44"/>
        <v>UGA_1743</v>
      </c>
      <c r="B713" t="str">
        <f t="shared" si="45"/>
        <v>UGA_WOODRUFF FLD TWR 1</v>
      </c>
      <c r="C713" t="s">
        <v>443</v>
      </c>
      <c r="D713" s="180" t="s">
        <v>51</v>
      </c>
      <c r="E713" t="s">
        <v>2533</v>
      </c>
      <c r="F713" t="s">
        <v>2534</v>
      </c>
      <c r="G713" s="180">
        <v>36</v>
      </c>
      <c r="H713">
        <v>2014</v>
      </c>
      <c r="J713" s="1334" t="s">
        <v>475</v>
      </c>
      <c r="K713" s="1335" t="s">
        <v>475</v>
      </c>
      <c r="L713" s="180">
        <v>0</v>
      </c>
      <c r="M713" t="s">
        <v>7818</v>
      </c>
      <c r="N713" t="str">
        <f t="shared" si="46"/>
        <v>WOODRUFF FLD TWR 1 (1743)</v>
      </c>
      <c r="O713" t="s">
        <v>52</v>
      </c>
      <c r="P713" t="str">
        <f t="shared" si="47"/>
        <v>18000_1743</v>
      </c>
      <c r="Q713" s="180">
        <v>0</v>
      </c>
    </row>
    <row r="714" spans="1:17">
      <c r="A714" t="str">
        <f t="shared" si="44"/>
        <v>UGA_1744</v>
      </c>
      <c r="B714" t="str">
        <f t="shared" si="45"/>
        <v>UGA_WOODRUFF FLD TWR 2</v>
      </c>
      <c r="C714" t="s">
        <v>443</v>
      </c>
      <c r="D714" s="180" t="s">
        <v>51</v>
      </c>
      <c r="E714" t="s">
        <v>2981</v>
      </c>
      <c r="F714" t="s">
        <v>2982</v>
      </c>
      <c r="G714" s="180">
        <v>36</v>
      </c>
      <c r="H714">
        <v>2014</v>
      </c>
      <c r="J714" s="1334" t="s">
        <v>475</v>
      </c>
      <c r="K714" s="1335" t="s">
        <v>475</v>
      </c>
      <c r="L714" s="180">
        <v>0</v>
      </c>
      <c r="M714" t="s">
        <v>7818</v>
      </c>
      <c r="N714" t="str">
        <f t="shared" si="46"/>
        <v>WOODRUFF FLD TWR 2 (1744)</v>
      </c>
      <c r="O714" t="s">
        <v>52</v>
      </c>
      <c r="P714" t="str">
        <f t="shared" si="47"/>
        <v>18000_1744</v>
      </c>
      <c r="Q714" s="180">
        <v>1</v>
      </c>
    </row>
    <row r="715" spans="1:17">
      <c r="A715" t="str">
        <f t="shared" si="44"/>
        <v>UGA_1745</v>
      </c>
      <c r="B715" t="str">
        <f t="shared" si="45"/>
        <v>UGA_WOODRUFF FLD TWR 3</v>
      </c>
      <c r="C715" t="s">
        <v>443</v>
      </c>
      <c r="D715" s="180" t="s">
        <v>51</v>
      </c>
      <c r="E715" t="s">
        <v>2352</v>
      </c>
      <c r="F715" t="s">
        <v>2353</v>
      </c>
      <c r="G715" s="180">
        <v>36</v>
      </c>
      <c r="H715">
        <v>2014</v>
      </c>
      <c r="J715" s="1334" t="s">
        <v>475</v>
      </c>
      <c r="K715" s="1335" t="s">
        <v>475</v>
      </c>
      <c r="L715" s="180">
        <v>0</v>
      </c>
      <c r="M715" t="s">
        <v>7818</v>
      </c>
      <c r="N715" t="str">
        <f t="shared" si="46"/>
        <v>WOODRUFF FLD TWR 3 (1745)</v>
      </c>
      <c r="O715" t="s">
        <v>52</v>
      </c>
      <c r="P715" t="str">
        <f t="shared" si="47"/>
        <v>18000_1745</v>
      </c>
      <c r="Q715" s="180">
        <v>1</v>
      </c>
    </row>
    <row r="716" spans="1:17">
      <c r="A716" t="str">
        <f t="shared" si="44"/>
        <v>UGA_1746</v>
      </c>
      <c r="B716" t="str">
        <f t="shared" si="45"/>
        <v>UGA_ADS HAY BARN</v>
      </c>
      <c r="C716" t="s">
        <v>443</v>
      </c>
      <c r="D716" s="180" t="s">
        <v>51</v>
      </c>
      <c r="E716" t="s">
        <v>4039</v>
      </c>
      <c r="F716" t="s">
        <v>4040</v>
      </c>
      <c r="G716" s="180">
        <v>6000</v>
      </c>
      <c r="H716">
        <v>2018</v>
      </c>
      <c r="J716" s="1334" t="s">
        <v>475</v>
      </c>
      <c r="K716" s="1335" t="s">
        <v>901</v>
      </c>
      <c r="L716" s="180">
        <v>0</v>
      </c>
      <c r="M716" t="s">
        <v>7818</v>
      </c>
      <c r="N716" t="str">
        <f t="shared" si="46"/>
        <v>ADS HAY BARN (1746)</v>
      </c>
      <c r="O716" t="s">
        <v>52</v>
      </c>
      <c r="P716" t="str">
        <f t="shared" si="47"/>
        <v>18000_1746</v>
      </c>
      <c r="Q716" s="180">
        <v>7</v>
      </c>
    </row>
    <row r="717" spans="1:17">
      <c r="A717" t="str">
        <f t="shared" si="44"/>
        <v>UGA_1802</v>
      </c>
      <c r="B717" t="str">
        <f t="shared" si="45"/>
        <v>UGA_JACK TURNER STADIUM</v>
      </c>
      <c r="C717" t="s">
        <v>443</v>
      </c>
      <c r="D717" s="180" t="s">
        <v>51</v>
      </c>
      <c r="E717" t="s">
        <v>2809</v>
      </c>
      <c r="F717" t="s">
        <v>2810</v>
      </c>
      <c r="G717" s="180">
        <v>30171</v>
      </c>
      <c r="H717">
        <v>1998</v>
      </c>
      <c r="J717" s="1334" t="s">
        <v>475</v>
      </c>
      <c r="K717" s="1335" t="s">
        <v>475</v>
      </c>
      <c r="L717" s="180">
        <v>0</v>
      </c>
      <c r="M717" t="s">
        <v>7818</v>
      </c>
      <c r="N717" t="str">
        <f t="shared" si="46"/>
        <v>JACK TURNER STADIUM (1802)</v>
      </c>
      <c r="O717" t="s">
        <v>52</v>
      </c>
      <c r="P717" t="str">
        <f t="shared" si="47"/>
        <v>18000_1802</v>
      </c>
      <c r="Q717" s="180">
        <v>1</v>
      </c>
    </row>
    <row r="718" spans="1:17">
      <c r="A718" t="str">
        <f t="shared" si="44"/>
        <v>UGA_1803</v>
      </c>
      <c r="B718" t="str">
        <f t="shared" si="45"/>
        <v>UGA_SOCCER STADIUM</v>
      </c>
      <c r="C718" t="s">
        <v>443</v>
      </c>
      <c r="D718" s="180" t="s">
        <v>51</v>
      </c>
      <c r="E718" t="s">
        <v>3701</v>
      </c>
      <c r="F718" t="s">
        <v>3702</v>
      </c>
      <c r="G718" s="180">
        <v>25204</v>
      </c>
      <c r="H718">
        <v>1998</v>
      </c>
      <c r="J718" s="1334" t="s">
        <v>475</v>
      </c>
      <c r="K718" s="1335" t="s">
        <v>475</v>
      </c>
      <c r="L718" s="180">
        <v>0</v>
      </c>
      <c r="M718" t="s">
        <v>7818</v>
      </c>
      <c r="N718" t="str">
        <f t="shared" si="46"/>
        <v>SOCCER STADIUM (1803)</v>
      </c>
      <c r="O718" t="s">
        <v>52</v>
      </c>
      <c r="P718" t="str">
        <f t="shared" si="47"/>
        <v>18000_1803</v>
      </c>
      <c r="Q718" s="180">
        <v>1</v>
      </c>
    </row>
    <row r="719" spans="1:17">
      <c r="A719" t="str">
        <f t="shared" si="44"/>
        <v>UGA_1804</v>
      </c>
      <c r="B719" t="str">
        <f t="shared" si="45"/>
        <v>UGA_SMSC MAINT FAC</v>
      </c>
      <c r="C719" t="s">
        <v>443</v>
      </c>
      <c r="D719" s="180" t="s">
        <v>51</v>
      </c>
      <c r="E719" t="s">
        <v>3624</v>
      </c>
      <c r="F719" t="s">
        <v>3625</v>
      </c>
      <c r="G719" s="180">
        <v>2000</v>
      </c>
      <c r="H719">
        <v>1999</v>
      </c>
      <c r="J719" s="1334" t="s">
        <v>475</v>
      </c>
      <c r="K719" s="1335" t="s">
        <v>475</v>
      </c>
      <c r="L719" s="180">
        <v>0</v>
      </c>
      <c r="M719" t="s">
        <v>7818</v>
      </c>
      <c r="N719" t="str">
        <f t="shared" si="46"/>
        <v>SMSC MAINT FAC (1804)</v>
      </c>
      <c r="O719" t="s">
        <v>52</v>
      </c>
      <c r="P719" t="str">
        <f t="shared" si="47"/>
        <v>18000_1804</v>
      </c>
      <c r="Q719" s="180">
        <v>100</v>
      </c>
    </row>
    <row r="720" spans="1:17">
      <c r="A720" t="str">
        <f t="shared" si="44"/>
        <v>UGA_1807</v>
      </c>
      <c r="B720" t="str">
        <f t="shared" si="45"/>
        <v>UGA_TURNER SOCCER COMP</v>
      </c>
      <c r="C720" t="s">
        <v>443</v>
      </c>
      <c r="D720" s="180" t="s">
        <v>51</v>
      </c>
      <c r="E720" t="s">
        <v>1586</v>
      </c>
      <c r="F720" t="s">
        <v>1587</v>
      </c>
      <c r="G720" s="180">
        <v>9580</v>
      </c>
      <c r="H720">
        <v>2003</v>
      </c>
      <c r="J720" s="1334" t="s">
        <v>475</v>
      </c>
      <c r="K720" s="1335" t="s">
        <v>475</v>
      </c>
      <c r="L720" s="180">
        <v>0</v>
      </c>
      <c r="M720" t="s">
        <v>7818</v>
      </c>
      <c r="N720" t="str">
        <f t="shared" si="46"/>
        <v>TURNER SOCCER COMP (1807)</v>
      </c>
      <c r="O720" t="s">
        <v>52</v>
      </c>
      <c r="P720" t="str">
        <f t="shared" si="47"/>
        <v>18000_1807</v>
      </c>
      <c r="Q720" s="180">
        <v>100</v>
      </c>
    </row>
    <row r="721" spans="1:17">
      <c r="A721" t="str">
        <f t="shared" si="44"/>
        <v>UGA_1808</v>
      </c>
      <c r="B721" t="str">
        <f t="shared" si="45"/>
        <v>UGA_SOFTBALL INDOOR TR</v>
      </c>
      <c r="C721" t="s">
        <v>443</v>
      </c>
      <c r="D721" s="180" t="s">
        <v>51</v>
      </c>
      <c r="E721" t="s">
        <v>1629</v>
      </c>
      <c r="F721" t="s">
        <v>1630</v>
      </c>
      <c r="G721" s="180">
        <v>4025</v>
      </c>
      <c r="H721">
        <v>2002</v>
      </c>
      <c r="J721" s="1334" t="s">
        <v>475</v>
      </c>
      <c r="K721" s="1335" t="s">
        <v>475</v>
      </c>
      <c r="L721" s="180">
        <v>0</v>
      </c>
      <c r="M721" t="s">
        <v>7818</v>
      </c>
      <c r="N721" t="str">
        <f t="shared" si="46"/>
        <v>SOFTBALL INDOOR TR (1808)</v>
      </c>
      <c r="O721" t="s">
        <v>52</v>
      </c>
      <c r="P721" t="str">
        <f t="shared" si="47"/>
        <v>18000_1808</v>
      </c>
      <c r="Q721" s="180">
        <v>15</v>
      </c>
    </row>
    <row r="722" spans="1:17">
      <c r="A722" t="str">
        <f t="shared" si="44"/>
        <v>UGA_1809</v>
      </c>
      <c r="B722" t="str">
        <f t="shared" si="45"/>
        <v>UGA_SOC PROMO STAND</v>
      </c>
      <c r="C722" t="s">
        <v>443</v>
      </c>
      <c r="D722" s="180" t="s">
        <v>51</v>
      </c>
      <c r="E722" t="s">
        <v>3057</v>
      </c>
      <c r="F722" t="s">
        <v>3058</v>
      </c>
      <c r="G722" s="180">
        <v>826</v>
      </c>
      <c r="H722">
        <v>2003</v>
      </c>
      <c r="J722" s="1334" t="s">
        <v>475</v>
      </c>
      <c r="K722" s="1335" t="s">
        <v>475</v>
      </c>
      <c r="L722" s="180">
        <v>0</v>
      </c>
      <c r="M722" t="s">
        <v>7818</v>
      </c>
      <c r="N722" t="str">
        <f t="shared" si="46"/>
        <v>SOC PROMO STAND (1809)</v>
      </c>
      <c r="O722" t="s">
        <v>52</v>
      </c>
      <c r="P722" t="str">
        <f t="shared" si="47"/>
        <v>18000_1809</v>
      </c>
      <c r="Q722" s="180">
        <v>1</v>
      </c>
    </row>
    <row r="723" spans="1:17">
      <c r="A723" t="str">
        <f t="shared" si="44"/>
        <v>UGA_1810</v>
      </c>
      <c r="B723" t="str">
        <f t="shared" si="45"/>
        <v>UGA_SOC CONCESSION STD</v>
      </c>
      <c r="C723" t="s">
        <v>443</v>
      </c>
      <c r="D723" s="180" t="s">
        <v>51</v>
      </c>
      <c r="E723" t="s">
        <v>4201</v>
      </c>
      <c r="F723" t="s">
        <v>4202</v>
      </c>
      <c r="G723" s="180">
        <v>963</v>
      </c>
      <c r="H723">
        <v>2003</v>
      </c>
      <c r="J723" s="1334" t="s">
        <v>475</v>
      </c>
      <c r="K723" s="1335" t="s">
        <v>475</v>
      </c>
      <c r="L723" s="180">
        <v>0</v>
      </c>
      <c r="M723" t="s">
        <v>7818</v>
      </c>
      <c r="N723" t="str">
        <f t="shared" si="46"/>
        <v>SOC CONCESSION STD (1810)</v>
      </c>
      <c r="O723" t="s">
        <v>52</v>
      </c>
      <c r="P723" t="str">
        <f t="shared" si="47"/>
        <v>18000_1810</v>
      </c>
      <c r="Q723" s="180">
        <v>1</v>
      </c>
    </row>
    <row r="724" spans="1:17">
      <c r="A724" t="str">
        <f t="shared" si="44"/>
        <v>UGA_1811</v>
      </c>
      <c r="B724" t="str">
        <f t="shared" si="45"/>
        <v>UGA_SOFTBALL CLUBHOUSE</v>
      </c>
      <c r="C724" t="s">
        <v>443</v>
      </c>
      <c r="D724" s="180" t="s">
        <v>51</v>
      </c>
      <c r="E724" t="s">
        <v>7604</v>
      </c>
      <c r="F724" t="s">
        <v>7683</v>
      </c>
      <c r="G724" s="180">
        <v>32000</v>
      </c>
      <c r="H724">
        <v>2024</v>
      </c>
      <c r="J724" s="1334" t="s">
        <v>475</v>
      </c>
      <c r="K724" s="1335" t="s">
        <v>901</v>
      </c>
      <c r="L724" s="180">
        <v>0</v>
      </c>
      <c r="M724" t="s">
        <v>7818</v>
      </c>
      <c r="N724" t="str">
        <f t="shared" si="46"/>
        <v>SOFTBALL CLUBHOUSE (1811)</v>
      </c>
      <c r="O724" t="s">
        <v>52</v>
      </c>
      <c r="P724" t="str">
        <f t="shared" si="47"/>
        <v>18000_1811</v>
      </c>
      <c r="Q724" s="180">
        <v>1</v>
      </c>
    </row>
    <row r="725" spans="1:17">
      <c r="A725" t="str">
        <f t="shared" si="44"/>
        <v>UGA_1812</v>
      </c>
      <c r="B725" t="str">
        <f t="shared" si="45"/>
        <v>UGA_JACK TURNER TICKET BOOTH</v>
      </c>
      <c r="C725" t="s">
        <v>443</v>
      </c>
      <c r="D725" s="180" t="s">
        <v>51</v>
      </c>
      <c r="E725" t="s">
        <v>7605</v>
      </c>
      <c r="F725" t="s">
        <v>7684</v>
      </c>
      <c r="G725" s="180">
        <v>102</v>
      </c>
      <c r="H725">
        <v>2024</v>
      </c>
      <c r="J725" s="1334" t="s">
        <v>475</v>
      </c>
      <c r="K725" s="1335" t="s">
        <v>475</v>
      </c>
      <c r="L725" s="180">
        <v>0</v>
      </c>
      <c r="M725" t="s">
        <v>7818</v>
      </c>
      <c r="N725" t="str">
        <f t="shared" si="46"/>
        <v>JACK TURNER TICKET BOOTH (1812)</v>
      </c>
      <c r="O725" t="s">
        <v>52</v>
      </c>
      <c r="P725" t="str">
        <f t="shared" si="47"/>
        <v>18000_1812</v>
      </c>
      <c r="Q725" s="180">
        <v>85</v>
      </c>
    </row>
    <row r="726" spans="1:17">
      <c r="A726" t="str">
        <f t="shared" si="44"/>
        <v>UGA_1820</v>
      </c>
      <c r="B726" t="str">
        <f t="shared" si="45"/>
        <v>UGA_TRACK &amp; FIELD RELOCATION &amp; EXP</v>
      </c>
      <c r="C726" t="s">
        <v>443</v>
      </c>
      <c r="D726" s="180" t="s">
        <v>51</v>
      </c>
      <c r="E726" t="s">
        <v>7606</v>
      </c>
      <c r="F726" t="s">
        <v>7685</v>
      </c>
      <c r="G726" s="180">
        <v>35700</v>
      </c>
      <c r="H726">
        <v>2026</v>
      </c>
      <c r="J726" s="1334" t="s">
        <v>475</v>
      </c>
      <c r="K726" s="1335" t="s">
        <v>475</v>
      </c>
      <c r="L726" s="180">
        <v>0</v>
      </c>
      <c r="M726" t="s">
        <v>7818</v>
      </c>
      <c r="N726" t="str">
        <f t="shared" si="46"/>
        <v>TRACK &amp; FIELD RELOCATION &amp; EXP (1820)</v>
      </c>
      <c r="O726" t="s">
        <v>52</v>
      </c>
      <c r="P726" t="str">
        <f t="shared" si="47"/>
        <v>18000_1820</v>
      </c>
      <c r="Q726" s="180">
        <v>50</v>
      </c>
    </row>
    <row r="727" spans="1:17">
      <c r="A727" t="str">
        <f t="shared" si="44"/>
        <v>UGA_1900</v>
      </c>
      <c r="B727" t="str">
        <f t="shared" si="45"/>
        <v>UGA_HSC QUARTERS A</v>
      </c>
      <c r="C727" t="s">
        <v>443</v>
      </c>
      <c r="D727" s="180" t="s">
        <v>51</v>
      </c>
      <c r="E727" t="s">
        <v>2291</v>
      </c>
      <c r="F727" t="s">
        <v>7686</v>
      </c>
      <c r="G727" s="180">
        <v>7836</v>
      </c>
      <c r="H727">
        <v>1909</v>
      </c>
      <c r="J727" s="1334" t="s">
        <v>475</v>
      </c>
      <c r="K727" s="1335" t="s">
        <v>475</v>
      </c>
      <c r="L727" s="180">
        <v>100</v>
      </c>
      <c r="M727" t="s">
        <v>7818</v>
      </c>
      <c r="N727" t="str">
        <f t="shared" si="46"/>
        <v>HSC QUARTERS A (1900)</v>
      </c>
      <c r="O727" t="s">
        <v>52</v>
      </c>
      <c r="P727" t="str">
        <f t="shared" si="47"/>
        <v>18000_1900</v>
      </c>
      <c r="Q727" s="180">
        <v>0</v>
      </c>
    </row>
    <row r="728" spans="1:17">
      <c r="A728" t="str">
        <f t="shared" si="44"/>
        <v>UGA_1901</v>
      </c>
      <c r="B728" t="str">
        <f t="shared" si="45"/>
        <v>UGA_HSC QUARTERS B</v>
      </c>
      <c r="C728" t="s">
        <v>443</v>
      </c>
      <c r="D728" s="180" t="s">
        <v>51</v>
      </c>
      <c r="E728" t="s">
        <v>2925</v>
      </c>
      <c r="F728" t="s">
        <v>7687</v>
      </c>
      <c r="G728" s="180">
        <v>4853</v>
      </c>
      <c r="H728">
        <v>1897</v>
      </c>
      <c r="J728" s="1334" t="s">
        <v>475</v>
      </c>
      <c r="K728" s="1335" t="s">
        <v>475</v>
      </c>
      <c r="L728" s="180">
        <v>100</v>
      </c>
      <c r="M728" t="s">
        <v>7818</v>
      </c>
      <c r="N728" t="str">
        <f t="shared" si="46"/>
        <v>HSC QUARTERS B (1901)</v>
      </c>
      <c r="O728" t="s">
        <v>52</v>
      </c>
      <c r="P728" t="str">
        <f t="shared" si="47"/>
        <v>18000_1901</v>
      </c>
      <c r="Q728" s="180">
        <v>100</v>
      </c>
    </row>
    <row r="729" spans="1:17">
      <c r="A729" t="str">
        <f t="shared" si="44"/>
        <v>UGA_1902</v>
      </c>
      <c r="B729" t="str">
        <f t="shared" si="45"/>
        <v>UGA_HSC MILLER HALL</v>
      </c>
      <c r="C729" t="s">
        <v>443</v>
      </c>
      <c r="D729" s="180" t="s">
        <v>51</v>
      </c>
      <c r="E729" t="s">
        <v>2490</v>
      </c>
      <c r="F729" t="s">
        <v>7688</v>
      </c>
      <c r="G729" s="180">
        <v>25266</v>
      </c>
      <c r="H729">
        <v>1917</v>
      </c>
      <c r="J729" s="1334" t="s">
        <v>475</v>
      </c>
      <c r="K729" s="1335" t="s">
        <v>1520</v>
      </c>
      <c r="L729" s="180">
        <v>100</v>
      </c>
      <c r="M729" t="s">
        <v>7818</v>
      </c>
      <c r="N729" t="str">
        <f t="shared" si="46"/>
        <v>HSC MILLER HALL (1902)</v>
      </c>
      <c r="O729" t="s">
        <v>52</v>
      </c>
      <c r="P729" t="str">
        <f t="shared" si="47"/>
        <v>18000_1902</v>
      </c>
      <c r="Q729" s="180">
        <v>100</v>
      </c>
    </row>
    <row r="730" spans="1:17">
      <c r="A730" t="str">
        <f t="shared" si="44"/>
        <v>UGA_1903</v>
      </c>
      <c r="B730" t="str">
        <f t="shared" si="45"/>
        <v>UGA_HSC-WINNIE DAVIS</v>
      </c>
      <c r="C730" t="s">
        <v>443</v>
      </c>
      <c r="D730" s="180" t="s">
        <v>51</v>
      </c>
      <c r="E730" t="s">
        <v>3441</v>
      </c>
      <c r="F730" t="s">
        <v>7128</v>
      </c>
      <c r="G730" s="180">
        <v>15143</v>
      </c>
      <c r="H730">
        <v>1902</v>
      </c>
      <c r="J730" s="1334" t="s">
        <v>475</v>
      </c>
      <c r="K730" s="1335" t="s">
        <v>475</v>
      </c>
      <c r="L730" s="180">
        <v>100</v>
      </c>
      <c r="M730" t="s">
        <v>7818</v>
      </c>
      <c r="N730" t="str">
        <f t="shared" si="46"/>
        <v>HSC-WINNIE DAVIS (1903)</v>
      </c>
      <c r="O730" t="s">
        <v>52</v>
      </c>
      <c r="P730" t="str">
        <f t="shared" si="47"/>
        <v>18000_1903</v>
      </c>
      <c r="Q730" s="180">
        <v>1</v>
      </c>
    </row>
    <row r="731" spans="1:17">
      <c r="A731" t="str">
        <f t="shared" si="44"/>
        <v>UGA_1904</v>
      </c>
      <c r="B731" t="str">
        <f t="shared" si="45"/>
        <v>UGA_HSC-CARNEGIE LIB LRNG</v>
      </c>
      <c r="C731" t="s">
        <v>443</v>
      </c>
      <c r="D731" s="180" t="s">
        <v>51</v>
      </c>
      <c r="E731" t="s">
        <v>2354</v>
      </c>
      <c r="F731" t="s">
        <v>7129</v>
      </c>
      <c r="G731" s="180">
        <v>7455</v>
      </c>
      <c r="H731">
        <v>1910</v>
      </c>
      <c r="J731" s="1334" t="s">
        <v>475</v>
      </c>
      <c r="K731" s="1335" t="s">
        <v>475</v>
      </c>
      <c r="L731" s="180">
        <v>100</v>
      </c>
      <c r="M731" t="s">
        <v>7818</v>
      </c>
      <c r="N731" t="str">
        <f t="shared" si="46"/>
        <v>HSC-CARNEGIE LIB LRNG (1904)</v>
      </c>
      <c r="O731" t="s">
        <v>52</v>
      </c>
      <c r="P731" t="str">
        <f t="shared" si="47"/>
        <v>18000_1904</v>
      </c>
      <c r="Q731" s="180">
        <v>1</v>
      </c>
    </row>
    <row r="732" spans="1:17">
      <c r="A732" t="str">
        <f t="shared" si="44"/>
        <v>UGA_1905</v>
      </c>
      <c r="B732" t="str">
        <f t="shared" si="45"/>
        <v>UGA_HSC-RHODES HALL</v>
      </c>
      <c r="C732" t="s">
        <v>443</v>
      </c>
      <c r="D732" s="180" t="s">
        <v>51</v>
      </c>
      <c r="E732" t="s">
        <v>4143</v>
      </c>
      <c r="F732" t="s">
        <v>7130</v>
      </c>
      <c r="G732" s="180">
        <v>27618</v>
      </c>
      <c r="H732">
        <v>1906</v>
      </c>
      <c r="J732" s="1334" t="s">
        <v>475</v>
      </c>
      <c r="K732" s="1335" t="s">
        <v>475</v>
      </c>
      <c r="L732" s="180">
        <v>100</v>
      </c>
      <c r="M732" t="s">
        <v>7818</v>
      </c>
      <c r="N732" t="str">
        <f t="shared" si="46"/>
        <v>HSC-RHODES HALL (1905)</v>
      </c>
      <c r="O732" t="s">
        <v>52</v>
      </c>
      <c r="P732" t="str">
        <f t="shared" si="47"/>
        <v>18000_1905</v>
      </c>
      <c r="Q732" s="180">
        <v>1</v>
      </c>
    </row>
    <row r="733" spans="1:17">
      <c r="A733" t="str">
        <f t="shared" si="44"/>
        <v>UGA_1906</v>
      </c>
      <c r="B733" t="str">
        <f t="shared" si="45"/>
        <v>UGA_HSC-POUND HALL</v>
      </c>
      <c r="C733" t="s">
        <v>443</v>
      </c>
      <c r="D733" s="180" t="s">
        <v>51</v>
      </c>
      <c r="E733" t="s">
        <v>1524</v>
      </c>
      <c r="F733" t="s">
        <v>7131</v>
      </c>
      <c r="G733" s="180">
        <v>22526</v>
      </c>
      <c r="H733">
        <v>1917</v>
      </c>
      <c r="J733" s="1334" t="s">
        <v>475</v>
      </c>
      <c r="K733" s="1335" t="s">
        <v>475</v>
      </c>
      <c r="L733" s="180">
        <v>100</v>
      </c>
      <c r="M733" t="s">
        <v>7818</v>
      </c>
      <c r="N733" t="str">
        <f t="shared" si="46"/>
        <v>HSC-POUND HALL (1906)</v>
      </c>
      <c r="O733" t="s">
        <v>52</v>
      </c>
      <c r="P733" t="str">
        <f t="shared" si="47"/>
        <v>18000_1906</v>
      </c>
      <c r="Q733" s="180">
        <v>100</v>
      </c>
    </row>
    <row r="734" spans="1:17">
      <c r="A734" t="str">
        <f t="shared" si="44"/>
        <v>UGA_1907</v>
      </c>
      <c r="B734" t="str">
        <f t="shared" si="45"/>
        <v>UGA_HSC-BROWN HALL</v>
      </c>
      <c r="C734" t="s">
        <v>443</v>
      </c>
      <c r="D734" s="180" t="s">
        <v>51</v>
      </c>
      <c r="E734" t="s">
        <v>2339</v>
      </c>
      <c r="F734" t="s">
        <v>7132</v>
      </c>
      <c r="G734" s="180">
        <v>49564</v>
      </c>
      <c r="H734">
        <v>1954</v>
      </c>
      <c r="J734" s="1334" t="s">
        <v>475</v>
      </c>
      <c r="K734" s="1335" t="s">
        <v>475</v>
      </c>
      <c r="L734" s="180">
        <v>0</v>
      </c>
      <c r="M734" t="s">
        <v>7818</v>
      </c>
      <c r="N734" t="str">
        <f t="shared" si="46"/>
        <v>HSC-BROWN HALL (1907)</v>
      </c>
      <c r="O734" t="s">
        <v>52</v>
      </c>
      <c r="P734" t="str">
        <f t="shared" si="47"/>
        <v>18000_1907</v>
      </c>
      <c r="Q734" s="180">
        <v>1</v>
      </c>
    </row>
    <row r="735" spans="1:17">
      <c r="A735" t="str">
        <f t="shared" si="44"/>
        <v>UGA_1908</v>
      </c>
      <c r="B735" t="str">
        <f t="shared" si="45"/>
        <v>UGA_HSC SCOTT HALL</v>
      </c>
      <c r="C735" t="s">
        <v>443</v>
      </c>
      <c r="D735" s="180" t="s">
        <v>51</v>
      </c>
      <c r="E735" t="s">
        <v>2983</v>
      </c>
      <c r="F735" t="s">
        <v>7689</v>
      </c>
      <c r="G735" s="180">
        <v>13806</v>
      </c>
      <c r="H735">
        <v>1963</v>
      </c>
      <c r="J735" s="1334" t="s">
        <v>475</v>
      </c>
      <c r="K735" s="1335" t="s">
        <v>475</v>
      </c>
      <c r="L735" s="180">
        <v>100</v>
      </c>
      <c r="M735" t="s">
        <v>7818</v>
      </c>
      <c r="N735" t="str">
        <f t="shared" si="46"/>
        <v>HSC SCOTT HALL (1908)</v>
      </c>
      <c r="O735" t="s">
        <v>52</v>
      </c>
      <c r="P735" t="str">
        <f t="shared" si="47"/>
        <v>18000_1908</v>
      </c>
      <c r="Q735" s="180">
        <v>100</v>
      </c>
    </row>
    <row r="736" spans="1:17">
      <c r="A736" t="str">
        <f t="shared" si="44"/>
        <v>UGA_1909</v>
      </c>
      <c r="B736" t="str">
        <f t="shared" si="45"/>
        <v>UGA_HSC-RUSSELL HALL</v>
      </c>
      <c r="C736" t="s">
        <v>443</v>
      </c>
      <c r="D736" s="180" t="s">
        <v>51</v>
      </c>
      <c r="E736" t="s">
        <v>2737</v>
      </c>
      <c r="F736" t="s">
        <v>7133</v>
      </c>
      <c r="G736" s="180">
        <v>63622</v>
      </c>
      <c r="H736">
        <v>1973</v>
      </c>
      <c r="J736" s="1334" t="s">
        <v>475</v>
      </c>
      <c r="K736" s="1335" t="s">
        <v>475</v>
      </c>
      <c r="L736" s="180">
        <v>100</v>
      </c>
      <c r="M736" t="s">
        <v>7818</v>
      </c>
      <c r="N736" t="str">
        <f t="shared" si="46"/>
        <v>HSC-RUSSELL HALL (1909)</v>
      </c>
      <c r="O736" t="s">
        <v>52</v>
      </c>
      <c r="P736" t="str">
        <f t="shared" si="47"/>
        <v>18000_1909</v>
      </c>
      <c r="Q736" s="180">
        <v>100</v>
      </c>
    </row>
    <row r="737" spans="1:17">
      <c r="A737" t="str">
        <f t="shared" si="44"/>
        <v>UGA_1910</v>
      </c>
      <c r="B737" t="str">
        <f t="shared" si="45"/>
        <v>UGA_HSC GEORGE HALL</v>
      </c>
      <c r="C737" t="s">
        <v>443</v>
      </c>
      <c r="D737" s="180" t="s">
        <v>51</v>
      </c>
      <c r="E737" t="s">
        <v>2492</v>
      </c>
      <c r="F737" t="s">
        <v>7690</v>
      </c>
      <c r="G737" s="180">
        <v>11343</v>
      </c>
      <c r="H737">
        <v>1974</v>
      </c>
      <c r="J737" s="1334" t="s">
        <v>475</v>
      </c>
      <c r="K737" s="1335" t="s">
        <v>475</v>
      </c>
      <c r="L737" s="180">
        <v>100</v>
      </c>
      <c r="M737" t="s">
        <v>7818</v>
      </c>
      <c r="N737" t="str">
        <f t="shared" si="46"/>
        <v>HSC GEORGE HALL (1910)</v>
      </c>
      <c r="O737" t="s">
        <v>52</v>
      </c>
      <c r="P737" t="str">
        <f t="shared" si="47"/>
        <v>18000_1910</v>
      </c>
      <c r="Q737" s="180">
        <v>100</v>
      </c>
    </row>
    <row r="738" spans="1:17">
      <c r="A738" t="str">
        <f t="shared" si="44"/>
        <v>UGA_1911</v>
      </c>
      <c r="B738" t="str">
        <f t="shared" si="45"/>
        <v>UGA_HSC HUDSON HALL</v>
      </c>
      <c r="C738" t="s">
        <v>443</v>
      </c>
      <c r="D738" s="180" t="s">
        <v>51</v>
      </c>
      <c r="E738" t="s">
        <v>3059</v>
      </c>
      <c r="F738" t="s">
        <v>7691</v>
      </c>
      <c r="G738" s="180">
        <v>10092</v>
      </c>
      <c r="H738">
        <v>1961</v>
      </c>
      <c r="J738" s="1334" t="s">
        <v>475</v>
      </c>
      <c r="K738" s="1335" t="s">
        <v>475</v>
      </c>
      <c r="L738" s="180">
        <v>100</v>
      </c>
      <c r="M738" t="s">
        <v>7818</v>
      </c>
      <c r="N738" t="str">
        <f t="shared" si="46"/>
        <v>HSC HUDSON HALL (1911)</v>
      </c>
      <c r="O738" t="s">
        <v>52</v>
      </c>
      <c r="P738" t="str">
        <f t="shared" si="47"/>
        <v>18000_1911</v>
      </c>
      <c r="Q738" s="180">
        <v>0</v>
      </c>
    </row>
    <row r="739" spans="1:17">
      <c r="A739" t="str">
        <f t="shared" si="44"/>
        <v>UGA_1912</v>
      </c>
      <c r="B739" t="str">
        <f t="shared" si="45"/>
        <v>UGA_HSC WRIGHT HALL</v>
      </c>
      <c r="C739" t="s">
        <v>443</v>
      </c>
      <c r="D739" s="180" t="s">
        <v>51</v>
      </c>
      <c r="E739" t="s">
        <v>3209</v>
      </c>
      <c r="F739" t="s">
        <v>7692</v>
      </c>
      <c r="G739" s="180">
        <v>58883</v>
      </c>
      <c r="H739">
        <v>1971</v>
      </c>
      <c r="J739" s="1334" t="s">
        <v>475</v>
      </c>
      <c r="K739" s="1335" t="s">
        <v>475</v>
      </c>
      <c r="L739" s="180">
        <v>100</v>
      </c>
      <c r="M739" t="s">
        <v>7818</v>
      </c>
      <c r="N739" t="str">
        <f t="shared" si="46"/>
        <v>HSC WRIGHT HALL (1912)</v>
      </c>
      <c r="O739" t="s">
        <v>52</v>
      </c>
      <c r="P739" t="str">
        <f t="shared" si="47"/>
        <v>18000_1912</v>
      </c>
      <c r="Q739" s="180">
        <v>5</v>
      </c>
    </row>
    <row r="740" spans="1:17">
      <c r="A740" t="str">
        <f t="shared" si="44"/>
        <v>UGA_1913</v>
      </c>
      <c r="B740" t="str">
        <f t="shared" si="45"/>
        <v>UGA_HSC CENTRAL HEATING PLANT</v>
      </c>
      <c r="C740" t="s">
        <v>443</v>
      </c>
      <c r="D740" s="180" t="s">
        <v>51</v>
      </c>
      <c r="E740" t="s">
        <v>4222</v>
      </c>
      <c r="F740" t="s">
        <v>7693</v>
      </c>
      <c r="G740" s="180">
        <v>6052</v>
      </c>
      <c r="H740">
        <v>1953</v>
      </c>
      <c r="J740" s="1334" t="s">
        <v>475</v>
      </c>
      <c r="K740" s="1335" t="s">
        <v>475</v>
      </c>
      <c r="L740" s="180">
        <v>100</v>
      </c>
      <c r="M740" t="s">
        <v>7818</v>
      </c>
      <c r="N740" t="str">
        <f t="shared" si="46"/>
        <v>HSC CENTRAL HEATING PLANT (1913)</v>
      </c>
      <c r="O740" t="s">
        <v>52</v>
      </c>
      <c r="P740" t="str">
        <f t="shared" si="47"/>
        <v>18000_1913</v>
      </c>
      <c r="Q740" s="180">
        <v>100</v>
      </c>
    </row>
    <row r="741" spans="1:17">
      <c r="A741" t="str">
        <f t="shared" si="44"/>
        <v>UGA_1914</v>
      </c>
      <c r="B741" t="str">
        <f t="shared" si="45"/>
        <v>UGA_HSC FMD</v>
      </c>
      <c r="C741" t="s">
        <v>443</v>
      </c>
      <c r="D741" s="180" t="s">
        <v>51</v>
      </c>
      <c r="E741" t="s">
        <v>3060</v>
      </c>
      <c r="F741" t="s">
        <v>7694</v>
      </c>
      <c r="G741" s="180">
        <v>4092</v>
      </c>
      <c r="H741">
        <v>1953</v>
      </c>
      <c r="J741" s="1334" t="s">
        <v>475</v>
      </c>
      <c r="K741" s="1335" t="s">
        <v>475</v>
      </c>
      <c r="L741" s="180">
        <v>100</v>
      </c>
      <c r="M741" t="s">
        <v>7818</v>
      </c>
      <c r="N741" t="str">
        <f t="shared" si="46"/>
        <v>HSC FMD (1914)</v>
      </c>
      <c r="O741" t="s">
        <v>52</v>
      </c>
      <c r="P741" t="str">
        <f t="shared" si="47"/>
        <v>18000_1914</v>
      </c>
      <c r="Q741" s="180">
        <v>100</v>
      </c>
    </row>
    <row r="742" spans="1:17">
      <c r="A742" t="str">
        <f t="shared" si="44"/>
        <v>UGA_1915</v>
      </c>
      <c r="B742" t="str">
        <f t="shared" si="45"/>
        <v>UGA_HSC WHEELER HALL</v>
      </c>
      <c r="C742" t="s">
        <v>443</v>
      </c>
      <c r="D742" s="180" t="s">
        <v>51</v>
      </c>
      <c r="E742" t="s">
        <v>1631</v>
      </c>
      <c r="F742" t="s">
        <v>7695</v>
      </c>
      <c r="G742" s="180">
        <v>14778</v>
      </c>
      <c r="H742">
        <v>2003</v>
      </c>
      <c r="J742" s="1334" t="s">
        <v>475</v>
      </c>
      <c r="K742" s="1335" t="s">
        <v>475</v>
      </c>
      <c r="L742" s="180">
        <v>100</v>
      </c>
      <c r="M742" t="s">
        <v>7818</v>
      </c>
      <c r="N742" t="str">
        <f t="shared" si="46"/>
        <v>HSC WHEELER HALL (1915)</v>
      </c>
      <c r="O742" t="s">
        <v>52</v>
      </c>
      <c r="P742" t="str">
        <f t="shared" si="47"/>
        <v>18000_1915</v>
      </c>
      <c r="Q742" s="180">
        <v>100</v>
      </c>
    </row>
    <row r="743" spans="1:17">
      <c r="A743" t="str">
        <f t="shared" si="44"/>
        <v>UGA_1916</v>
      </c>
      <c r="B743" t="str">
        <f t="shared" si="45"/>
        <v>UGA_HSC QUARTERS "A" GARAGE</v>
      </c>
      <c r="C743" t="s">
        <v>443</v>
      </c>
      <c r="D743" s="180" t="s">
        <v>51</v>
      </c>
      <c r="E743" t="s">
        <v>3154</v>
      </c>
      <c r="F743" t="s">
        <v>7696</v>
      </c>
      <c r="G743" s="180">
        <v>625</v>
      </c>
      <c r="H743">
        <v>1976</v>
      </c>
      <c r="J743" s="1334" t="s">
        <v>475</v>
      </c>
      <c r="K743" s="1335" t="s">
        <v>1520</v>
      </c>
      <c r="L743" s="180">
        <v>100</v>
      </c>
      <c r="M743" t="s">
        <v>7818</v>
      </c>
      <c r="N743" t="str">
        <f t="shared" si="46"/>
        <v>HSC QUARTERS "A" GARAGE (1916)</v>
      </c>
      <c r="O743" t="s">
        <v>52</v>
      </c>
      <c r="P743" t="str">
        <f t="shared" si="47"/>
        <v>18000_1916</v>
      </c>
      <c r="Q743" s="180">
        <v>100</v>
      </c>
    </row>
    <row r="744" spans="1:17">
      <c r="A744" t="str">
        <f t="shared" si="44"/>
        <v>UGA_1917</v>
      </c>
      <c r="B744" t="str">
        <f t="shared" si="45"/>
        <v>UGA_HSC QUARTERS "B" GARAGE</v>
      </c>
      <c r="C744" t="s">
        <v>443</v>
      </c>
      <c r="D744" s="180" t="s">
        <v>51</v>
      </c>
      <c r="E744" t="s">
        <v>3517</v>
      </c>
      <c r="F744" t="s">
        <v>7697</v>
      </c>
      <c r="G744" s="180">
        <v>420</v>
      </c>
      <c r="H744">
        <v>1995</v>
      </c>
      <c r="J744" s="1334" t="s">
        <v>475</v>
      </c>
      <c r="K744" s="1335" t="s">
        <v>1520</v>
      </c>
      <c r="L744" s="180">
        <v>100</v>
      </c>
      <c r="M744" t="s">
        <v>7818</v>
      </c>
      <c r="N744" t="str">
        <f t="shared" si="46"/>
        <v>HSC QUARTERS "B" GARAGE (1917)</v>
      </c>
      <c r="O744" t="s">
        <v>52</v>
      </c>
      <c r="P744" t="str">
        <f t="shared" si="47"/>
        <v>18000_1917</v>
      </c>
      <c r="Q744" s="180">
        <v>100</v>
      </c>
    </row>
    <row r="745" spans="1:17">
      <c r="A745" t="str">
        <f t="shared" si="44"/>
        <v>UGA_1918</v>
      </c>
      <c r="B745" t="str">
        <f t="shared" si="45"/>
        <v>UGA_HSC HANDBALL COURT</v>
      </c>
      <c r="C745" t="s">
        <v>443</v>
      </c>
      <c r="D745" s="180" t="s">
        <v>51</v>
      </c>
      <c r="E745" t="s">
        <v>2122</v>
      </c>
      <c r="F745" t="s">
        <v>7134</v>
      </c>
      <c r="G745" s="180">
        <v>2562</v>
      </c>
      <c r="H745">
        <v>1971</v>
      </c>
      <c r="J745" s="1334" t="s">
        <v>475</v>
      </c>
      <c r="K745" s="1335" t="s">
        <v>1520</v>
      </c>
      <c r="L745" s="180">
        <v>100</v>
      </c>
      <c r="M745" t="s">
        <v>7818</v>
      </c>
      <c r="N745" t="str">
        <f t="shared" si="46"/>
        <v>HSC HANDBALL COURT (1918)</v>
      </c>
      <c r="O745" t="s">
        <v>52</v>
      </c>
      <c r="P745" t="str">
        <f t="shared" si="47"/>
        <v>18000_1918</v>
      </c>
      <c r="Q745" s="180">
        <v>0</v>
      </c>
    </row>
    <row r="746" spans="1:17">
      <c r="A746" t="str">
        <f t="shared" si="44"/>
        <v>UGA_1920</v>
      </c>
      <c r="B746" t="str">
        <f t="shared" si="45"/>
        <v>UGA_HSC CLINICAL  &amp; TRANSLATIONAL</v>
      </c>
      <c r="C746" t="s">
        <v>443</v>
      </c>
      <c r="D746" s="180" t="s">
        <v>51</v>
      </c>
      <c r="E746" t="s">
        <v>1437</v>
      </c>
      <c r="F746" t="s">
        <v>7698</v>
      </c>
      <c r="G746" s="180">
        <v>3734</v>
      </c>
      <c r="H746">
        <v>1989</v>
      </c>
      <c r="J746" s="1334" t="s">
        <v>475</v>
      </c>
      <c r="K746" s="1335" t="s">
        <v>1520</v>
      </c>
      <c r="L746" s="180">
        <v>100</v>
      </c>
      <c r="M746" t="s">
        <v>7818</v>
      </c>
      <c r="N746" t="str">
        <f t="shared" si="46"/>
        <v>HSC CLINICAL  &amp; TRANSLATIONAL (1920)</v>
      </c>
      <c r="O746" t="s">
        <v>52</v>
      </c>
      <c r="P746" t="str">
        <f t="shared" si="47"/>
        <v>18000_1920</v>
      </c>
      <c r="Q746" s="180">
        <v>100</v>
      </c>
    </row>
    <row r="747" spans="1:17">
      <c r="A747" t="str">
        <f t="shared" si="44"/>
        <v>UGA_1921</v>
      </c>
      <c r="B747" t="str">
        <f t="shared" si="45"/>
        <v>UGA_HSC UNIV CHILDCARE CTR</v>
      </c>
      <c r="C747" t="s">
        <v>443</v>
      </c>
      <c r="D747" s="180" t="s">
        <v>51</v>
      </c>
      <c r="E747" t="s">
        <v>3782</v>
      </c>
      <c r="F747" t="s">
        <v>7699</v>
      </c>
      <c r="G747" s="180">
        <v>11762</v>
      </c>
      <c r="H747">
        <v>1985</v>
      </c>
      <c r="J747" s="1334" t="s">
        <v>475</v>
      </c>
      <c r="K747" s="1335" t="s">
        <v>1520</v>
      </c>
      <c r="L747" s="180">
        <v>100</v>
      </c>
      <c r="M747" t="s">
        <v>7818</v>
      </c>
      <c r="N747" t="str">
        <f t="shared" si="46"/>
        <v>HSC UNIV CHILDCARE CTR (1921)</v>
      </c>
      <c r="O747" t="s">
        <v>52</v>
      </c>
      <c r="P747" t="str">
        <f t="shared" si="47"/>
        <v>18000_1921</v>
      </c>
      <c r="Q747" s="180">
        <v>100</v>
      </c>
    </row>
    <row r="748" spans="1:17">
      <c r="A748" t="str">
        <f t="shared" si="44"/>
        <v>UGA_1922</v>
      </c>
      <c r="B748" t="str">
        <f t="shared" si="45"/>
        <v>UGA_HSC 105 BOWSTROM RD</v>
      </c>
      <c r="C748" t="s">
        <v>443</v>
      </c>
      <c r="D748" s="180" t="s">
        <v>51</v>
      </c>
      <c r="E748" t="s">
        <v>3061</v>
      </c>
      <c r="F748" t="s">
        <v>7700</v>
      </c>
      <c r="G748" s="180">
        <v>13798</v>
      </c>
      <c r="H748">
        <v>1973</v>
      </c>
      <c r="J748" s="1334" t="s">
        <v>475</v>
      </c>
      <c r="K748" s="1335" t="s">
        <v>1520</v>
      </c>
      <c r="L748" s="180">
        <v>100</v>
      </c>
      <c r="M748" t="s">
        <v>7818</v>
      </c>
      <c r="N748" t="str">
        <f t="shared" si="46"/>
        <v>HSC 105 BOWSTROM RD (1922)</v>
      </c>
      <c r="O748" t="s">
        <v>52</v>
      </c>
      <c r="P748" t="str">
        <f t="shared" si="47"/>
        <v>18000_1922</v>
      </c>
      <c r="Q748" s="180">
        <v>100</v>
      </c>
    </row>
    <row r="749" spans="1:17">
      <c r="A749" t="str">
        <f t="shared" si="44"/>
        <v>UGA_1923</v>
      </c>
      <c r="B749" t="str">
        <f t="shared" si="45"/>
        <v>UGA_HSC WAREHOUSE</v>
      </c>
      <c r="C749" t="s">
        <v>443</v>
      </c>
      <c r="D749" s="180" t="s">
        <v>51</v>
      </c>
      <c r="E749" t="s">
        <v>1937</v>
      </c>
      <c r="F749" t="s">
        <v>7701</v>
      </c>
      <c r="G749" s="180">
        <v>4680</v>
      </c>
      <c r="H749">
        <v>1990</v>
      </c>
      <c r="J749" s="1334" t="s">
        <v>475</v>
      </c>
      <c r="K749" s="1335" t="s">
        <v>1520</v>
      </c>
      <c r="L749" s="180">
        <v>100</v>
      </c>
      <c r="M749" t="s">
        <v>7818</v>
      </c>
      <c r="N749" t="str">
        <f t="shared" si="46"/>
        <v>HSC WAREHOUSE (1923)</v>
      </c>
      <c r="O749" t="s">
        <v>52</v>
      </c>
      <c r="P749" t="str">
        <f t="shared" si="47"/>
        <v>18000_1923</v>
      </c>
      <c r="Q749" s="180">
        <v>58</v>
      </c>
    </row>
    <row r="750" spans="1:17">
      <c r="A750" t="str">
        <f t="shared" si="44"/>
        <v>UGA_1924</v>
      </c>
      <c r="B750" t="str">
        <f t="shared" si="45"/>
        <v>UGA_HSC FMD ANNEX</v>
      </c>
      <c r="C750" t="s">
        <v>443</v>
      </c>
      <c r="D750" s="180" t="s">
        <v>51</v>
      </c>
      <c r="E750" t="s">
        <v>2570</v>
      </c>
      <c r="F750" t="s">
        <v>7702</v>
      </c>
      <c r="G750" s="180">
        <v>2854</v>
      </c>
      <c r="H750">
        <v>1974</v>
      </c>
      <c r="J750" s="1334" t="s">
        <v>475</v>
      </c>
      <c r="K750" s="1335" t="s">
        <v>1520</v>
      </c>
      <c r="L750" s="180">
        <v>100</v>
      </c>
      <c r="M750" t="s">
        <v>7818</v>
      </c>
      <c r="N750" t="str">
        <f t="shared" si="46"/>
        <v>HSC FMD ANNEX (1924)</v>
      </c>
      <c r="O750" t="s">
        <v>52</v>
      </c>
      <c r="P750" t="str">
        <f t="shared" si="47"/>
        <v>18000_1924</v>
      </c>
      <c r="Q750" s="180">
        <v>100</v>
      </c>
    </row>
    <row r="751" spans="1:17">
      <c r="A751" t="str">
        <f t="shared" si="44"/>
        <v>UGA_1925</v>
      </c>
      <c r="B751" t="str">
        <f t="shared" si="45"/>
        <v>UGA_HSC DECA OFFICE BLDG</v>
      </c>
      <c r="C751" t="s">
        <v>443</v>
      </c>
      <c r="D751" s="180" t="s">
        <v>51</v>
      </c>
      <c r="E751" t="s">
        <v>3344</v>
      </c>
      <c r="F751" t="s">
        <v>7703</v>
      </c>
      <c r="G751" s="180">
        <v>1160</v>
      </c>
      <c r="H751">
        <v>1987</v>
      </c>
      <c r="J751" s="1334" t="s">
        <v>475</v>
      </c>
      <c r="K751" s="1335" t="s">
        <v>1520</v>
      </c>
      <c r="L751" s="180">
        <v>100</v>
      </c>
      <c r="M751" t="s">
        <v>7818</v>
      </c>
      <c r="N751" t="str">
        <f t="shared" si="46"/>
        <v>HSC DECA OFFICE BLDG (1925)</v>
      </c>
      <c r="O751" t="s">
        <v>52</v>
      </c>
      <c r="P751" t="str">
        <f t="shared" si="47"/>
        <v>18000_1925</v>
      </c>
      <c r="Q751" s="180">
        <v>0</v>
      </c>
    </row>
    <row r="752" spans="1:17">
      <c r="A752" t="str">
        <f t="shared" si="44"/>
        <v>UGA_1935</v>
      </c>
      <c r="B752" t="str">
        <f t="shared" si="45"/>
        <v>UGA_HSC 150 GILMORE CIRCLE</v>
      </c>
      <c r="C752" t="s">
        <v>443</v>
      </c>
      <c r="D752" s="180" t="s">
        <v>51</v>
      </c>
      <c r="E752" t="s">
        <v>1588</v>
      </c>
      <c r="F752" t="s">
        <v>7704</v>
      </c>
      <c r="G752" s="180">
        <v>1805</v>
      </c>
      <c r="H752">
        <v>1956</v>
      </c>
      <c r="J752" s="1334" t="s">
        <v>475</v>
      </c>
      <c r="K752" s="1335" t="s">
        <v>1520</v>
      </c>
      <c r="L752" s="180">
        <v>0</v>
      </c>
      <c r="M752" t="s">
        <v>7818</v>
      </c>
      <c r="N752" t="str">
        <f t="shared" si="46"/>
        <v>HSC 150 GILMORE CIRCLE (1935)</v>
      </c>
      <c r="O752" t="s">
        <v>52</v>
      </c>
      <c r="P752" t="str">
        <f t="shared" si="47"/>
        <v>18000_1935</v>
      </c>
      <c r="Q752" s="180">
        <v>100</v>
      </c>
    </row>
    <row r="753" spans="1:17">
      <c r="A753" t="str">
        <f t="shared" si="44"/>
        <v>UGA_1936</v>
      </c>
      <c r="B753" t="str">
        <f t="shared" si="45"/>
        <v>UGA_HSC 151 GILMORE CIRCLE</v>
      </c>
      <c r="C753" t="s">
        <v>443</v>
      </c>
      <c r="D753" s="180" t="s">
        <v>51</v>
      </c>
      <c r="E753" t="s">
        <v>4223</v>
      </c>
      <c r="F753" t="s">
        <v>7705</v>
      </c>
      <c r="G753" s="180">
        <v>1805</v>
      </c>
      <c r="H753">
        <v>1956</v>
      </c>
      <c r="J753" s="1334" t="s">
        <v>475</v>
      </c>
      <c r="K753" s="1335" t="s">
        <v>1520</v>
      </c>
      <c r="L753" s="180">
        <v>0</v>
      </c>
      <c r="M753" t="s">
        <v>7818</v>
      </c>
      <c r="N753" t="str">
        <f t="shared" si="46"/>
        <v>HSC 151 GILMORE CIRCLE (1936)</v>
      </c>
      <c r="O753" t="s">
        <v>52</v>
      </c>
      <c r="P753" t="str">
        <f t="shared" si="47"/>
        <v>18000_1936</v>
      </c>
      <c r="Q753" s="180">
        <v>0</v>
      </c>
    </row>
    <row r="754" spans="1:17">
      <c r="A754" t="str">
        <f t="shared" si="44"/>
        <v>UGA_1937</v>
      </c>
      <c r="B754" t="str">
        <f t="shared" si="45"/>
        <v>UGA_HSC 152 GILMORE CIRCLE</v>
      </c>
      <c r="C754" t="s">
        <v>443</v>
      </c>
      <c r="D754" s="180" t="s">
        <v>51</v>
      </c>
      <c r="E754" t="s">
        <v>3831</v>
      </c>
      <c r="F754" t="s">
        <v>7706</v>
      </c>
      <c r="G754" s="180">
        <v>1805</v>
      </c>
      <c r="H754">
        <v>1956</v>
      </c>
      <c r="J754" s="1334" t="s">
        <v>475</v>
      </c>
      <c r="K754" s="1335" t="s">
        <v>1520</v>
      </c>
      <c r="L754" s="180">
        <v>0</v>
      </c>
      <c r="M754" t="s">
        <v>7818</v>
      </c>
      <c r="N754" t="str">
        <f t="shared" si="46"/>
        <v>HSC 152 GILMORE CIRCLE (1937)</v>
      </c>
      <c r="O754" t="s">
        <v>52</v>
      </c>
      <c r="P754" t="str">
        <f t="shared" si="47"/>
        <v>18000_1937</v>
      </c>
      <c r="Q754" s="180">
        <v>100</v>
      </c>
    </row>
    <row r="755" spans="1:17">
      <c r="A755" t="str">
        <f t="shared" si="44"/>
        <v>UGA_1938</v>
      </c>
      <c r="B755" t="str">
        <f t="shared" si="45"/>
        <v>UGA_HSC 153 GILMORE CIRCLE</v>
      </c>
      <c r="C755" t="s">
        <v>443</v>
      </c>
      <c r="D755" s="180" t="s">
        <v>51</v>
      </c>
      <c r="E755" t="s">
        <v>1758</v>
      </c>
      <c r="F755" t="s">
        <v>7707</v>
      </c>
      <c r="G755" s="180">
        <v>1805</v>
      </c>
      <c r="H755">
        <v>1956</v>
      </c>
      <c r="J755" s="1334" t="s">
        <v>475</v>
      </c>
      <c r="K755" s="1335" t="s">
        <v>1520</v>
      </c>
      <c r="L755" s="180">
        <v>0</v>
      </c>
      <c r="M755" t="s">
        <v>7818</v>
      </c>
      <c r="N755" t="str">
        <f t="shared" si="46"/>
        <v>HSC 153 GILMORE CIRCLE (1938)</v>
      </c>
      <c r="O755" t="s">
        <v>52</v>
      </c>
      <c r="P755" t="str">
        <f t="shared" si="47"/>
        <v>18000_1938</v>
      </c>
      <c r="Q755" s="180">
        <v>100</v>
      </c>
    </row>
    <row r="756" spans="1:17">
      <c r="A756" t="str">
        <f t="shared" si="44"/>
        <v>UGA_1939</v>
      </c>
      <c r="B756" t="str">
        <f t="shared" si="45"/>
        <v>UGA_HSC 154 GILMORE CIRCLE</v>
      </c>
      <c r="C756" t="s">
        <v>443</v>
      </c>
      <c r="D756" s="180" t="s">
        <v>51</v>
      </c>
      <c r="E756" t="s">
        <v>1992</v>
      </c>
      <c r="F756" t="s">
        <v>7708</v>
      </c>
      <c r="G756" s="180">
        <v>1805</v>
      </c>
      <c r="H756">
        <v>1956</v>
      </c>
      <c r="J756" s="1334" t="s">
        <v>475</v>
      </c>
      <c r="K756" s="1335" t="s">
        <v>1520</v>
      </c>
      <c r="L756" s="180">
        <v>0</v>
      </c>
      <c r="M756" t="s">
        <v>7818</v>
      </c>
      <c r="N756" t="str">
        <f t="shared" si="46"/>
        <v>HSC 154 GILMORE CIRCLE (1939)</v>
      </c>
      <c r="O756" t="s">
        <v>52</v>
      </c>
      <c r="P756" t="str">
        <f t="shared" si="47"/>
        <v>18000_1939</v>
      </c>
      <c r="Q756" s="180">
        <v>100</v>
      </c>
    </row>
    <row r="757" spans="1:17">
      <c r="A757" t="str">
        <f t="shared" si="44"/>
        <v>UGA_1940</v>
      </c>
      <c r="B757" t="str">
        <f t="shared" si="45"/>
        <v>UGA_HSC 155 GILMORE CIRCLE</v>
      </c>
      <c r="C757" t="s">
        <v>443</v>
      </c>
      <c r="D757" s="180" t="s">
        <v>51</v>
      </c>
      <c r="E757" t="s">
        <v>2673</v>
      </c>
      <c r="F757" t="s">
        <v>7709</v>
      </c>
      <c r="G757" s="180">
        <v>1805</v>
      </c>
      <c r="H757">
        <v>1956</v>
      </c>
      <c r="J757" s="1334" t="s">
        <v>475</v>
      </c>
      <c r="K757" s="1335" t="s">
        <v>1520</v>
      </c>
      <c r="L757" s="180">
        <v>0</v>
      </c>
      <c r="M757" t="s">
        <v>7818</v>
      </c>
      <c r="N757" t="str">
        <f t="shared" si="46"/>
        <v>HSC 155 GILMORE CIRCLE (1940)</v>
      </c>
      <c r="O757" t="s">
        <v>52</v>
      </c>
      <c r="P757" t="str">
        <f t="shared" si="47"/>
        <v>18000_1940</v>
      </c>
      <c r="Q757" s="180">
        <v>100</v>
      </c>
    </row>
    <row r="758" spans="1:17">
      <c r="A758" t="str">
        <f t="shared" si="44"/>
        <v>UGA_1941</v>
      </c>
      <c r="B758" t="str">
        <f t="shared" si="45"/>
        <v>UGA_HSC-HOUSING BLDG G</v>
      </c>
      <c r="C758" t="s">
        <v>443</v>
      </c>
      <c r="D758" s="180" t="s">
        <v>51</v>
      </c>
      <c r="E758" t="s">
        <v>4347</v>
      </c>
      <c r="F758" t="s">
        <v>4348</v>
      </c>
      <c r="G758" s="180">
        <v>5490</v>
      </c>
      <c r="H758">
        <v>1957</v>
      </c>
      <c r="J758" s="1334" t="s">
        <v>475</v>
      </c>
      <c r="K758" s="1335" t="s">
        <v>1520</v>
      </c>
      <c r="L758" s="180">
        <v>0</v>
      </c>
      <c r="M758" t="s">
        <v>7818</v>
      </c>
      <c r="N758" t="str">
        <f t="shared" si="46"/>
        <v>HSC-HOUSING BLDG G (1941)</v>
      </c>
      <c r="O758" t="s">
        <v>52</v>
      </c>
      <c r="P758" t="str">
        <f t="shared" si="47"/>
        <v>18000_1941</v>
      </c>
      <c r="Q758" s="180">
        <v>100</v>
      </c>
    </row>
    <row r="759" spans="1:17">
      <c r="A759" t="str">
        <f t="shared" si="44"/>
        <v>UGA_1942</v>
      </c>
      <c r="B759" t="str">
        <f t="shared" si="45"/>
        <v>UGA_HSC-HOUSING BLDG H</v>
      </c>
      <c r="C759" t="s">
        <v>443</v>
      </c>
      <c r="D759" s="180" t="s">
        <v>51</v>
      </c>
      <c r="E759" t="s">
        <v>3893</v>
      </c>
      <c r="F759" t="s">
        <v>3894</v>
      </c>
      <c r="G759" s="180">
        <v>5490</v>
      </c>
      <c r="H759">
        <v>1957</v>
      </c>
      <c r="J759" s="1334" t="s">
        <v>475</v>
      </c>
      <c r="K759" s="1335" t="s">
        <v>1520</v>
      </c>
      <c r="L759" s="180">
        <v>0</v>
      </c>
      <c r="M759" t="s">
        <v>7818</v>
      </c>
      <c r="N759" t="str">
        <f t="shared" si="46"/>
        <v>HSC-HOUSING BLDG H (1942)</v>
      </c>
      <c r="O759" t="s">
        <v>52</v>
      </c>
      <c r="P759" t="str">
        <f t="shared" si="47"/>
        <v>18000_1942</v>
      </c>
      <c r="Q759" s="180">
        <v>0</v>
      </c>
    </row>
    <row r="760" spans="1:17">
      <c r="A760" t="str">
        <f t="shared" si="44"/>
        <v>UGA_1943</v>
      </c>
      <c r="B760" t="str">
        <f t="shared" si="45"/>
        <v>UGA_HSC-HOUSING BLDG J</v>
      </c>
      <c r="C760" t="s">
        <v>443</v>
      </c>
      <c r="D760" s="180" t="s">
        <v>51</v>
      </c>
      <c r="E760" t="s">
        <v>3491</v>
      </c>
      <c r="F760" t="s">
        <v>3492</v>
      </c>
      <c r="G760" s="180">
        <v>5490</v>
      </c>
      <c r="H760">
        <v>1957</v>
      </c>
      <c r="J760" s="1334" t="s">
        <v>475</v>
      </c>
      <c r="K760" s="1335" t="s">
        <v>1520</v>
      </c>
      <c r="L760" s="180">
        <v>0</v>
      </c>
      <c r="M760" t="s">
        <v>7818</v>
      </c>
      <c r="N760" t="str">
        <f t="shared" si="46"/>
        <v>HSC-HOUSING BLDG J (1943)</v>
      </c>
      <c r="O760" t="s">
        <v>52</v>
      </c>
      <c r="P760" t="str">
        <f t="shared" si="47"/>
        <v>18000_1943</v>
      </c>
      <c r="Q760" s="180">
        <v>0</v>
      </c>
    </row>
    <row r="761" spans="1:17">
      <c r="A761" t="str">
        <f t="shared" si="44"/>
        <v>UGA_1944</v>
      </c>
      <c r="B761" t="str">
        <f t="shared" si="45"/>
        <v>UGA_HSC-HOUSING BLDG K</v>
      </c>
      <c r="C761" t="s">
        <v>443</v>
      </c>
      <c r="D761" s="180" t="s">
        <v>51</v>
      </c>
      <c r="E761" t="s">
        <v>1890</v>
      </c>
      <c r="F761" t="s">
        <v>1891</v>
      </c>
      <c r="G761" s="180">
        <v>5490</v>
      </c>
      <c r="H761">
        <v>1957</v>
      </c>
      <c r="J761" s="1334" t="s">
        <v>475</v>
      </c>
      <c r="K761" s="1335" t="s">
        <v>1520</v>
      </c>
      <c r="L761" s="180">
        <v>0</v>
      </c>
      <c r="M761" t="s">
        <v>7818</v>
      </c>
      <c r="N761" t="str">
        <f t="shared" si="46"/>
        <v>HSC-HOUSING BLDG K (1944)</v>
      </c>
      <c r="O761" t="s">
        <v>52</v>
      </c>
      <c r="P761" t="str">
        <f t="shared" si="47"/>
        <v>18000_1944</v>
      </c>
      <c r="Q761" s="180">
        <v>100</v>
      </c>
    </row>
    <row r="762" spans="1:17">
      <c r="A762" t="str">
        <f t="shared" si="44"/>
        <v>UGA_1945</v>
      </c>
      <c r="B762" t="str">
        <f t="shared" si="45"/>
        <v>UGA_HSC-HOUSING BLDG L</v>
      </c>
      <c r="C762" t="s">
        <v>443</v>
      </c>
      <c r="D762" s="180" t="s">
        <v>51</v>
      </c>
      <c r="E762" t="s">
        <v>3832</v>
      </c>
      <c r="F762" t="s">
        <v>3833</v>
      </c>
      <c r="G762" s="180">
        <v>5490</v>
      </c>
      <c r="H762">
        <v>1957</v>
      </c>
      <c r="J762" s="1334" t="s">
        <v>475</v>
      </c>
      <c r="K762" s="1335" t="s">
        <v>1520</v>
      </c>
      <c r="L762" s="180">
        <v>0</v>
      </c>
      <c r="M762" t="s">
        <v>7818</v>
      </c>
      <c r="N762" t="str">
        <f t="shared" si="46"/>
        <v>HSC-HOUSING BLDG L (1945)</v>
      </c>
      <c r="O762" t="s">
        <v>52</v>
      </c>
      <c r="P762" t="str">
        <f t="shared" si="47"/>
        <v>18000_1945</v>
      </c>
      <c r="Q762" s="180">
        <v>80</v>
      </c>
    </row>
    <row r="763" spans="1:17">
      <c r="A763" t="str">
        <f t="shared" si="44"/>
        <v>UGA_1946</v>
      </c>
      <c r="B763" t="str">
        <f t="shared" si="45"/>
        <v>UGA_HSC-HOUSING BLDG M</v>
      </c>
      <c r="C763" t="s">
        <v>443</v>
      </c>
      <c r="D763" s="180" t="s">
        <v>51</v>
      </c>
      <c r="E763" t="s">
        <v>2173</v>
      </c>
      <c r="F763" t="s">
        <v>2174</v>
      </c>
      <c r="G763" s="180">
        <v>5490</v>
      </c>
      <c r="H763">
        <v>1957</v>
      </c>
      <c r="J763" s="1334" t="s">
        <v>475</v>
      </c>
      <c r="K763" s="1335" t="s">
        <v>1520</v>
      </c>
      <c r="L763" s="180">
        <v>0</v>
      </c>
      <c r="M763" t="s">
        <v>7818</v>
      </c>
      <c r="N763" t="str">
        <f t="shared" si="46"/>
        <v>HSC-HOUSING BLDG M (1946)</v>
      </c>
      <c r="O763" t="s">
        <v>52</v>
      </c>
      <c r="P763" t="str">
        <f t="shared" si="47"/>
        <v>18000_1946</v>
      </c>
      <c r="Q763" s="180">
        <v>0</v>
      </c>
    </row>
    <row r="764" spans="1:17">
      <c r="A764" t="str">
        <f t="shared" si="44"/>
        <v>UGA_1947</v>
      </c>
      <c r="B764" t="str">
        <f t="shared" si="45"/>
        <v>UGA_HSC 211 KENNY RD</v>
      </c>
      <c r="C764" t="s">
        <v>443</v>
      </c>
      <c r="D764" s="180" t="s">
        <v>51</v>
      </c>
      <c r="E764" t="s">
        <v>3844</v>
      </c>
      <c r="F764" t="s">
        <v>7710</v>
      </c>
      <c r="G764" s="180">
        <v>8313</v>
      </c>
      <c r="H764">
        <v>1969</v>
      </c>
      <c r="J764" s="1334" t="s">
        <v>475</v>
      </c>
      <c r="K764" s="1335" t="s">
        <v>1520</v>
      </c>
      <c r="L764" s="180">
        <v>0</v>
      </c>
      <c r="M764" t="s">
        <v>7818</v>
      </c>
      <c r="N764" t="str">
        <f t="shared" si="46"/>
        <v>HSC 211 KENNY RD (1947)</v>
      </c>
      <c r="O764" t="s">
        <v>52</v>
      </c>
      <c r="P764" t="str">
        <f t="shared" si="47"/>
        <v>18000_1947</v>
      </c>
      <c r="Q764" s="180">
        <v>100</v>
      </c>
    </row>
    <row r="765" spans="1:17">
      <c r="A765" t="str">
        <f t="shared" si="44"/>
        <v>UGA_1948</v>
      </c>
      <c r="B765" t="str">
        <f t="shared" si="45"/>
        <v>UGA_HSC 212 KENNY RD</v>
      </c>
      <c r="C765" t="s">
        <v>443</v>
      </c>
      <c r="D765" s="180" t="s">
        <v>51</v>
      </c>
      <c r="E765" t="s">
        <v>1938</v>
      </c>
      <c r="F765" t="s">
        <v>7711</v>
      </c>
      <c r="G765" s="180">
        <v>6714</v>
      </c>
      <c r="H765">
        <v>1969</v>
      </c>
      <c r="J765" s="1334" t="s">
        <v>475</v>
      </c>
      <c r="K765" s="1335" t="s">
        <v>1520</v>
      </c>
      <c r="L765" s="180">
        <v>0</v>
      </c>
      <c r="M765" t="s">
        <v>7818</v>
      </c>
      <c r="N765" t="str">
        <f t="shared" si="46"/>
        <v>HSC 212 KENNY RD (1948)</v>
      </c>
      <c r="O765" t="s">
        <v>52</v>
      </c>
      <c r="P765" t="str">
        <f t="shared" si="47"/>
        <v>18000_1948</v>
      </c>
      <c r="Q765" s="180">
        <v>100</v>
      </c>
    </row>
    <row r="766" spans="1:17">
      <c r="A766" t="str">
        <f t="shared" si="44"/>
        <v>UGA_1949</v>
      </c>
      <c r="B766" t="str">
        <f t="shared" si="45"/>
        <v>UGA_HSC 213 KENNY RD</v>
      </c>
      <c r="C766" t="s">
        <v>443</v>
      </c>
      <c r="D766" s="180" t="s">
        <v>51</v>
      </c>
      <c r="E766" t="s">
        <v>2811</v>
      </c>
      <c r="F766" t="s">
        <v>7712</v>
      </c>
      <c r="G766" s="180">
        <v>8743</v>
      </c>
      <c r="H766">
        <v>1969</v>
      </c>
      <c r="J766" s="1334" t="s">
        <v>475</v>
      </c>
      <c r="K766" s="1335" t="s">
        <v>1520</v>
      </c>
      <c r="L766" s="180">
        <v>0</v>
      </c>
      <c r="M766" t="s">
        <v>7818</v>
      </c>
      <c r="N766" t="str">
        <f t="shared" si="46"/>
        <v>HSC 213 KENNY RD (1949)</v>
      </c>
      <c r="O766" t="s">
        <v>52</v>
      </c>
      <c r="P766" t="str">
        <f t="shared" si="47"/>
        <v>18000_1949</v>
      </c>
      <c r="Q766" s="180">
        <v>100</v>
      </c>
    </row>
    <row r="767" spans="1:17">
      <c r="A767" t="str">
        <f t="shared" si="44"/>
        <v>UGA_1950</v>
      </c>
      <c r="B767" t="str">
        <f t="shared" si="45"/>
        <v>UGA_HSC 215 KENNY RD</v>
      </c>
      <c r="C767" t="s">
        <v>443</v>
      </c>
      <c r="D767" s="180" t="s">
        <v>51</v>
      </c>
      <c r="E767" t="s">
        <v>1589</v>
      </c>
      <c r="F767" t="s">
        <v>7713</v>
      </c>
      <c r="G767" s="180">
        <v>13099</v>
      </c>
      <c r="H767">
        <v>1969</v>
      </c>
      <c r="J767" s="1334" t="s">
        <v>475</v>
      </c>
      <c r="K767" s="1335" t="s">
        <v>1520</v>
      </c>
      <c r="L767" s="180">
        <v>0</v>
      </c>
      <c r="M767" t="s">
        <v>7818</v>
      </c>
      <c r="N767" t="str">
        <f t="shared" si="46"/>
        <v>HSC 215 KENNY RD (1950)</v>
      </c>
      <c r="O767" t="s">
        <v>52</v>
      </c>
      <c r="P767" t="str">
        <f t="shared" si="47"/>
        <v>18000_1950</v>
      </c>
      <c r="Q767" s="180">
        <v>0</v>
      </c>
    </row>
    <row r="768" spans="1:17">
      <c r="A768" t="str">
        <f t="shared" si="44"/>
        <v>UGA_1951</v>
      </c>
      <c r="B768" t="str">
        <f t="shared" si="45"/>
        <v>UGA_HSC 219 KENNY RD</v>
      </c>
      <c r="C768" t="s">
        <v>443</v>
      </c>
      <c r="D768" s="180" t="s">
        <v>51</v>
      </c>
      <c r="E768" t="s">
        <v>3845</v>
      </c>
      <c r="F768" t="s">
        <v>7714</v>
      </c>
      <c r="G768" s="180">
        <v>8572</v>
      </c>
      <c r="H768">
        <v>1970</v>
      </c>
      <c r="J768" s="1334" t="s">
        <v>475</v>
      </c>
      <c r="K768" s="1335" t="s">
        <v>1520</v>
      </c>
      <c r="L768" s="180">
        <v>0</v>
      </c>
      <c r="M768" t="s">
        <v>7818</v>
      </c>
      <c r="N768" t="str">
        <f t="shared" si="46"/>
        <v>HSC 219 KENNY RD (1951)</v>
      </c>
      <c r="O768" t="s">
        <v>52</v>
      </c>
      <c r="P768" t="str">
        <f t="shared" si="47"/>
        <v>18000_1951</v>
      </c>
      <c r="Q768" s="180">
        <v>25</v>
      </c>
    </row>
    <row r="769" spans="1:17">
      <c r="A769" t="str">
        <f t="shared" si="44"/>
        <v>UGA_1952</v>
      </c>
      <c r="B769" t="str">
        <f t="shared" si="45"/>
        <v>UGA_HSC 221 KENNY RD</v>
      </c>
      <c r="C769" t="s">
        <v>443</v>
      </c>
      <c r="D769" s="180" t="s">
        <v>51</v>
      </c>
      <c r="E769" t="s">
        <v>3345</v>
      </c>
      <c r="F769" t="s">
        <v>7715</v>
      </c>
      <c r="G769" s="180">
        <v>8572</v>
      </c>
      <c r="H769">
        <v>1970</v>
      </c>
      <c r="J769" s="1334" t="s">
        <v>475</v>
      </c>
      <c r="K769" s="1335" t="s">
        <v>1520</v>
      </c>
      <c r="L769" s="180">
        <v>0</v>
      </c>
      <c r="M769" t="s">
        <v>7818</v>
      </c>
      <c r="N769" t="str">
        <f t="shared" si="46"/>
        <v>HSC 221 KENNY RD (1952)</v>
      </c>
      <c r="O769" t="s">
        <v>52</v>
      </c>
      <c r="P769" t="str">
        <f t="shared" si="47"/>
        <v>18000_1952</v>
      </c>
      <c r="Q769" s="180">
        <v>50</v>
      </c>
    </row>
    <row r="770" spans="1:17">
      <c r="A770" t="str">
        <f t="shared" si="44"/>
        <v>UGA_1953</v>
      </c>
      <c r="B770" t="str">
        <f t="shared" si="45"/>
        <v>UGA_HSC HOUSING OCCUPANT STORAGE</v>
      </c>
      <c r="C770" t="s">
        <v>443</v>
      </c>
      <c r="D770" s="180" t="s">
        <v>51</v>
      </c>
      <c r="E770" t="s">
        <v>3626</v>
      </c>
      <c r="F770" t="s">
        <v>7716</v>
      </c>
      <c r="G770" s="180">
        <v>1080</v>
      </c>
      <c r="H770">
        <v>2000</v>
      </c>
      <c r="J770" s="1334" t="s">
        <v>475</v>
      </c>
      <c r="K770" s="1335" t="s">
        <v>1520</v>
      </c>
      <c r="L770" s="180">
        <v>0</v>
      </c>
      <c r="M770" t="s">
        <v>7818</v>
      </c>
      <c r="N770" t="str">
        <f t="shared" si="46"/>
        <v>HSC HOUSING OCCUPANT STORAGE (1953)</v>
      </c>
      <c r="O770" t="s">
        <v>52</v>
      </c>
      <c r="P770" t="str">
        <f t="shared" si="47"/>
        <v>18000_1953</v>
      </c>
      <c r="Q770" s="180">
        <v>0</v>
      </c>
    </row>
    <row r="771" spans="1:17">
      <c r="A771" t="str">
        <f t="shared" ref="A771:A834" si="48">_xlfn.CONCAT(D771,"_",E771)</f>
        <v>UGA_1954</v>
      </c>
      <c r="B771" t="str">
        <f t="shared" ref="B771:B834" si="49">_xlfn.CONCAT(D771,"_",F771)</f>
        <v>UGA_HSC HOUSING OCCUPANT STRG - NS</v>
      </c>
      <c r="C771" t="s">
        <v>443</v>
      </c>
      <c r="D771" s="180" t="s">
        <v>51</v>
      </c>
      <c r="E771" t="s">
        <v>4420</v>
      </c>
      <c r="F771" t="s">
        <v>7717</v>
      </c>
      <c r="G771" s="180">
        <v>1440</v>
      </c>
      <c r="H771">
        <v>2000</v>
      </c>
      <c r="J771" s="1334" t="s">
        <v>475</v>
      </c>
      <c r="K771" s="1335" t="s">
        <v>1520</v>
      </c>
      <c r="L771" s="180">
        <v>0</v>
      </c>
      <c r="M771" t="s">
        <v>7818</v>
      </c>
      <c r="N771" t="str">
        <f t="shared" ref="N771:N834" si="50">_xlfn.CONCAT(F771," (",E771,")")</f>
        <v>HSC HOUSING OCCUPANT STRG - NS (1954)</v>
      </c>
      <c r="O771" t="s">
        <v>52</v>
      </c>
      <c r="P771" t="str">
        <f t="shared" ref="P771:P834" si="51">_xlfn.CONCAT(C771,"_",E771)</f>
        <v>18000_1954</v>
      </c>
      <c r="Q771" s="180">
        <v>0</v>
      </c>
    </row>
    <row r="772" spans="1:17">
      <c r="A772" t="str">
        <f t="shared" si="48"/>
        <v>UGA_1976</v>
      </c>
      <c r="B772" t="str">
        <f t="shared" si="49"/>
        <v>UGA_HSC FIELD HOUSE</v>
      </c>
      <c r="C772" t="s">
        <v>443</v>
      </c>
      <c r="D772" s="180" t="s">
        <v>51</v>
      </c>
      <c r="E772" t="s">
        <v>3128</v>
      </c>
      <c r="F772" t="s">
        <v>7718</v>
      </c>
      <c r="G772" s="180">
        <v>320</v>
      </c>
      <c r="H772">
        <v>1989</v>
      </c>
      <c r="J772" s="1334" t="s">
        <v>475</v>
      </c>
      <c r="K772" s="1335" t="s">
        <v>1520</v>
      </c>
      <c r="L772" s="180">
        <v>100</v>
      </c>
      <c r="M772" t="s">
        <v>7818</v>
      </c>
      <c r="N772" t="str">
        <f t="shared" si="50"/>
        <v>HSC FIELD HOUSE (1976)</v>
      </c>
      <c r="O772" t="s">
        <v>52</v>
      </c>
      <c r="P772" t="str">
        <f t="shared" si="51"/>
        <v>18000_1976</v>
      </c>
      <c r="Q772" s="180">
        <v>0</v>
      </c>
    </row>
    <row r="773" spans="1:17">
      <c r="A773" t="str">
        <f t="shared" si="48"/>
        <v>UGA_1977</v>
      </c>
      <c r="B773" t="str">
        <f t="shared" si="49"/>
        <v>UGA_HSC 109A BOWSTROM RD</v>
      </c>
      <c r="C773" t="s">
        <v>443</v>
      </c>
      <c r="D773" s="180" t="s">
        <v>51</v>
      </c>
      <c r="E773" t="s">
        <v>3129</v>
      </c>
      <c r="F773" t="s">
        <v>7719</v>
      </c>
      <c r="G773" s="180">
        <v>267</v>
      </c>
      <c r="H773">
        <v>1995</v>
      </c>
      <c r="J773" s="1334" t="s">
        <v>475</v>
      </c>
      <c r="K773" s="1335" t="s">
        <v>1520</v>
      </c>
      <c r="L773" s="180">
        <v>100</v>
      </c>
      <c r="M773" t="s">
        <v>7818</v>
      </c>
      <c r="N773" t="str">
        <f t="shared" si="50"/>
        <v>HSC 109A BOWSTROM RD (1977)</v>
      </c>
      <c r="O773" t="s">
        <v>52</v>
      </c>
      <c r="P773" t="str">
        <f t="shared" si="51"/>
        <v>18000_1977</v>
      </c>
      <c r="Q773" s="180">
        <v>50</v>
      </c>
    </row>
    <row r="774" spans="1:17">
      <c r="A774" t="str">
        <f t="shared" si="48"/>
        <v>UGA_1978</v>
      </c>
      <c r="B774" t="str">
        <f t="shared" si="49"/>
        <v>UGA_HSC 217 KENNY ROAD</v>
      </c>
      <c r="C774" t="s">
        <v>443</v>
      </c>
      <c r="D774" s="180" t="s">
        <v>51</v>
      </c>
      <c r="E774" t="s">
        <v>1632</v>
      </c>
      <c r="F774" t="s">
        <v>7720</v>
      </c>
      <c r="G774" s="180">
        <v>1660</v>
      </c>
      <c r="H774">
        <v>2000</v>
      </c>
      <c r="J774" s="1334" t="s">
        <v>475</v>
      </c>
      <c r="K774" s="1335" t="s">
        <v>1520</v>
      </c>
      <c r="L774" s="180">
        <v>0</v>
      </c>
      <c r="M774" t="s">
        <v>7818</v>
      </c>
      <c r="N774" t="str">
        <f t="shared" si="50"/>
        <v>HSC 217 KENNY ROAD (1978)</v>
      </c>
      <c r="O774" t="s">
        <v>52</v>
      </c>
      <c r="P774" t="str">
        <f t="shared" si="51"/>
        <v>18000_1978</v>
      </c>
      <c r="Q774" s="180">
        <v>100</v>
      </c>
    </row>
    <row r="775" spans="1:17">
      <c r="A775" t="str">
        <f t="shared" si="48"/>
        <v>UGA_1979</v>
      </c>
      <c r="B775" t="str">
        <f t="shared" si="49"/>
        <v>UGA_HSC CHEMICAL STORAGE</v>
      </c>
      <c r="C775" t="s">
        <v>443</v>
      </c>
      <c r="D775" s="180" t="s">
        <v>51</v>
      </c>
      <c r="E775" t="s">
        <v>2066</v>
      </c>
      <c r="F775" t="s">
        <v>7721</v>
      </c>
      <c r="G775" s="180">
        <v>104</v>
      </c>
      <c r="H775">
        <v>1999</v>
      </c>
      <c r="J775" s="1334" t="s">
        <v>475</v>
      </c>
      <c r="K775" s="1335" t="s">
        <v>1520</v>
      </c>
      <c r="L775" s="180">
        <v>100</v>
      </c>
      <c r="M775" t="s">
        <v>7818</v>
      </c>
      <c r="N775" t="str">
        <f t="shared" si="50"/>
        <v>HSC CHEMICAL STORAGE (1979)</v>
      </c>
      <c r="O775" t="s">
        <v>52</v>
      </c>
      <c r="P775" t="str">
        <f t="shared" si="51"/>
        <v>18000_1979</v>
      </c>
      <c r="Q775" s="180">
        <v>100</v>
      </c>
    </row>
    <row r="776" spans="1:17">
      <c r="A776" t="str">
        <f t="shared" si="48"/>
        <v>UGA_1982</v>
      </c>
      <c r="B776" t="str">
        <f t="shared" si="49"/>
        <v>UGA_HSC COVERED STORAGE - NSCS # 2</v>
      </c>
      <c r="C776" t="s">
        <v>443</v>
      </c>
      <c r="D776" s="180" t="s">
        <v>51</v>
      </c>
      <c r="E776" t="s">
        <v>3301</v>
      </c>
      <c r="F776" t="s">
        <v>7722</v>
      </c>
      <c r="G776" s="180">
        <v>168</v>
      </c>
      <c r="H776">
        <v>1991</v>
      </c>
      <c r="J776" s="1334" t="s">
        <v>475</v>
      </c>
      <c r="K776" s="1335" t="s">
        <v>1520</v>
      </c>
      <c r="L776" s="180">
        <v>100</v>
      </c>
      <c r="M776" t="s">
        <v>7818</v>
      </c>
      <c r="N776" t="str">
        <f t="shared" si="50"/>
        <v>HSC COVERED STORAGE - NSCS # 2 (1982)</v>
      </c>
      <c r="O776" t="s">
        <v>52</v>
      </c>
      <c r="P776" t="str">
        <f t="shared" si="51"/>
        <v>18000_1982</v>
      </c>
      <c r="Q776" s="180">
        <v>100</v>
      </c>
    </row>
    <row r="777" spans="1:17">
      <c r="A777" t="str">
        <f t="shared" si="48"/>
        <v>UGA_2000</v>
      </c>
      <c r="B777" t="str">
        <f t="shared" si="49"/>
        <v>UGA_LUCY COBB</v>
      </c>
      <c r="C777" t="s">
        <v>443</v>
      </c>
      <c r="D777" s="180" t="s">
        <v>51</v>
      </c>
      <c r="E777" t="s">
        <v>4203</v>
      </c>
      <c r="F777" t="s">
        <v>4204</v>
      </c>
      <c r="G777" s="180">
        <v>23863</v>
      </c>
      <c r="H777">
        <v>1858</v>
      </c>
      <c r="J777" s="1334" t="s">
        <v>475</v>
      </c>
      <c r="K777" s="1335" t="s">
        <v>475</v>
      </c>
      <c r="L777" s="180">
        <v>100</v>
      </c>
      <c r="M777" t="s">
        <v>7818</v>
      </c>
      <c r="N777" t="str">
        <f t="shared" si="50"/>
        <v>LUCY COBB (2000)</v>
      </c>
      <c r="O777" t="s">
        <v>52</v>
      </c>
      <c r="P777" t="str">
        <f t="shared" si="51"/>
        <v>18000_2000</v>
      </c>
      <c r="Q777" s="180">
        <v>100</v>
      </c>
    </row>
    <row r="778" spans="1:17">
      <c r="A778" t="str">
        <f t="shared" si="48"/>
        <v>UGA_2001</v>
      </c>
      <c r="B778" t="str">
        <f t="shared" si="49"/>
        <v>UGA_MARGARET HALL</v>
      </c>
      <c r="C778" t="s">
        <v>443</v>
      </c>
      <c r="D778" s="180" t="s">
        <v>51</v>
      </c>
      <c r="E778" t="s">
        <v>3846</v>
      </c>
      <c r="F778" t="s">
        <v>3847</v>
      </c>
      <c r="G778" s="180">
        <v>3565</v>
      </c>
      <c r="H778">
        <v>1898</v>
      </c>
      <c r="J778" s="1334" t="s">
        <v>475</v>
      </c>
      <c r="K778" s="1335" t="s">
        <v>475</v>
      </c>
      <c r="L778" s="180">
        <v>100</v>
      </c>
      <c r="M778" t="s">
        <v>7818</v>
      </c>
      <c r="N778" t="str">
        <f t="shared" si="50"/>
        <v>MARGARET HALL (2001)</v>
      </c>
      <c r="O778" t="s">
        <v>52</v>
      </c>
      <c r="P778" t="str">
        <f t="shared" si="51"/>
        <v>18000_2001</v>
      </c>
      <c r="Q778" s="180">
        <v>100</v>
      </c>
    </row>
    <row r="779" spans="1:17">
      <c r="A779" t="str">
        <f t="shared" si="48"/>
        <v>UGA_2003</v>
      </c>
      <c r="B779" t="str">
        <f t="shared" si="49"/>
        <v>UGA_L.C. CARRIAGE HSE.</v>
      </c>
      <c r="C779" t="s">
        <v>443</v>
      </c>
      <c r="D779" s="180" t="s">
        <v>51</v>
      </c>
      <c r="E779" t="s">
        <v>2738</v>
      </c>
      <c r="F779" t="s">
        <v>2739</v>
      </c>
      <c r="G779" s="180">
        <v>2339</v>
      </c>
      <c r="H779">
        <v>1808</v>
      </c>
      <c r="J779" s="1334" t="s">
        <v>475</v>
      </c>
      <c r="K779" s="1335" t="s">
        <v>475</v>
      </c>
      <c r="L779" s="180">
        <v>100</v>
      </c>
      <c r="M779" t="s">
        <v>7818</v>
      </c>
      <c r="N779" t="str">
        <f t="shared" si="50"/>
        <v>L.C. CARRIAGE HSE. (2003)</v>
      </c>
      <c r="O779" t="s">
        <v>52</v>
      </c>
      <c r="P779" t="str">
        <f t="shared" si="51"/>
        <v>18000_2003</v>
      </c>
      <c r="Q779" s="180">
        <v>100</v>
      </c>
    </row>
    <row r="780" spans="1:17">
      <c r="A780" t="str">
        <f t="shared" si="48"/>
        <v>UGA_2004</v>
      </c>
      <c r="B780" t="str">
        <f t="shared" si="49"/>
        <v>UGA_L. COBB KITCHEN</v>
      </c>
      <c r="C780" t="s">
        <v>443</v>
      </c>
      <c r="D780" s="180" t="s">
        <v>51</v>
      </c>
      <c r="E780" t="s">
        <v>3346</v>
      </c>
      <c r="F780" t="s">
        <v>3347</v>
      </c>
      <c r="G780" s="180">
        <v>547</v>
      </c>
      <c r="H780">
        <v>1858</v>
      </c>
      <c r="J780" s="1334" t="s">
        <v>475</v>
      </c>
      <c r="K780" s="1335" t="s">
        <v>475</v>
      </c>
      <c r="L780" s="180">
        <v>100</v>
      </c>
      <c r="M780" t="s">
        <v>7818</v>
      </c>
      <c r="N780" t="str">
        <f t="shared" si="50"/>
        <v>L. COBB KITCHEN (2004)</v>
      </c>
      <c r="O780" t="s">
        <v>52</v>
      </c>
      <c r="P780" t="str">
        <f t="shared" si="51"/>
        <v>18000_2004</v>
      </c>
      <c r="Q780" s="180">
        <v>100</v>
      </c>
    </row>
    <row r="781" spans="1:17">
      <c r="A781" t="str">
        <f t="shared" si="48"/>
        <v>UGA_2005</v>
      </c>
      <c r="B781" t="str">
        <f t="shared" si="49"/>
        <v>UGA_VINSON HALL</v>
      </c>
      <c r="C781" t="s">
        <v>443</v>
      </c>
      <c r="D781" s="180" t="s">
        <v>51</v>
      </c>
      <c r="E781" t="s">
        <v>3302</v>
      </c>
      <c r="F781" t="s">
        <v>3303</v>
      </c>
      <c r="G781" s="180">
        <v>6652</v>
      </c>
      <c r="H781">
        <v>1991</v>
      </c>
      <c r="J781" s="1334" t="s">
        <v>475</v>
      </c>
      <c r="K781" s="1335" t="s">
        <v>475</v>
      </c>
      <c r="L781" s="180">
        <v>100</v>
      </c>
      <c r="M781" t="s">
        <v>7818</v>
      </c>
      <c r="N781" t="str">
        <f t="shared" si="50"/>
        <v>VINSON HALL (2005)</v>
      </c>
      <c r="O781" t="s">
        <v>52</v>
      </c>
      <c r="P781" t="str">
        <f t="shared" si="51"/>
        <v>18000_2005</v>
      </c>
      <c r="Q781" s="180">
        <v>100</v>
      </c>
    </row>
    <row r="782" spans="1:17">
      <c r="A782" t="str">
        <f t="shared" si="48"/>
        <v>UGA_2006</v>
      </c>
      <c r="B782" t="str">
        <f t="shared" si="49"/>
        <v>UGA_MECHANICAL BLDG</v>
      </c>
      <c r="C782" t="s">
        <v>443</v>
      </c>
      <c r="D782" s="180" t="s">
        <v>51</v>
      </c>
      <c r="E782" t="s">
        <v>3487</v>
      </c>
      <c r="F782" t="s">
        <v>3488</v>
      </c>
      <c r="G782" s="180">
        <v>383</v>
      </c>
      <c r="H782">
        <v>1991</v>
      </c>
      <c r="J782" s="1334" t="s">
        <v>475</v>
      </c>
      <c r="K782" s="1335" t="s">
        <v>475</v>
      </c>
      <c r="L782" s="180">
        <v>100</v>
      </c>
      <c r="M782" t="s">
        <v>7818</v>
      </c>
      <c r="N782" t="str">
        <f t="shared" si="50"/>
        <v>MECHANICAL BLDG (2006)</v>
      </c>
      <c r="O782" t="s">
        <v>52</v>
      </c>
      <c r="P782" t="str">
        <f t="shared" si="51"/>
        <v>18000_2006</v>
      </c>
      <c r="Q782" s="180">
        <v>32</v>
      </c>
    </row>
    <row r="783" spans="1:17">
      <c r="A783" t="str">
        <f t="shared" si="48"/>
        <v>UGA_2007</v>
      </c>
      <c r="B783" t="str">
        <f t="shared" si="49"/>
        <v>UGA_ADMIN SERV ANNEX</v>
      </c>
      <c r="C783" t="s">
        <v>443</v>
      </c>
      <c r="D783" s="180" t="s">
        <v>51</v>
      </c>
      <c r="E783" t="s">
        <v>3304</v>
      </c>
      <c r="F783" t="s">
        <v>3305</v>
      </c>
      <c r="G783" s="180">
        <v>17146</v>
      </c>
      <c r="H783">
        <v>2006</v>
      </c>
      <c r="J783" s="1334" t="s">
        <v>475</v>
      </c>
      <c r="K783" s="1335" t="s">
        <v>475</v>
      </c>
      <c r="L783" s="180">
        <v>100</v>
      </c>
      <c r="M783" t="s">
        <v>7818</v>
      </c>
      <c r="N783" t="str">
        <f t="shared" si="50"/>
        <v>ADMIN SERV ANNEX (2007)</v>
      </c>
      <c r="O783" t="s">
        <v>52</v>
      </c>
      <c r="P783" t="str">
        <f t="shared" si="51"/>
        <v>18000_2007</v>
      </c>
      <c r="Q783" s="180">
        <v>0</v>
      </c>
    </row>
    <row r="784" spans="1:17">
      <c r="A784" t="str">
        <f t="shared" si="48"/>
        <v>UGA_2037</v>
      </c>
      <c r="B784" t="str">
        <f t="shared" si="49"/>
        <v>UGA_ADMIN SERV WAREHSE</v>
      </c>
      <c r="C784" t="s">
        <v>443</v>
      </c>
      <c r="D784" s="180" t="s">
        <v>51</v>
      </c>
      <c r="E784" t="s">
        <v>4224</v>
      </c>
      <c r="F784" t="s">
        <v>4225</v>
      </c>
      <c r="G784" s="180">
        <v>69200</v>
      </c>
      <c r="H784">
        <v>2002</v>
      </c>
      <c r="J784" s="1334" t="s">
        <v>475</v>
      </c>
      <c r="K784" s="1335" t="s">
        <v>475</v>
      </c>
      <c r="L784" s="180">
        <v>100</v>
      </c>
      <c r="M784" t="s">
        <v>7818</v>
      </c>
      <c r="N784" t="str">
        <f t="shared" si="50"/>
        <v>ADMIN SERV WAREHSE (2037)</v>
      </c>
      <c r="O784" t="s">
        <v>52</v>
      </c>
      <c r="P784" t="str">
        <f t="shared" si="51"/>
        <v>18000_2037</v>
      </c>
      <c r="Q784" s="180">
        <v>100</v>
      </c>
    </row>
    <row r="785" spans="1:17">
      <c r="A785" t="str">
        <f t="shared" si="48"/>
        <v>UGA_2115</v>
      </c>
      <c r="B785" t="str">
        <f t="shared" si="49"/>
        <v>UGA_HAZ STRG RIVERBEND</v>
      </c>
      <c r="C785" t="s">
        <v>443</v>
      </c>
      <c r="D785" s="180" t="s">
        <v>51</v>
      </c>
      <c r="E785" t="s">
        <v>3130</v>
      </c>
      <c r="F785" t="s">
        <v>3131</v>
      </c>
      <c r="G785" s="180">
        <v>468</v>
      </c>
      <c r="H785">
        <v>2017</v>
      </c>
      <c r="J785" s="1334" t="s">
        <v>475</v>
      </c>
      <c r="K785" s="1335" t="s">
        <v>475</v>
      </c>
      <c r="L785" s="180">
        <v>100</v>
      </c>
      <c r="M785" t="s">
        <v>7818</v>
      </c>
      <c r="N785" t="str">
        <f t="shared" si="50"/>
        <v>HAZ STRG RIVERBEND (2115)</v>
      </c>
      <c r="O785" t="s">
        <v>52</v>
      </c>
      <c r="P785" t="str">
        <f t="shared" si="51"/>
        <v>18000_2115</v>
      </c>
      <c r="Q785" s="180">
        <v>100</v>
      </c>
    </row>
    <row r="786" spans="1:17">
      <c r="A786" t="str">
        <f t="shared" si="48"/>
        <v>UGA_2117</v>
      </c>
      <c r="B786" t="str">
        <f t="shared" si="49"/>
        <v>UGA_AG SVCS STG BLDG</v>
      </c>
      <c r="C786" t="s">
        <v>443</v>
      </c>
      <c r="D786" s="180" t="s">
        <v>51</v>
      </c>
      <c r="E786" t="s">
        <v>4205</v>
      </c>
      <c r="F786" t="s">
        <v>4206</v>
      </c>
      <c r="G786" s="180">
        <v>135</v>
      </c>
      <c r="H786">
        <v>1997</v>
      </c>
      <c r="J786" s="1334" t="s">
        <v>475</v>
      </c>
      <c r="K786" s="1335" t="s">
        <v>475</v>
      </c>
      <c r="L786" s="180">
        <v>100</v>
      </c>
      <c r="M786" t="s">
        <v>7818</v>
      </c>
      <c r="N786" t="str">
        <f t="shared" si="50"/>
        <v>AG SVCS STG BLDG (2117)</v>
      </c>
      <c r="O786" t="s">
        <v>52</v>
      </c>
      <c r="P786" t="str">
        <f t="shared" si="51"/>
        <v>18000_2117</v>
      </c>
      <c r="Q786" s="180">
        <v>100</v>
      </c>
    </row>
    <row r="787" spans="1:17">
      <c r="A787" t="str">
        <f t="shared" si="48"/>
        <v>UGA_2118</v>
      </c>
      <c r="B787" t="str">
        <f t="shared" si="49"/>
        <v>UGA_ENVIRON SAFETY DIVISION</v>
      </c>
      <c r="C787" t="s">
        <v>443</v>
      </c>
      <c r="D787" s="180" t="s">
        <v>51</v>
      </c>
      <c r="E787" t="s">
        <v>2812</v>
      </c>
      <c r="F787" t="s">
        <v>2813</v>
      </c>
      <c r="G787" s="180">
        <v>16313</v>
      </c>
      <c r="H787">
        <v>1992</v>
      </c>
      <c r="J787" s="1334" t="s">
        <v>475</v>
      </c>
      <c r="K787" s="1335" t="s">
        <v>475</v>
      </c>
      <c r="L787" s="180">
        <v>100</v>
      </c>
      <c r="M787" t="s">
        <v>7818</v>
      </c>
      <c r="N787" t="str">
        <f t="shared" si="50"/>
        <v>ENVIRON SAFETY DIVISION (2118)</v>
      </c>
      <c r="O787" t="s">
        <v>52</v>
      </c>
      <c r="P787" t="str">
        <f t="shared" si="51"/>
        <v>18000_2118</v>
      </c>
      <c r="Q787" s="180">
        <v>100</v>
      </c>
    </row>
    <row r="788" spans="1:17">
      <c r="A788" t="str">
        <f t="shared" si="48"/>
        <v>UGA_2119</v>
      </c>
      <c r="B788" t="str">
        <f t="shared" si="49"/>
        <v>UGA_AUXILIARY SERVICES</v>
      </c>
      <c r="C788" t="s">
        <v>443</v>
      </c>
      <c r="D788" s="180" t="s">
        <v>51</v>
      </c>
      <c r="E788" t="s">
        <v>2984</v>
      </c>
      <c r="F788" t="s">
        <v>2985</v>
      </c>
      <c r="G788" s="180">
        <v>7021</v>
      </c>
      <c r="H788">
        <v>1956</v>
      </c>
      <c r="J788" s="1334" t="s">
        <v>475</v>
      </c>
      <c r="K788" s="1335" t="s">
        <v>475</v>
      </c>
      <c r="L788" s="180">
        <v>0</v>
      </c>
      <c r="M788" t="s">
        <v>7818</v>
      </c>
      <c r="N788" t="str">
        <f t="shared" si="50"/>
        <v>AUXILIARY SERVICES (2119)</v>
      </c>
      <c r="O788" t="s">
        <v>52</v>
      </c>
      <c r="P788" t="str">
        <f t="shared" si="51"/>
        <v>18000_2119</v>
      </c>
      <c r="Q788" s="180">
        <v>100</v>
      </c>
    </row>
    <row r="789" spans="1:17">
      <c r="A789" t="str">
        <f t="shared" si="48"/>
        <v>UGA_2120</v>
      </c>
      <c r="B789" t="str">
        <f t="shared" si="49"/>
        <v>UGA_LAB OF ARCHAEOLOGY</v>
      </c>
      <c r="C789" t="s">
        <v>443</v>
      </c>
      <c r="D789" s="180" t="s">
        <v>51</v>
      </c>
      <c r="E789" t="s">
        <v>3848</v>
      </c>
      <c r="F789" t="s">
        <v>3849</v>
      </c>
      <c r="G789" s="180">
        <v>20880</v>
      </c>
      <c r="H789">
        <v>1969</v>
      </c>
      <c r="J789" s="1334" t="s">
        <v>475</v>
      </c>
      <c r="K789" s="1335" t="s">
        <v>486</v>
      </c>
      <c r="L789" s="180">
        <v>100</v>
      </c>
      <c r="M789" t="s">
        <v>7818</v>
      </c>
      <c r="N789" t="str">
        <f t="shared" si="50"/>
        <v>LAB OF ARCHAEOLOGY (2120)</v>
      </c>
      <c r="O789" t="s">
        <v>52</v>
      </c>
      <c r="P789" t="str">
        <f t="shared" si="51"/>
        <v>18000_2120</v>
      </c>
      <c r="Q789" s="180">
        <v>100</v>
      </c>
    </row>
    <row r="790" spans="1:17">
      <c r="A790" t="str">
        <f t="shared" si="48"/>
        <v>UGA_2121</v>
      </c>
      <c r="B790" t="str">
        <f t="shared" si="49"/>
        <v>UGA_ROCK EAGLE WAREHS</v>
      </c>
      <c r="C790" t="s">
        <v>443</v>
      </c>
      <c r="D790" s="180" t="s">
        <v>51</v>
      </c>
      <c r="E790" t="s">
        <v>4066</v>
      </c>
      <c r="F790" t="s">
        <v>4067</v>
      </c>
      <c r="G790" s="180">
        <v>3650</v>
      </c>
      <c r="H790">
        <v>1980</v>
      </c>
      <c r="J790" s="1334" t="s">
        <v>475</v>
      </c>
      <c r="K790" s="1335" t="s">
        <v>475</v>
      </c>
      <c r="L790" s="180">
        <v>0</v>
      </c>
      <c r="M790" t="s">
        <v>4</v>
      </c>
      <c r="N790" t="str">
        <f t="shared" si="50"/>
        <v>ROCK EAGLE WAREHS (2121)</v>
      </c>
      <c r="O790" t="s">
        <v>52</v>
      </c>
      <c r="P790" t="str">
        <f t="shared" si="51"/>
        <v>18000_2121</v>
      </c>
      <c r="Q790" s="180">
        <v>100</v>
      </c>
    </row>
    <row r="791" spans="1:17">
      <c r="A791" t="str">
        <f t="shared" si="48"/>
        <v>UGA_2122</v>
      </c>
      <c r="B791" t="str">
        <f t="shared" si="49"/>
        <v>UGA_CENTRAL FOOD STOR</v>
      </c>
      <c r="C791" t="s">
        <v>443</v>
      </c>
      <c r="D791" s="180" t="s">
        <v>51</v>
      </c>
      <c r="E791" t="s">
        <v>1438</v>
      </c>
      <c r="F791" t="s">
        <v>1439</v>
      </c>
      <c r="G791" s="180">
        <v>33405</v>
      </c>
      <c r="H791">
        <v>1979</v>
      </c>
      <c r="J791" s="1334" t="s">
        <v>475</v>
      </c>
      <c r="K791" s="1335" t="s">
        <v>475</v>
      </c>
      <c r="L791" s="180">
        <v>0</v>
      </c>
      <c r="M791" t="s">
        <v>7818</v>
      </c>
      <c r="N791" t="str">
        <f t="shared" si="50"/>
        <v>CENTRAL FOOD STOR (2122)</v>
      </c>
      <c r="O791" t="s">
        <v>52</v>
      </c>
      <c r="P791" t="str">
        <f t="shared" si="51"/>
        <v>18000_2122</v>
      </c>
      <c r="Q791" s="180">
        <v>100</v>
      </c>
    </row>
    <row r="792" spans="1:17">
      <c r="A792" t="str">
        <f t="shared" si="48"/>
        <v>UGA_2124</v>
      </c>
      <c r="B792" t="str">
        <f t="shared" si="49"/>
        <v>UGA_RIVERBEND SOL STOR</v>
      </c>
      <c r="C792" t="s">
        <v>443</v>
      </c>
      <c r="D792" s="180" t="s">
        <v>51</v>
      </c>
      <c r="E792" t="s">
        <v>1939</v>
      </c>
      <c r="F792" t="s">
        <v>1940</v>
      </c>
      <c r="G792" s="180">
        <v>128</v>
      </c>
      <c r="H792">
        <v>1994</v>
      </c>
      <c r="J792" s="1334" t="s">
        <v>475</v>
      </c>
      <c r="K792" s="1335" t="s">
        <v>475</v>
      </c>
      <c r="L792" s="180">
        <v>0</v>
      </c>
      <c r="M792" t="s">
        <v>7818</v>
      </c>
      <c r="N792" t="str">
        <f t="shared" si="50"/>
        <v>RIVERBEND SOL STOR (2124)</v>
      </c>
      <c r="O792" t="s">
        <v>52</v>
      </c>
      <c r="P792" t="str">
        <f t="shared" si="51"/>
        <v>18000_2124</v>
      </c>
      <c r="Q792" s="180">
        <v>0</v>
      </c>
    </row>
    <row r="793" spans="1:17">
      <c r="A793" t="str">
        <f t="shared" si="48"/>
        <v>UGA_2125</v>
      </c>
      <c r="B793" t="str">
        <f t="shared" si="49"/>
        <v>UGA_RIVERBEND RSCH N</v>
      </c>
      <c r="C793" t="s">
        <v>443</v>
      </c>
      <c r="D793" s="180" t="s">
        <v>51</v>
      </c>
      <c r="E793" t="s">
        <v>2674</v>
      </c>
      <c r="F793" t="s">
        <v>2675</v>
      </c>
      <c r="G793" s="180">
        <v>53469</v>
      </c>
      <c r="H793">
        <v>1974</v>
      </c>
      <c r="J793" s="1334" t="s">
        <v>475</v>
      </c>
      <c r="K793" s="1335" t="s">
        <v>486</v>
      </c>
      <c r="L793" s="180">
        <v>100</v>
      </c>
      <c r="M793" t="s">
        <v>7818</v>
      </c>
      <c r="N793" t="str">
        <f t="shared" si="50"/>
        <v>RIVERBEND RSCH N (2125)</v>
      </c>
      <c r="O793" t="s">
        <v>52</v>
      </c>
      <c r="P793" t="str">
        <f t="shared" si="51"/>
        <v>18000_2125</v>
      </c>
      <c r="Q793" s="180">
        <v>100</v>
      </c>
    </row>
    <row r="794" spans="1:17">
      <c r="A794" t="str">
        <f t="shared" si="48"/>
        <v>UGA_2126</v>
      </c>
      <c r="B794" t="str">
        <f t="shared" si="49"/>
        <v>UGA_UGAPD/OEP TRAINING</v>
      </c>
      <c r="C794" t="s">
        <v>443</v>
      </c>
      <c r="D794" s="180" t="s">
        <v>51</v>
      </c>
      <c r="E794" t="s">
        <v>3518</v>
      </c>
      <c r="F794" t="s">
        <v>3519</v>
      </c>
      <c r="G794" s="180">
        <v>8289</v>
      </c>
      <c r="H794">
        <v>1977</v>
      </c>
      <c r="J794" s="1334" t="s">
        <v>475</v>
      </c>
      <c r="K794" s="1335" t="s">
        <v>475</v>
      </c>
      <c r="L794" s="180">
        <v>100</v>
      </c>
      <c r="M794" t="s">
        <v>7818</v>
      </c>
      <c r="N794" t="str">
        <f t="shared" si="50"/>
        <v>UGAPD/OEP TRAINING (2126)</v>
      </c>
      <c r="O794" t="s">
        <v>52</v>
      </c>
      <c r="P794" t="str">
        <f t="shared" si="51"/>
        <v>18000_2126</v>
      </c>
      <c r="Q794" s="180">
        <v>100</v>
      </c>
    </row>
    <row r="795" spans="1:17">
      <c r="A795" t="str">
        <f t="shared" si="48"/>
        <v>UGA_2127</v>
      </c>
      <c r="B795" t="str">
        <f t="shared" si="49"/>
        <v>UGA_C A I S</v>
      </c>
      <c r="C795" t="s">
        <v>443</v>
      </c>
      <c r="D795" s="180" t="s">
        <v>51</v>
      </c>
      <c r="E795" t="s">
        <v>2593</v>
      </c>
      <c r="F795" t="s">
        <v>2594</v>
      </c>
      <c r="G795" s="180">
        <v>20297</v>
      </c>
      <c r="H795">
        <v>1980</v>
      </c>
      <c r="J795" s="1334" t="s">
        <v>475</v>
      </c>
      <c r="K795" s="1335" t="s">
        <v>475</v>
      </c>
      <c r="L795" s="180">
        <v>100</v>
      </c>
      <c r="M795" t="s">
        <v>7818</v>
      </c>
      <c r="N795" t="str">
        <f t="shared" si="50"/>
        <v>C A I S (2127)</v>
      </c>
      <c r="O795" t="s">
        <v>52</v>
      </c>
      <c r="P795" t="str">
        <f t="shared" si="51"/>
        <v>18000_2127</v>
      </c>
      <c r="Q795" s="180">
        <v>0</v>
      </c>
    </row>
    <row r="796" spans="1:17">
      <c r="A796" t="str">
        <f t="shared" si="48"/>
        <v>UGA_2130</v>
      </c>
      <c r="B796" t="str">
        <f t="shared" si="49"/>
        <v>UGA_BUILDING 2130</v>
      </c>
      <c r="C796" t="s">
        <v>443</v>
      </c>
      <c r="D796" s="180" t="s">
        <v>51</v>
      </c>
      <c r="E796" t="s">
        <v>4226</v>
      </c>
      <c r="F796" t="s">
        <v>4227</v>
      </c>
      <c r="G796" s="180">
        <v>22849</v>
      </c>
      <c r="H796">
        <v>1977</v>
      </c>
      <c r="J796" s="1334" t="s">
        <v>475</v>
      </c>
      <c r="K796" s="1335" t="s">
        <v>475</v>
      </c>
      <c r="L796" s="180">
        <v>100</v>
      </c>
      <c r="M796" t="s">
        <v>7818</v>
      </c>
      <c r="N796" t="str">
        <f t="shared" si="50"/>
        <v>BUILDING 2130 (2130)</v>
      </c>
      <c r="O796" t="s">
        <v>52</v>
      </c>
      <c r="P796" t="str">
        <f t="shared" si="51"/>
        <v>18000_2130</v>
      </c>
      <c r="Q796" s="180">
        <v>100</v>
      </c>
    </row>
    <row r="797" spans="1:17">
      <c r="A797" t="str">
        <f t="shared" si="48"/>
        <v>UGA_2131</v>
      </c>
      <c r="B797" t="str">
        <f t="shared" si="49"/>
        <v>UGA_CERAMICS</v>
      </c>
      <c r="C797" t="s">
        <v>443</v>
      </c>
      <c r="D797" s="180" t="s">
        <v>51</v>
      </c>
      <c r="E797" t="s">
        <v>4349</v>
      </c>
      <c r="F797" t="s">
        <v>4350</v>
      </c>
      <c r="G797" s="180">
        <v>16846</v>
      </c>
      <c r="H797">
        <v>2010</v>
      </c>
      <c r="J797" s="1334" t="s">
        <v>475</v>
      </c>
      <c r="K797" s="1335" t="s">
        <v>475</v>
      </c>
      <c r="L797" s="180">
        <v>100</v>
      </c>
      <c r="M797" t="s">
        <v>7818</v>
      </c>
      <c r="N797" t="str">
        <f t="shared" si="50"/>
        <v>CERAMICS (2131)</v>
      </c>
      <c r="O797" t="s">
        <v>52</v>
      </c>
      <c r="P797" t="str">
        <f t="shared" si="51"/>
        <v>18000_2131</v>
      </c>
      <c r="Q797" s="180">
        <v>100</v>
      </c>
    </row>
    <row r="798" spans="1:17">
      <c r="A798" t="str">
        <f t="shared" si="48"/>
        <v>UGA_2132</v>
      </c>
      <c r="B798" t="str">
        <f t="shared" si="49"/>
        <v>UGA_WEST CAMPUS PARKING DECK II</v>
      </c>
      <c r="C798" t="s">
        <v>443</v>
      </c>
      <c r="D798" s="180" t="s">
        <v>51</v>
      </c>
      <c r="E798" t="s">
        <v>7607</v>
      </c>
      <c r="F798" t="s">
        <v>7723</v>
      </c>
      <c r="G798" s="180">
        <v>340000</v>
      </c>
      <c r="H798">
        <v>2025</v>
      </c>
      <c r="J798" s="1334" t="s">
        <v>475</v>
      </c>
      <c r="K798" s="1335" t="s">
        <v>475</v>
      </c>
      <c r="L798" s="180">
        <v>0</v>
      </c>
      <c r="M798" t="s">
        <v>7818</v>
      </c>
      <c r="N798" t="str">
        <f t="shared" si="50"/>
        <v>WEST CAMPUS PARKING DECK II (2132)</v>
      </c>
      <c r="O798" t="s">
        <v>52</v>
      </c>
      <c r="P798" t="str">
        <f t="shared" si="51"/>
        <v>18000_2132</v>
      </c>
      <c r="Q798" s="180">
        <v>0</v>
      </c>
    </row>
    <row r="799" spans="1:17">
      <c r="A799" t="str">
        <f t="shared" si="48"/>
        <v>UGA_2136</v>
      </c>
      <c r="B799" t="str">
        <f t="shared" si="49"/>
        <v>UGA_WEST CAMPUS PRKNG</v>
      </c>
      <c r="C799" t="s">
        <v>443</v>
      </c>
      <c r="D799" s="180" t="s">
        <v>51</v>
      </c>
      <c r="E799" t="s">
        <v>2740</v>
      </c>
      <c r="F799" t="s">
        <v>2741</v>
      </c>
      <c r="G799" s="180">
        <v>282850</v>
      </c>
      <c r="H799">
        <v>1993</v>
      </c>
      <c r="J799" s="1334" t="s">
        <v>475</v>
      </c>
      <c r="K799" s="1335" t="s">
        <v>475</v>
      </c>
      <c r="L799" s="180">
        <v>0</v>
      </c>
      <c r="M799" t="s">
        <v>7818</v>
      </c>
      <c r="N799" t="str">
        <f t="shared" si="50"/>
        <v>WEST CAMPUS PRKNG (2136)</v>
      </c>
      <c r="O799" t="s">
        <v>52</v>
      </c>
      <c r="P799" t="str">
        <f t="shared" si="51"/>
        <v>18000_2136</v>
      </c>
      <c r="Q799" s="180">
        <v>0</v>
      </c>
    </row>
    <row r="800" spans="1:17">
      <c r="A800" t="str">
        <f t="shared" si="48"/>
        <v>UGA_2137</v>
      </c>
      <c r="B800" t="str">
        <f t="shared" si="49"/>
        <v>UGA_FLO PAK MECH</v>
      </c>
      <c r="C800" t="s">
        <v>443</v>
      </c>
      <c r="D800" s="180" t="s">
        <v>51</v>
      </c>
      <c r="E800" t="s">
        <v>3254</v>
      </c>
      <c r="F800" t="s">
        <v>3255</v>
      </c>
      <c r="G800" s="180">
        <v>576</v>
      </c>
      <c r="H800">
        <v>1999</v>
      </c>
      <c r="J800" s="1334" t="s">
        <v>475</v>
      </c>
      <c r="K800" s="1335" t="s">
        <v>475</v>
      </c>
      <c r="L800" s="180">
        <v>0</v>
      </c>
      <c r="M800" t="s">
        <v>7818</v>
      </c>
      <c r="N800" t="str">
        <f t="shared" si="50"/>
        <v>FLO PAK MECH (2137)</v>
      </c>
      <c r="O800" t="s">
        <v>52</v>
      </c>
      <c r="P800" t="str">
        <f t="shared" si="51"/>
        <v>18000_2137</v>
      </c>
      <c r="Q800" s="180">
        <v>100</v>
      </c>
    </row>
    <row r="801" spans="1:17">
      <c r="A801" t="str">
        <f t="shared" si="48"/>
        <v>UGA_2138</v>
      </c>
      <c r="B801" t="str">
        <f t="shared" si="49"/>
        <v>UGA_HAZ STRG PRINTING</v>
      </c>
      <c r="C801" t="s">
        <v>443</v>
      </c>
      <c r="D801" s="180" t="s">
        <v>51</v>
      </c>
      <c r="E801" t="s">
        <v>1440</v>
      </c>
      <c r="F801" t="s">
        <v>1441</v>
      </c>
      <c r="G801" s="180">
        <v>310</v>
      </c>
      <c r="H801">
        <v>2016</v>
      </c>
      <c r="J801" s="1334" t="s">
        <v>475</v>
      </c>
      <c r="K801" s="1335" t="s">
        <v>475</v>
      </c>
      <c r="L801" s="180">
        <v>100</v>
      </c>
      <c r="M801" t="s">
        <v>7818</v>
      </c>
      <c r="N801" t="str">
        <f t="shared" si="50"/>
        <v>HAZ STRG PRINTING (2138)</v>
      </c>
      <c r="O801" t="s">
        <v>52</v>
      </c>
      <c r="P801" t="str">
        <f t="shared" si="51"/>
        <v>18000_2138</v>
      </c>
      <c r="Q801" s="180">
        <v>100</v>
      </c>
    </row>
    <row r="802" spans="1:17">
      <c r="A802" t="str">
        <f t="shared" si="48"/>
        <v>UGA_2204</v>
      </c>
      <c r="B802" t="str">
        <f t="shared" si="49"/>
        <v>UGA_MORRIS HALL</v>
      </c>
      <c r="C802" t="s">
        <v>443</v>
      </c>
      <c r="D802" s="180" t="s">
        <v>51</v>
      </c>
      <c r="E802" t="s">
        <v>3132</v>
      </c>
      <c r="F802" t="s">
        <v>3133</v>
      </c>
      <c r="G802" s="180">
        <v>29787</v>
      </c>
      <c r="H802">
        <v>1957</v>
      </c>
      <c r="J802" s="1334" t="s">
        <v>475</v>
      </c>
      <c r="K802" s="1335" t="s">
        <v>486</v>
      </c>
      <c r="L802" s="180">
        <v>0</v>
      </c>
      <c r="M802" t="s">
        <v>7818</v>
      </c>
      <c r="N802" t="str">
        <f t="shared" si="50"/>
        <v>MORRIS HALL (2204)</v>
      </c>
      <c r="O802" t="s">
        <v>52</v>
      </c>
      <c r="P802" t="str">
        <f t="shared" si="51"/>
        <v>18000_2204</v>
      </c>
      <c r="Q802" s="180">
        <v>100</v>
      </c>
    </row>
    <row r="803" spans="1:17">
      <c r="A803" t="str">
        <f t="shared" si="48"/>
        <v>UGA_2208</v>
      </c>
      <c r="B803" t="str">
        <f t="shared" si="49"/>
        <v>UGA_LIPSCOMB HALL</v>
      </c>
      <c r="C803" t="s">
        <v>443</v>
      </c>
      <c r="D803" s="180" t="s">
        <v>51</v>
      </c>
      <c r="E803" t="s">
        <v>3959</v>
      </c>
      <c r="F803" t="s">
        <v>3960</v>
      </c>
      <c r="G803" s="180">
        <v>33353</v>
      </c>
      <c r="H803">
        <v>1961</v>
      </c>
      <c r="J803" s="1334" t="s">
        <v>475</v>
      </c>
      <c r="K803" s="1335" t="s">
        <v>1520</v>
      </c>
      <c r="L803" s="180">
        <v>0</v>
      </c>
      <c r="M803" t="s">
        <v>7818</v>
      </c>
      <c r="N803" t="str">
        <f t="shared" si="50"/>
        <v>LIPSCOMB HALL (2208)</v>
      </c>
      <c r="O803" t="s">
        <v>52</v>
      </c>
      <c r="P803" t="str">
        <f t="shared" si="51"/>
        <v>18000_2208</v>
      </c>
      <c r="Q803" s="180">
        <v>100</v>
      </c>
    </row>
    <row r="804" spans="1:17">
      <c r="A804" t="str">
        <f t="shared" si="48"/>
        <v>UGA_2209</v>
      </c>
      <c r="B804" t="str">
        <f t="shared" si="49"/>
        <v>UGA_MELL HALL</v>
      </c>
      <c r="C804" t="s">
        <v>443</v>
      </c>
      <c r="D804" s="180" t="s">
        <v>51</v>
      </c>
      <c r="E804" t="s">
        <v>2595</v>
      </c>
      <c r="F804" t="s">
        <v>2596</v>
      </c>
      <c r="G804" s="180">
        <v>33387</v>
      </c>
      <c r="H804">
        <v>1961</v>
      </c>
      <c r="J804" s="1334" t="s">
        <v>475</v>
      </c>
      <c r="K804" s="1335" t="s">
        <v>1520</v>
      </c>
      <c r="L804" s="180">
        <v>0</v>
      </c>
      <c r="M804" t="s">
        <v>7818</v>
      </c>
      <c r="N804" t="str">
        <f t="shared" si="50"/>
        <v>MELL HALL (2209)</v>
      </c>
      <c r="O804" t="s">
        <v>52</v>
      </c>
      <c r="P804" t="str">
        <f t="shared" si="51"/>
        <v>18000_2209</v>
      </c>
      <c r="Q804" s="180">
        <v>100</v>
      </c>
    </row>
    <row r="805" spans="1:17">
      <c r="A805" t="str">
        <f t="shared" si="48"/>
        <v>UGA_2211</v>
      </c>
      <c r="B805" t="str">
        <f t="shared" si="49"/>
        <v>UGA_CRESWELL HALL</v>
      </c>
      <c r="C805" t="s">
        <v>443</v>
      </c>
      <c r="D805" s="180" t="s">
        <v>51</v>
      </c>
      <c r="E805" t="s">
        <v>1633</v>
      </c>
      <c r="F805" t="s">
        <v>1634</v>
      </c>
      <c r="G805" s="180">
        <v>192555</v>
      </c>
      <c r="H805">
        <v>1963</v>
      </c>
      <c r="J805" s="1334" t="s">
        <v>475</v>
      </c>
      <c r="K805" s="1335" t="s">
        <v>475</v>
      </c>
      <c r="L805" s="180">
        <v>1</v>
      </c>
      <c r="M805" t="s">
        <v>7818</v>
      </c>
      <c r="N805" t="str">
        <f t="shared" si="50"/>
        <v>CRESWELL HALL (2211)</v>
      </c>
      <c r="O805" t="s">
        <v>52</v>
      </c>
      <c r="P805" t="str">
        <f t="shared" si="51"/>
        <v>18000_2211</v>
      </c>
      <c r="Q805" s="180">
        <v>100</v>
      </c>
    </row>
    <row r="806" spans="1:17">
      <c r="A806" t="str">
        <f t="shared" si="48"/>
        <v>UGA_2212</v>
      </c>
      <c r="B806" t="str">
        <f t="shared" si="49"/>
        <v>UGA_RUSSELL HALL</v>
      </c>
      <c r="C806" t="s">
        <v>443</v>
      </c>
      <c r="D806" s="180" t="s">
        <v>51</v>
      </c>
      <c r="E806" t="s">
        <v>3627</v>
      </c>
      <c r="F806" t="s">
        <v>3628</v>
      </c>
      <c r="G806" s="180">
        <v>229917</v>
      </c>
      <c r="H806">
        <v>1967</v>
      </c>
      <c r="J806" s="1334" t="s">
        <v>475</v>
      </c>
      <c r="K806" s="1335" t="s">
        <v>486</v>
      </c>
      <c r="L806" s="180">
        <v>3</v>
      </c>
      <c r="M806" t="s">
        <v>7818</v>
      </c>
      <c r="N806" t="str">
        <f t="shared" si="50"/>
        <v>RUSSELL HALL (2212)</v>
      </c>
      <c r="O806" t="s">
        <v>52</v>
      </c>
      <c r="P806" t="str">
        <f t="shared" si="51"/>
        <v>18000_2212</v>
      </c>
      <c r="Q806" s="180">
        <v>100</v>
      </c>
    </row>
    <row r="807" spans="1:17">
      <c r="A807" t="str">
        <f t="shared" si="48"/>
        <v>UGA_2213</v>
      </c>
      <c r="B807" t="str">
        <f t="shared" si="49"/>
        <v>UGA_BRUMBY HALL</v>
      </c>
      <c r="C807" t="s">
        <v>443</v>
      </c>
      <c r="D807" s="180" t="s">
        <v>51</v>
      </c>
      <c r="E807" t="s">
        <v>4041</v>
      </c>
      <c r="F807" t="s">
        <v>4042</v>
      </c>
      <c r="G807" s="180">
        <v>229570</v>
      </c>
      <c r="H807">
        <v>1966</v>
      </c>
      <c r="J807" s="1334" t="s">
        <v>475</v>
      </c>
      <c r="K807" s="1335" t="s">
        <v>486</v>
      </c>
      <c r="L807" s="180">
        <v>1</v>
      </c>
      <c r="M807" t="s">
        <v>7818</v>
      </c>
      <c r="N807" t="str">
        <f t="shared" si="50"/>
        <v>BRUMBY HALL (2213)</v>
      </c>
      <c r="O807" t="s">
        <v>52</v>
      </c>
      <c r="P807" t="str">
        <f t="shared" si="51"/>
        <v>18000_2213</v>
      </c>
      <c r="Q807" s="180">
        <v>33</v>
      </c>
    </row>
    <row r="808" spans="1:17">
      <c r="A808" t="str">
        <f t="shared" si="48"/>
        <v>UGA_2214</v>
      </c>
      <c r="B808" t="str">
        <f t="shared" si="49"/>
        <v>UGA_HILL HALL</v>
      </c>
      <c r="C808" t="s">
        <v>443</v>
      </c>
      <c r="D808" s="180" t="s">
        <v>51</v>
      </c>
      <c r="E808" t="s">
        <v>2754</v>
      </c>
      <c r="F808" t="s">
        <v>2755</v>
      </c>
      <c r="G808" s="180">
        <v>33847</v>
      </c>
      <c r="H808">
        <v>1961</v>
      </c>
      <c r="J808" s="1334" t="s">
        <v>475</v>
      </c>
      <c r="K808" s="1335" t="s">
        <v>486</v>
      </c>
      <c r="L808" s="180">
        <v>0</v>
      </c>
      <c r="M808" t="s">
        <v>7818</v>
      </c>
      <c r="N808" t="str">
        <f t="shared" si="50"/>
        <v>HILL HALL (2214)</v>
      </c>
      <c r="O808" t="s">
        <v>52</v>
      </c>
      <c r="P808" t="str">
        <f t="shared" si="51"/>
        <v>18000_2214</v>
      </c>
      <c r="Q808" s="180">
        <v>100</v>
      </c>
    </row>
    <row r="809" spans="1:17">
      <c r="A809" t="str">
        <f t="shared" si="48"/>
        <v>UGA_2215</v>
      </c>
      <c r="B809" t="str">
        <f t="shared" si="49"/>
        <v>UGA_CHURCH HALL</v>
      </c>
      <c r="C809" t="s">
        <v>443</v>
      </c>
      <c r="D809" s="180" t="s">
        <v>51</v>
      </c>
      <c r="E809" t="s">
        <v>4207</v>
      </c>
      <c r="F809" t="s">
        <v>4208</v>
      </c>
      <c r="G809" s="180">
        <v>33414</v>
      </c>
      <c r="H809">
        <v>1961</v>
      </c>
      <c r="J809" s="1334" t="s">
        <v>475</v>
      </c>
      <c r="K809" s="1335" t="s">
        <v>1520</v>
      </c>
      <c r="L809" s="180">
        <v>0</v>
      </c>
      <c r="M809" t="s">
        <v>7818</v>
      </c>
      <c r="N809" t="str">
        <f t="shared" si="50"/>
        <v>CHURCH HALL (2215)</v>
      </c>
      <c r="O809" t="s">
        <v>52</v>
      </c>
      <c r="P809" t="str">
        <f t="shared" si="51"/>
        <v>18000_2215</v>
      </c>
      <c r="Q809" s="180">
        <v>100</v>
      </c>
    </row>
    <row r="810" spans="1:17">
      <c r="A810" t="str">
        <f t="shared" si="48"/>
        <v>UGA_2216</v>
      </c>
      <c r="B810" t="str">
        <f t="shared" si="49"/>
        <v>UGA_BOGGS HALL</v>
      </c>
      <c r="C810" t="s">
        <v>443</v>
      </c>
      <c r="D810" s="180" t="s">
        <v>51</v>
      </c>
      <c r="E810" t="s">
        <v>3134</v>
      </c>
      <c r="F810" t="s">
        <v>3135</v>
      </c>
      <c r="G810" s="180">
        <v>33126</v>
      </c>
      <c r="H810">
        <v>1961</v>
      </c>
      <c r="J810" s="1334" t="s">
        <v>475</v>
      </c>
      <c r="K810" s="1335" t="s">
        <v>1520</v>
      </c>
      <c r="L810" s="180">
        <v>1</v>
      </c>
      <c r="M810" t="s">
        <v>7818</v>
      </c>
      <c r="N810" t="str">
        <f t="shared" si="50"/>
        <v>BOGGS HALL (2216)</v>
      </c>
      <c r="O810" t="s">
        <v>52</v>
      </c>
      <c r="P810" t="str">
        <f t="shared" si="51"/>
        <v>18000_2216</v>
      </c>
      <c r="Q810" s="180">
        <v>0</v>
      </c>
    </row>
    <row r="811" spans="1:17">
      <c r="A811" t="str">
        <f t="shared" si="48"/>
        <v>UGA_2217</v>
      </c>
      <c r="B811" t="str">
        <f t="shared" si="49"/>
        <v>UGA_OGLETHORPE HOUSE</v>
      </c>
      <c r="C811" t="s">
        <v>443</v>
      </c>
      <c r="D811" s="180" t="s">
        <v>51</v>
      </c>
      <c r="E811" t="s">
        <v>1759</v>
      </c>
      <c r="F811" t="s">
        <v>1760</v>
      </c>
      <c r="G811" s="180">
        <v>93538</v>
      </c>
      <c r="H811">
        <v>1963</v>
      </c>
      <c r="J811" s="1334" t="s">
        <v>475</v>
      </c>
      <c r="K811" s="1335" t="s">
        <v>1520</v>
      </c>
      <c r="L811" s="180">
        <v>1</v>
      </c>
      <c r="M811" t="s">
        <v>7818</v>
      </c>
      <c r="N811" t="str">
        <f t="shared" si="50"/>
        <v>OGLETHORPE HOUSE (2217)</v>
      </c>
      <c r="O811" t="s">
        <v>52</v>
      </c>
      <c r="P811" t="str">
        <f t="shared" si="51"/>
        <v>18000_2217</v>
      </c>
      <c r="Q811" s="180">
        <v>100</v>
      </c>
    </row>
    <row r="812" spans="1:17">
      <c r="A812" t="str">
        <f t="shared" si="48"/>
        <v>UGA_2218</v>
      </c>
      <c r="B812" t="str">
        <f t="shared" si="49"/>
        <v>UGA_ALPHA CHI OMEGA S.</v>
      </c>
      <c r="C812" t="s">
        <v>443</v>
      </c>
      <c r="D812" s="180" t="s">
        <v>51</v>
      </c>
      <c r="E812" t="s">
        <v>1761</v>
      </c>
      <c r="F812" t="s">
        <v>1762</v>
      </c>
      <c r="G812" s="180">
        <v>25367</v>
      </c>
      <c r="H812">
        <v>1955</v>
      </c>
      <c r="J812" s="1334" t="s">
        <v>475</v>
      </c>
      <c r="K812" s="1335" t="s">
        <v>475</v>
      </c>
      <c r="L812" s="180">
        <v>0</v>
      </c>
      <c r="M812" t="s">
        <v>7818</v>
      </c>
      <c r="N812" t="str">
        <f t="shared" si="50"/>
        <v>ALPHA CHI OMEGA S. (2218)</v>
      </c>
      <c r="O812" t="s">
        <v>52</v>
      </c>
      <c r="P812" t="str">
        <f t="shared" si="51"/>
        <v>18000_2218</v>
      </c>
      <c r="Q812" s="180">
        <v>0</v>
      </c>
    </row>
    <row r="813" spans="1:17">
      <c r="A813" t="str">
        <f t="shared" si="48"/>
        <v>UGA_2219</v>
      </c>
      <c r="B813" t="str">
        <f t="shared" si="49"/>
        <v>UGA_GLOBAL ENGAGEMENT</v>
      </c>
      <c r="C813" t="s">
        <v>443</v>
      </c>
      <c r="D813" s="180" t="s">
        <v>51</v>
      </c>
      <c r="E813" t="s">
        <v>4277</v>
      </c>
      <c r="F813" t="s">
        <v>4278</v>
      </c>
      <c r="G813" s="180">
        <v>13004</v>
      </c>
      <c r="H813">
        <v>1964</v>
      </c>
      <c r="J813" s="1334" t="s">
        <v>475</v>
      </c>
      <c r="K813" s="1335" t="s">
        <v>475</v>
      </c>
      <c r="L813" s="180">
        <v>100</v>
      </c>
      <c r="M813" t="s">
        <v>7818</v>
      </c>
      <c r="N813" t="str">
        <f t="shared" si="50"/>
        <v>GLOBAL ENGAGEMENT (2219)</v>
      </c>
      <c r="O813" t="s">
        <v>52</v>
      </c>
      <c r="P813" t="str">
        <f t="shared" si="51"/>
        <v>18000_2219</v>
      </c>
      <c r="Q813" s="180">
        <v>100</v>
      </c>
    </row>
    <row r="814" spans="1:17">
      <c r="A814" t="str">
        <f t="shared" si="48"/>
        <v>UGA_2220</v>
      </c>
      <c r="B814" t="str">
        <f t="shared" si="49"/>
        <v>UGA_SIGMA DELTA TAU S.</v>
      </c>
      <c r="C814" t="s">
        <v>443</v>
      </c>
      <c r="D814" s="180" t="s">
        <v>51</v>
      </c>
      <c r="E814" t="s">
        <v>4356</v>
      </c>
      <c r="F814" t="s">
        <v>4357</v>
      </c>
      <c r="G814" s="180">
        <v>10056</v>
      </c>
      <c r="H814">
        <v>1961</v>
      </c>
      <c r="J814" s="1334" t="s">
        <v>475</v>
      </c>
      <c r="K814" s="1335" t="s">
        <v>475</v>
      </c>
      <c r="L814" s="180">
        <v>0</v>
      </c>
      <c r="M814" t="s">
        <v>7818</v>
      </c>
      <c r="N814" t="str">
        <f t="shared" si="50"/>
        <v>SIGMA DELTA TAU S. (2220)</v>
      </c>
      <c r="O814" t="s">
        <v>52</v>
      </c>
      <c r="P814" t="str">
        <f t="shared" si="51"/>
        <v>18000_2220</v>
      </c>
      <c r="Q814" s="180">
        <v>100</v>
      </c>
    </row>
    <row r="815" spans="1:17">
      <c r="A815" t="str">
        <f t="shared" si="48"/>
        <v>UGA_2221</v>
      </c>
      <c r="B815" t="str">
        <f t="shared" si="49"/>
        <v>UGA_UNIV. VLG-A</v>
      </c>
      <c r="C815" t="s">
        <v>443</v>
      </c>
      <c r="D815" s="180" t="s">
        <v>51</v>
      </c>
      <c r="E815" t="s">
        <v>2676</v>
      </c>
      <c r="F815" t="s">
        <v>2677</v>
      </c>
      <c r="G815" s="180">
        <v>23790</v>
      </c>
      <c r="H815">
        <v>1964</v>
      </c>
      <c r="J815" s="1334" t="s">
        <v>475</v>
      </c>
      <c r="K815" s="1335" t="s">
        <v>1520</v>
      </c>
      <c r="L815" s="180">
        <v>0</v>
      </c>
      <c r="M815" t="s">
        <v>7818</v>
      </c>
      <c r="N815" t="str">
        <f t="shared" si="50"/>
        <v>UNIV. VLG-A (2221)</v>
      </c>
      <c r="O815" t="s">
        <v>52</v>
      </c>
      <c r="P815" t="str">
        <f t="shared" si="51"/>
        <v>18000_2221</v>
      </c>
      <c r="Q815" s="180">
        <v>100</v>
      </c>
    </row>
    <row r="816" spans="1:17">
      <c r="A816" t="str">
        <f t="shared" si="48"/>
        <v>UGA_2222</v>
      </c>
      <c r="B816" t="str">
        <f t="shared" si="49"/>
        <v>UGA_UNIV. VLG-B</v>
      </c>
      <c r="C816" t="s">
        <v>443</v>
      </c>
      <c r="D816" s="180" t="s">
        <v>51</v>
      </c>
      <c r="E816" t="s">
        <v>2678</v>
      </c>
      <c r="F816" t="s">
        <v>2679</v>
      </c>
      <c r="G816" s="180">
        <v>20815</v>
      </c>
      <c r="H816">
        <v>1964</v>
      </c>
      <c r="J816" s="1334" t="s">
        <v>475</v>
      </c>
      <c r="K816" s="1335" t="s">
        <v>1520</v>
      </c>
      <c r="L816" s="180">
        <v>0</v>
      </c>
      <c r="M816" t="s">
        <v>7818</v>
      </c>
      <c r="N816" t="str">
        <f t="shared" si="50"/>
        <v>UNIV. VLG-B (2222)</v>
      </c>
      <c r="O816" t="s">
        <v>52</v>
      </c>
      <c r="P816" t="str">
        <f t="shared" si="51"/>
        <v>18000_2222</v>
      </c>
      <c r="Q816" s="180">
        <v>100</v>
      </c>
    </row>
    <row r="817" spans="1:17">
      <c r="A817" t="str">
        <f t="shared" si="48"/>
        <v>UGA_2223</v>
      </c>
      <c r="B817" t="str">
        <f t="shared" si="49"/>
        <v>UGA_UNIV. VLG-C</v>
      </c>
      <c r="C817" t="s">
        <v>443</v>
      </c>
      <c r="D817" s="180" t="s">
        <v>51</v>
      </c>
      <c r="E817" t="s">
        <v>1993</v>
      </c>
      <c r="F817" t="s">
        <v>1994</v>
      </c>
      <c r="G817" s="180">
        <v>25652</v>
      </c>
      <c r="H817">
        <v>1964</v>
      </c>
      <c r="J817" s="1334" t="s">
        <v>475</v>
      </c>
      <c r="K817" s="1335" t="s">
        <v>1520</v>
      </c>
      <c r="L817" s="180">
        <v>0</v>
      </c>
      <c r="M817" t="s">
        <v>7818</v>
      </c>
      <c r="N817" t="str">
        <f t="shared" si="50"/>
        <v>UNIV. VLG-C (2223)</v>
      </c>
      <c r="O817" t="s">
        <v>52</v>
      </c>
      <c r="P817" t="str">
        <f t="shared" si="51"/>
        <v>18000_2223</v>
      </c>
      <c r="Q817" s="180">
        <v>100</v>
      </c>
    </row>
    <row r="818" spans="1:17">
      <c r="A818" t="str">
        <f t="shared" si="48"/>
        <v>UGA_2224</v>
      </c>
      <c r="B818" t="str">
        <f t="shared" si="49"/>
        <v>UGA_UNIV. VLG-D</v>
      </c>
      <c r="C818" t="s">
        <v>443</v>
      </c>
      <c r="D818" s="180" t="s">
        <v>51</v>
      </c>
      <c r="E818" t="s">
        <v>4279</v>
      </c>
      <c r="F818" t="s">
        <v>4280</v>
      </c>
      <c r="G818" s="180">
        <v>32880</v>
      </c>
      <c r="H818">
        <v>1964</v>
      </c>
      <c r="J818" s="1334" t="s">
        <v>475</v>
      </c>
      <c r="K818" s="1335" t="s">
        <v>1520</v>
      </c>
      <c r="L818" s="180">
        <v>0</v>
      </c>
      <c r="M818" t="s">
        <v>7818</v>
      </c>
      <c r="N818" t="str">
        <f t="shared" si="50"/>
        <v>UNIV. VLG-D (2224)</v>
      </c>
      <c r="O818" t="s">
        <v>52</v>
      </c>
      <c r="P818" t="str">
        <f t="shared" si="51"/>
        <v>18000_2224</v>
      </c>
      <c r="Q818" s="180">
        <v>100</v>
      </c>
    </row>
    <row r="819" spans="1:17">
      <c r="A819" t="str">
        <f t="shared" si="48"/>
        <v>UGA_2225</v>
      </c>
      <c r="B819" t="str">
        <f t="shared" si="49"/>
        <v>UGA_UNIV. VLG-E</v>
      </c>
      <c r="C819" t="s">
        <v>443</v>
      </c>
      <c r="D819" s="180" t="s">
        <v>51</v>
      </c>
      <c r="E819" t="s">
        <v>2955</v>
      </c>
      <c r="F819" t="s">
        <v>2956</v>
      </c>
      <c r="G819" s="180">
        <v>23932</v>
      </c>
      <c r="H819">
        <v>1966</v>
      </c>
      <c r="J819" s="1334" t="s">
        <v>475</v>
      </c>
      <c r="K819" s="1335" t="s">
        <v>1520</v>
      </c>
      <c r="L819" s="180">
        <v>0</v>
      </c>
      <c r="M819" t="s">
        <v>7818</v>
      </c>
      <c r="N819" t="str">
        <f t="shared" si="50"/>
        <v>UNIV. VLG-E (2225)</v>
      </c>
      <c r="O819" t="s">
        <v>52</v>
      </c>
      <c r="P819" t="str">
        <f t="shared" si="51"/>
        <v>18000_2225</v>
      </c>
      <c r="Q819" s="180">
        <v>100</v>
      </c>
    </row>
    <row r="820" spans="1:17">
      <c r="A820" t="str">
        <f t="shared" si="48"/>
        <v>UGA_2226</v>
      </c>
      <c r="B820" t="str">
        <f t="shared" si="49"/>
        <v>UGA_UNIV. VLG-F</v>
      </c>
      <c r="C820" t="s">
        <v>443</v>
      </c>
      <c r="D820" s="180" t="s">
        <v>51</v>
      </c>
      <c r="E820" t="s">
        <v>2926</v>
      </c>
      <c r="F820" t="s">
        <v>2927</v>
      </c>
      <c r="G820" s="180">
        <v>21210</v>
      </c>
      <c r="H820">
        <v>1966</v>
      </c>
      <c r="J820" s="1334" t="s">
        <v>475</v>
      </c>
      <c r="K820" s="1335" t="s">
        <v>1520</v>
      </c>
      <c r="L820" s="180">
        <v>0</v>
      </c>
      <c r="M820" t="s">
        <v>7818</v>
      </c>
      <c r="N820" t="str">
        <f t="shared" si="50"/>
        <v>UNIV. VLG-F (2226)</v>
      </c>
      <c r="O820" t="s">
        <v>52</v>
      </c>
      <c r="P820" t="str">
        <f t="shared" si="51"/>
        <v>18000_2226</v>
      </c>
      <c r="Q820" s="180">
        <v>100</v>
      </c>
    </row>
    <row r="821" spans="1:17">
      <c r="A821" t="str">
        <f t="shared" si="48"/>
        <v>UGA_2227</v>
      </c>
      <c r="B821" t="str">
        <f t="shared" si="49"/>
        <v>UGA_UNIV. VLG-G</v>
      </c>
      <c r="C821" t="s">
        <v>443</v>
      </c>
      <c r="D821" s="180" t="s">
        <v>51</v>
      </c>
      <c r="E821" t="s">
        <v>3348</v>
      </c>
      <c r="F821" t="s">
        <v>3349</v>
      </c>
      <c r="G821" s="180">
        <v>29714</v>
      </c>
      <c r="H821">
        <v>1966</v>
      </c>
      <c r="J821" s="1334" t="s">
        <v>475</v>
      </c>
      <c r="K821" s="1335" t="s">
        <v>1520</v>
      </c>
      <c r="L821" s="180">
        <v>0</v>
      </c>
      <c r="M821" t="s">
        <v>7818</v>
      </c>
      <c r="N821" t="str">
        <f t="shared" si="50"/>
        <v>UNIV. VLG-G (2227)</v>
      </c>
      <c r="O821" t="s">
        <v>52</v>
      </c>
      <c r="P821" t="str">
        <f t="shared" si="51"/>
        <v>18000_2227</v>
      </c>
      <c r="Q821" s="180">
        <v>0</v>
      </c>
    </row>
    <row r="822" spans="1:17">
      <c r="A822" t="str">
        <f t="shared" si="48"/>
        <v>UGA_2228</v>
      </c>
      <c r="B822" t="str">
        <f t="shared" si="49"/>
        <v>UGA_UNIV. VLG-H</v>
      </c>
      <c r="C822" t="s">
        <v>443</v>
      </c>
      <c r="D822" s="180" t="s">
        <v>51</v>
      </c>
      <c r="E822" t="s">
        <v>1525</v>
      </c>
      <c r="F822" t="s">
        <v>1526</v>
      </c>
      <c r="G822" s="180">
        <v>28447</v>
      </c>
      <c r="H822">
        <v>1966</v>
      </c>
      <c r="J822" s="1334" t="s">
        <v>475</v>
      </c>
      <c r="K822" s="1335" t="s">
        <v>475</v>
      </c>
      <c r="L822" s="180">
        <v>0</v>
      </c>
      <c r="M822" t="s">
        <v>7818</v>
      </c>
      <c r="N822" t="str">
        <f t="shared" si="50"/>
        <v>UNIV. VLG-H (2228)</v>
      </c>
      <c r="O822" t="s">
        <v>52</v>
      </c>
      <c r="P822" t="str">
        <f t="shared" si="51"/>
        <v>18000_2228</v>
      </c>
      <c r="Q822" s="180">
        <v>0</v>
      </c>
    </row>
    <row r="823" spans="1:17">
      <c r="A823" t="str">
        <f t="shared" si="48"/>
        <v>UGA_2229</v>
      </c>
      <c r="B823" t="str">
        <f t="shared" si="49"/>
        <v>UGA_UNIV. VLG-J</v>
      </c>
      <c r="C823" t="s">
        <v>443</v>
      </c>
      <c r="D823" s="180" t="s">
        <v>51</v>
      </c>
      <c r="E823" t="s">
        <v>2535</v>
      </c>
      <c r="F823" t="s">
        <v>2536</v>
      </c>
      <c r="G823" s="180">
        <v>31170</v>
      </c>
      <c r="H823">
        <v>1966</v>
      </c>
      <c r="J823" s="1334" t="s">
        <v>475</v>
      </c>
      <c r="K823" s="1335" t="s">
        <v>1520</v>
      </c>
      <c r="L823" s="180">
        <v>0</v>
      </c>
      <c r="M823" t="s">
        <v>7818</v>
      </c>
      <c r="N823" t="str">
        <f t="shared" si="50"/>
        <v>UNIV. VLG-J (2229)</v>
      </c>
      <c r="O823" t="s">
        <v>52</v>
      </c>
      <c r="P823" t="str">
        <f t="shared" si="51"/>
        <v>18000_2229</v>
      </c>
      <c r="Q823" s="180">
        <v>100</v>
      </c>
    </row>
    <row r="824" spans="1:17">
      <c r="A824" t="str">
        <f t="shared" si="48"/>
        <v>UGA_2230</v>
      </c>
      <c r="B824" t="str">
        <f t="shared" si="49"/>
        <v>UGA_UNIV. VLG-K</v>
      </c>
      <c r="C824" t="s">
        <v>443</v>
      </c>
      <c r="D824" s="180" t="s">
        <v>51</v>
      </c>
      <c r="E824" t="s">
        <v>2537</v>
      </c>
      <c r="F824" t="s">
        <v>2538</v>
      </c>
      <c r="G824" s="180">
        <v>31168</v>
      </c>
      <c r="H824">
        <v>1966</v>
      </c>
      <c r="J824" s="1334" t="s">
        <v>475</v>
      </c>
      <c r="K824" s="1335" t="s">
        <v>1520</v>
      </c>
      <c r="L824" s="180">
        <v>0</v>
      </c>
      <c r="M824" t="s">
        <v>7818</v>
      </c>
      <c r="N824" t="str">
        <f t="shared" si="50"/>
        <v>UNIV. VLG-K (2230)</v>
      </c>
      <c r="O824" t="s">
        <v>52</v>
      </c>
      <c r="P824" t="str">
        <f t="shared" si="51"/>
        <v>18000_2230</v>
      </c>
      <c r="Q824" s="180">
        <v>0</v>
      </c>
    </row>
    <row r="825" spans="1:17">
      <c r="A825" t="str">
        <f t="shared" si="48"/>
        <v>UGA_2231</v>
      </c>
      <c r="B825" t="str">
        <f t="shared" si="49"/>
        <v>UGA_UNIV. VLG-L</v>
      </c>
      <c r="C825" t="s">
        <v>443</v>
      </c>
      <c r="D825" s="180" t="s">
        <v>51</v>
      </c>
      <c r="E825" t="s">
        <v>4358</v>
      </c>
      <c r="F825" t="s">
        <v>4359</v>
      </c>
      <c r="G825" s="180">
        <v>25676</v>
      </c>
      <c r="H825">
        <v>1966</v>
      </c>
      <c r="J825" s="1334" t="s">
        <v>475</v>
      </c>
      <c r="K825" s="1335" t="s">
        <v>1520</v>
      </c>
      <c r="L825" s="180">
        <v>0</v>
      </c>
      <c r="M825" t="s">
        <v>7818</v>
      </c>
      <c r="N825" t="str">
        <f t="shared" si="50"/>
        <v>UNIV. VLG-L (2231)</v>
      </c>
      <c r="O825" t="s">
        <v>52</v>
      </c>
      <c r="P825" t="str">
        <f t="shared" si="51"/>
        <v>18000_2231</v>
      </c>
      <c r="Q825" s="180">
        <v>0</v>
      </c>
    </row>
    <row r="826" spans="1:17">
      <c r="A826" t="str">
        <f t="shared" si="48"/>
        <v>UGA_2232</v>
      </c>
      <c r="B826" t="str">
        <f t="shared" si="49"/>
        <v>UGA_ALPHA EPSILON PI F</v>
      </c>
      <c r="C826" t="s">
        <v>443</v>
      </c>
      <c r="D826" s="180" t="s">
        <v>51</v>
      </c>
      <c r="E826" t="s">
        <v>1527</v>
      </c>
      <c r="F826" t="s">
        <v>1528</v>
      </c>
      <c r="G826" s="180">
        <v>10614</v>
      </c>
      <c r="H826">
        <v>1958</v>
      </c>
      <c r="J826" s="1334" t="s">
        <v>475</v>
      </c>
      <c r="K826" s="1335" t="s">
        <v>475</v>
      </c>
      <c r="L826" s="180">
        <v>0</v>
      </c>
      <c r="M826" t="s">
        <v>7818</v>
      </c>
      <c r="N826" t="str">
        <f t="shared" si="50"/>
        <v>ALPHA EPSILON PI F (2232)</v>
      </c>
      <c r="O826" t="s">
        <v>52</v>
      </c>
      <c r="P826" t="str">
        <f t="shared" si="51"/>
        <v>18000_2232</v>
      </c>
      <c r="Q826" s="180">
        <v>100</v>
      </c>
    </row>
    <row r="827" spans="1:17">
      <c r="A827" t="str">
        <f t="shared" si="48"/>
        <v>UGA_2233</v>
      </c>
      <c r="B827" t="str">
        <f t="shared" si="49"/>
        <v>UGA_KAPPA SIGMA F.</v>
      </c>
      <c r="C827" t="s">
        <v>443</v>
      </c>
      <c r="D827" s="180" t="s">
        <v>51</v>
      </c>
      <c r="E827" t="s">
        <v>2928</v>
      </c>
      <c r="F827" t="s">
        <v>2929</v>
      </c>
      <c r="G827" s="180">
        <v>13761</v>
      </c>
      <c r="H827">
        <v>1961</v>
      </c>
      <c r="J827" s="1334" t="s">
        <v>475</v>
      </c>
      <c r="K827" s="1335" t="s">
        <v>486</v>
      </c>
      <c r="L827" s="180">
        <v>0</v>
      </c>
      <c r="M827" t="s">
        <v>7818</v>
      </c>
      <c r="N827" t="str">
        <f t="shared" si="50"/>
        <v>KAPPA SIGMA F. (2233)</v>
      </c>
      <c r="O827" t="s">
        <v>52</v>
      </c>
      <c r="P827" t="str">
        <f t="shared" si="51"/>
        <v>18000_2233</v>
      </c>
      <c r="Q827" s="180">
        <v>100</v>
      </c>
    </row>
    <row r="828" spans="1:17">
      <c r="A828" t="str">
        <f t="shared" si="48"/>
        <v>UGA_2238</v>
      </c>
      <c r="B828" t="str">
        <f t="shared" si="49"/>
        <v>UGA_UNIV VILL COMM OFF</v>
      </c>
      <c r="C828" t="s">
        <v>443</v>
      </c>
      <c r="D828" s="180" t="s">
        <v>51</v>
      </c>
      <c r="E828" t="s">
        <v>3155</v>
      </c>
      <c r="F828" t="s">
        <v>3156</v>
      </c>
      <c r="G828" s="180">
        <v>11681</v>
      </c>
      <c r="H828">
        <v>1970</v>
      </c>
      <c r="J828" s="1334" t="s">
        <v>475</v>
      </c>
      <c r="K828" s="1335" t="s">
        <v>1520</v>
      </c>
      <c r="L828" s="180">
        <v>3</v>
      </c>
      <c r="M828" t="s">
        <v>7818</v>
      </c>
      <c r="N828" t="str">
        <f t="shared" si="50"/>
        <v>UNIV VILL COMM OFF (2238)</v>
      </c>
      <c r="O828" t="s">
        <v>52</v>
      </c>
      <c r="P828" t="str">
        <f t="shared" si="51"/>
        <v>18000_2238</v>
      </c>
      <c r="Q828" s="180">
        <v>100</v>
      </c>
    </row>
    <row r="829" spans="1:17">
      <c r="A829" t="str">
        <f t="shared" si="48"/>
        <v>UGA_2240</v>
      </c>
      <c r="B829" t="str">
        <f t="shared" si="49"/>
        <v>UGA_ROGERS ROAD APTS M</v>
      </c>
      <c r="C829" t="s">
        <v>443</v>
      </c>
      <c r="D829" s="180" t="s">
        <v>51</v>
      </c>
      <c r="E829" t="s">
        <v>4144</v>
      </c>
      <c r="F829" t="s">
        <v>4145</v>
      </c>
      <c r="G829" s="180">
        <v>39620</v>
      </c>
      <c r="H829">
        <v>1973</v>
      </c>
      <c r="J829" s="1334" t="s">
        <v>475</v>
      </c>
      <c r="K829" s="1335" t="s">
        <v>475</v>
      </c>
      <c r="L829" s="180">
        <v>0</v>
      </c>
      <c r="M829" t="s">
        <v>7818</v>
      </c>
      <c r="N829" t="str">
        <f t="shared" si="50"/>
        <v>ROGERS ROAD APTS M (2240)</v>
      </c>
      <c r="O829" t="s">
        <v>52</v>
      </c>
      <c r="P829" t="str">
        <f t="shared" si="51"/>
        <v>18000_2240</v>
      </c>
      <c r="Q829" s="180">
        <v>100</v>
      </c>
    </row>
    <row r="830" spans="1:17">
      <c r="A830" t="str">
        <f t="shared" si="48"/>
        <v>UGA_2241</v>
      </c>
      <c r="B830" t="str">
        <f t="shared" si="49"/>
        <v>UGA_ROGERS ROAD APTS N</v>
      </c>
      <c r="C830" t="s">
        <v>443</v>
      </c>
      <c r="D830" s="180" t="s">
        <v>51</v>
      </c>
      <c r="E830" t="s">
        <v>1792</v>
      </c>
      <c r="F830" t="s">
        <v>1793</v>
      </c>
      <c r="G830" s="180">
        <v>39620</v>
      </c>
      <c r="H830">
        <v>1973</v>
      </c>
      <c r="J830" s="1334" t="s">
        <v>475</v>
      </c>
      <c r="K830" s="1335" t="s">
        <v>475</v>
      </c>
      <c r="L830" s="180">
        <v>0</v>
      </c>
      <c r="M830" t="s">
        <v>7818</v>
      </c>
      <c r="N830" t="str">
        <f t="shared" si="50"/>
        <v>ROGERS ROAD APTS N (2241)</v>
      </c>
      <c r="O830" t="s">
        <v>52</v>
      </c>
      <c r="P830" t="str">
        <f t="shared" si="51"/>
        <v>18000_2241</v>
      </c>
      <c r="Q830" s="180">
        <v>100</v>
      </c>
    </row>
    <row r="831" spans="1:17">
      <c r="A831" t="str">
        <f t="shared" si="48"/>
        <v>UGA_2242</v>
      </c>
      <c r="B831" t="str">
        <f t="shared" si="49"/>
        <v>UGA_ROGERS ROAD APTS P</v>
      </c>
      <c r="C831" t="s">
        <v>443</v>
      </c>
      <c r="D831" s="180" t="s">
        <v>51</v>
      </c>
      <c r="E831" t="s">
        <v>1442</v>
      </c>
      <c r="F831" t="s">
        <v>1443</v>
      </c>
      <c r="G831" s="180">
        <v>36277</v>
      </c>
      <c r="H831">
        <v>1973</v>
      </c>
      <c r="J831" s="1334" t="s">
        <v>475</v>
      </c>
      <c r="K831" s="1335" t="s">
        <v>486</v>
      </c>
      <c r="L831" s="180">
        <v>0</v>
      </c>
      <c r="M831" t="s">
        <v>7818</v>
      </c>
      <c r="N831" t="str">
        <f t="shared" si="50"/>
        <v>ROGERS ROAD APTS P (2242)</v>
      </c>
      <c r="O831" t="s">
        <v>52</v>
      </c>
      <c r="P831" t="str">
        <f t="shared" si="51"/>
        <v>18000_2242</v>
      </c>
      <c r="Q831" s="180">
        <v>100</v>
      </c>
    </row>
    <row r="832" spans="1:17">
      <c r="A832" t="str">
        <f t="shared" si="48"/>
        <v>UGA_2243</v>
      </c>
      <c r="B832" t="str">
        <f t="shared" si="49"/>
        <v>UGA_ROGERS ROAD APTS Q</v>
      </c>
      <c r="C832" t="s">
        <v>443</v>
      </c>
      <c r="D832" s="180" t="s">
        <v>51</v>
      </c>
      <c r="E832" t="s">
        <v>1716</v>
      </c>
      <c r="F832" t="s">
        <v>1717</v>
      </c>
      <c r="G832" s="180">
        <v>36298</v>
      </c>
      <c r="H832">
        <v>1973</v>
      </c>
      <c r="J832" s="1334" t="s">
        <v>475</v>
      </c>
      <c r="K832" s="1335" t="s">
        <v>486</v>
      </c>
      <c r="L832" s="180">
        <v>0</v>
      </c>
      <c r="M832" t="s">
        <v>7818</v>
      </c>
      <c r="N832" t="str">
        <f t="shared" si="50"/>
        <v>ROGERS ROAD APTS Q (2243)</v>
      </c>
      <c r="O832" t="s">
        <v>52</v>
      </c>
      <c r="P832" t="str">
        <f t="shared" si="51"/>
        <v>18000_2243</v>
      </c>
      <c r="Q832" s="180">
        <v>100</v>
      </c>
    </row>
    <row r="833" spans="1:17">
      <c r="A833" t="str">
        <f t="shared" si="48"/>
        <v>UGA_2244</v>
      </c>
      <c r="B833" t="str">
        <f t="shared" si="49"/>
        <v>UGA_ROGERS ROAD APTS R</v>
      </c>
      <c r="C833" t="s">
        <v>443</v>
      </c>
      <c r="D833" s="180" t="s">
        <v>51</v>
      </c>
      <c r="E833" t="s">
        <v>3371</v>
      </c>
      <c r="F833" t="s">
        <v>3372</v>
      </c>
      <c r="G833" s="180">
        <v>36281</v>
      </c>
      <c r="H833">
        <v>1973</v>
      </c>
      <c r="J833" s="1334" t="s">
        <v>475</v>
      </c>
      <c r="K833" s="1335" t="s">
        <v>486</v>
      </c>
      <c r="L833" s="180">
        <v>0</v>
      </c>
      <c r="M833" t="s">
        <v>7818</v>
      </c>
      <c r="N833" t="str">
        <f t="shared" si="50"/>
        <v>ROGERS ROAD APTS R (2244)</v>
      </c>
      <c r="O833" t="s">
        <v>52</v>
      </c>
      <c r="P833" t="str">
        <f t="shared" si="51"/>
        <v>18000_2244</v>
      </c>
      <c r="Q833" s="180">
        <v>100</v>
      </c>
    </row>
    <row r="834" spans="1:17">
      <c r="A834" t="str">
        <f t="shared" si="48"/>
        <v>UGA_2245</v>
      </c>
      <c r="B834" t="str">
        <f t="shared" si="49"/>
        <v>UGA_ROGERS ROAD APTS S</v>
      </c>
      <c r="C834" t="s">
        <v>443</v>
      </c>
      <c r="D834" s="180" t="s">
        <v>51</v>
      </c>
      <c r="E834" t="s">
        <v>1635</v>
      </c>
      <c r="F834" t="s">
        <v>1636</v>
      </c>
      <c r="G834" s="180">
        <v>36298</v>
      </c>
      <c r="H834">
        <v>1973</v>
      </c>
      <c r="J834" s="1334" t="s">
        <v>475</v>
      </c>
      <c r="K834" s="1335" t="s">
        <v>486</v>
      </c>
      <c r="L834" s="180">
        <v>0</v>
      </c>
      <c r="M834" t="s">
        <v>7818</v>
      </c>
      <c r="N834" t="str">
        <f t="shared" si="50"/>
        <v>ROGERS ROAD APTS S (2245)</v>
      </c>
      <c r="O834" t="s">
        <v>52</v>
      </c>
      <c r="P834" t="str">
        <f t="shared" si="51"/>
        <v>18000_2245</v>
      </c>
      <c r="Q834" s="180">
        <v>100</v>
      </c>
    </row>
    <row r="835" spans="1:17">
      <c r="A835" t="str">
        <f t="shared" ref="A835:A898" si="52">_xlfn.CONCAT(D835,"_",E835)</f>
        <v>UGA_2251</v>
      </c>
      <c r="B835" t="str">
        <f t="shared" ref="B835:B898" si="53">_xlfn.CONCAT(D835,"_",F835)</f>
        <v>UGA_PRESIDENT HOUSE</v>
      </c>
      <c r="C835" t="s">
        <v>443</v>
      </c>
      <c r="D835" s="180" t="s">
        <v>51</v>
      </c>
      <c r="E835" t="s">
        <v>1529</v>
      </c>
      <c r="F835" t="s">
        <v>1530</v>
      </c>
      <c r="G835" s="180">
        <v>14818</v>
      </c>
      <c r="H835">
        <v>1856</v>
      </c>
      <c r="J835" s="1334" t="s">
        <v>475</v>
      </c>
      <c r="K835" s="1335" t="s">
        <v>486</v>
      </c>
      <c r="L835" s="180">
        <v>100</v>
      </c>
      <c r="M835" t="s">
        <v>7818</v>
      </c>
      <c r="N835" t="str">
        <f t="shared" ref="N835:N898" si="54">_xlfn.CONCAT(F835," (",E835,")")</f>
        <v>PRESIDENT HOUSE (2251)</v>
      </c>
      <c r="O835" t="s">
        <v>52</v>
      </c>
      <c r="P835" t="str">
        <f t="shared" ref="P835:P898" si="55">_xlfn.CONCAT(C835,"_",E835)</f>
        <v>18000_2251</v>
      </c>
      <c r="Q835" s="180">
        <v>100</v>
      </c>
    </row>
    <row r="836" spans="1:17">
      <c r="A836" t="str">
        <f t="shared" si="52"/>
        <v>UGA_2252</v>
      </c>
      <c r="B836" t="str">
        <f t="shared" si="53"/>
        <v>UGA_PRES. GUEST HOUSE</v>
      </c>
      <c r="C836" t="s">
        <v>443</v>
      </c>
      <c r="D836" s="180" t="s">
        <v>51</v>
      </c>
      <c r="E836" t="s">
        <v>2340</v>
      </c>
      <c r="F836" t="s">
        <v>2341</v>
      </c>
      <c r="G836" s="180">
        <v>1409</v>
      </c>
      <c r="H836">
        <v>1856</v>
      </c>
      <c r="J836" s="1334" t="s">
        <v>475</v>
      </c>
      <c r="K836" s="1335" t="s">
        <v>481</v>
      </c>
      <c r="L836" s="180">
        <v>100</v>
      </c>
      <c r="M836" t="s">
        <v>7818</v>
      </c>
      <c r="N836" t="str">
        <f t="shared" si="54"/>
        <v>PRES. GUEST HOUSE (2252)</v>
      </c>
      <c r="O836" t="s">
        <v>52</v>
      </c>
      <c r="P836" t="str">
        <f t="shared" si="55"/>
        <v>18000_2252</v>
      </c>
      <c r="Q836" s="180">
        <v>100</v>
      </c>
    </row>
    <row r="837" spans="1:17">
      <c r="A837" t="str">
        <f t="shared" si="52"/>
        <v>UGA_2253</v>
      </c>
      <c r="B837" t="str">
        <f t="shared" si="53"/>
        <v>UGA_PRES. GARAGE</v>
      </c>
      <c r="C837" t="s">
        <v>443</v>
      </c>
      <c r="D837" s="180" t="s">
        <v>51</v>
      </c>
      <c r="E837" t="s">
        <v>2404</v>
      </c>
      <c r="F837" t="s">
        <v>2405</v>
      </c>
      <c r="G837" s="180">
        <v>1021</v>
      </c>
      <c r="H837">
        <v>1956</v>
      </c>
      <c r="J837" s="1334" t="s">
        <v>475</v>
      </c>
      <c r="K837" s="1335" t="s">
        <v>475</v>
      </c>
      <c r="L837" s="180">
        <v>100</v>
      </c>
      <c r="M837" t="s">
        <v>7818</v>
      </c>
      <c r="N837" t="str">
        <f t="shared" si="54"/>
        <v>PRES. GARAGE (2253)</v>
      </c>
      <c r="O837" t="s">
        <v>52</v>
      </c>
      <c r="P837" t="str">
        <f t="shared" si="55"/>
        <v>18000_2253</v>
      </c>
      <c r="Q837" s="180">
        <v>100</v>
      </c>
    </row>
    <row r="838" spans="1:17">
      <c r="A838" t="str">
        <f t="shared" si="52"/>
        <v>UGA_2254</v>
      </c>
      <c r="B838" t="str">
        <f t="shared" si="53"/>
        <v>UGA_PRES. STOR. HOUSE</v>
      </c>
      <c r="C838" t="s">
        <v>443</v>
      </c>
      <c r="D838" s="180" t="s">
        <v>51</v>
      </c>
      <c r="E838" t="s">
        <v>1892</v>
      </c>
      <c r="F838" t="s">
        <v>1893</v>
      </c>
      <c r="G838" s="180">
        <v>819</v>
      </c>
      <c r="H838">
        <v>1856</v>
      </c>
      <c r="J838" s="1334" t="s">
        <v>475</v>
      </c>
      <c r="K838" s="1335" t="s">
        <v>486</v>
      </c>
      <c r="L838" s="180">
        <v>100</v>
      </c>
      <c r="M838" t="s">
        <v>7818</v>
      </c>
      <c r="N838" t="str">
        <f t="shared" si="54"/>
        <v>PRES. STOR. HOUSE (2254)</v>
      </c>
      <c r="O838" t="s">
        <v>52</v>
      </c>
      <c r="P838" t="str">
        <f t="shared" si="55"/>
        <v>18000_2254</v>
      </c>
      <c r="Q838" s="180">
        <v>100</v>
      </c>
    </row>
    <row r="839" spans="1:17">
      <c r="A839" t="str">
        <f t="shared" si="52"/>
        <v>UGA_2257</v>
      </c>
      <c r="B839" t="str">
        <f t="shared" si="53"/>
        <v>UGA_OGLETHORPE DIN COM</v>
      </c>
      <c r="C839" t="s">
        <v>443</v>
      </c>
      <c r="D839" s="180" t="s">
        <v>51</v>
      </c>
      <c r="E839" t="s">
        <v>4360</v>
      </c>
      <c r="F839" t="s">
        <v>4361</v>
      </c>
      <c r="G839" s="180">
        <v>28782</v>
      </c>
      <c r="H839">
        <v>1963</v>
      </c>
      <c r="J839" s="1334" t="s">
        <v>475</v>
      </c>
      <c r="K839" s="1335" t="s">
        <v>1520</v>
      </c>
      <c r="L839" s="180">
        <v>0</v>
      </c>
      <c r="M839" t="s">
        <v>7818</v>
      </c>
      <c r="N839" t="str">
        <f t="shared" si="54"/>
        <v>OGLETHORPE DIN COM (2257)</v>
      </c>
      <c r="O839" t="s">
        <v>52</v>
      </c>
      <c r="P839" t="str">
        <f t="shared" si="55"/>
        <v>18000_2257</v>
      </c>
      <c r="Q839" s="180">
        <v>100</v>
      </c>
    </row>
    <row r="840" spans="1:17">
      <c r="A840" t="str">
        <f t="shared" si="52"/>
        <v>UGA_2260</v>
      </c>
      <c r="B840" t="str">
        <f t="shared" si="53"/>
        <v>UGA_BRANDON OAKS T</v>
      </c>
      <c r="C840" t="s">
        <v>443</v>
      </c>
      <c r="D840" s="180" t="s">
        <v>51</v>
      </c>
      <c r="E840" t="s">
        <v>3493</v>
      </c>
      <c r="F840" t="s">
        <v>3494</v>
      </c>
      <c r="G840" s="180">
        <v>13022</v>
      </c>
      <c r="H840">
        <v>1987</v>
      </c>
      <c r="J840" s="1334" t="s">
        <v>475</v>
      </c>
      <c r="K840" s="1335" t="s">
        <v>475</v>
      </c>
      <c r="L840" s="180">
        <v>0</v>
      </c>
      <c r="M840" t="s">
        <v>7818</v>
      </c>
      <c r="N840" t="str">
        <f t="shared" si="54"/>
        <v>BRANDON OAKS T (2260)</v>
      </c>
      <c r="O840" t="s">
        <v>52</v>
      </c>
      <c r="P840" t="str">
        <f t="shared" si="55"/>
        <v>18000_2260</v>
      </c>
      <c r="Q840" s="180">
        <v>100</v>
      </c>
    </row>
    <row r="841" spans="1:17">
      <c r="A841" t="str">
        <f t="shared" si="52"/>
        <v>UGA_2261</v>
      </c>
      <c r="B841" t="str">
        <f t="shared" si="53"/>
        <v>UGA_BRANDON OAKS U</v>
      </c>
      <c r="C841" t="s">
        <v>443</v>
      </c>
      <c r="D841" s="180" t="s">
        <v>51</v>
      </c>
      <c r="E841" t="s">
        <v>1995</v>
      </c>
      <c r="F841" t="s">
        <v>1996</v>
      </c>
      <c r="G841" s="180">
        <v>13022</v>
      </c>
      <c r="H841">
        <v>1987</v>
      </c>
      <c r="J841" s="1334" t="s">
        <v>475</v>
      </c>
      <c r="K841" s="1335" t="s">
        <v>475</v>
      </c>
      <c r="L841" s="180">
        <v>0</v>
      </c>
      <c r="M841" t="s">
        <v>7818</v>
      </c>
      <c r="N841" t="str">
        <f t="shared" si="54"/>
        <v>BRANDON OAKS U (2261)</v>
      </c>
      <c r="O841" t="s">
        <v>52</v>
      </c>
      <c r="P841" t="str">
        <f t="shared" si="55"/>
        <v>18000_2261</v>
      </c>
      <c r="Q841" s="180">
        <v>100</v>
      </c>
    </row>
    <row r="842" spans="1:17">
      <c r="A842" t="str">
        <f t="shared" si="52"/>
        <v>UGA_2262</v>
      </c>
      <c r="B842" t="str">
        <f t="shared" si="53"/>
        <v>UGA_BRANDON OAKS V</v>
      </c>
      <c r="C842" t="s">
        <v>443</v>
      </c>
      <c r="D842" s="180" t="s">
        <v>51</v>
      </c>
      <c r="E842" t="s">
        <v>4010</v>
      </c>
      <c r="F842" t="s">
        <v>4011</v>
      </c>
      <c r="G842" s="180">
        <v>10884</v>
      </c>
      <c r="H842">
        <v>1987</v>
      </c>
      <c r="J842" s="1334" t="s">
        <v>475</v>
      </c>
      <c r="K842" s="1335" t="s">
        <v>475</v>
      </c>
      <c r="L842" s="180">
        <v>0</v>
      </c>
      <c r="M842" t="s">
        <v>7818</v>
      </c>
      <c r="N842" t="str">
        <f t="shared" si="54"/>
        <v>BRANDON OAKS V (2262)</v>
      </c>
      <c r="O842" t="s">
        <v>52</v>
      </c>
      <c r="P842" t="str">
        <f t="shared" si="55"/>
        <v>18000_2262</v>
      </c>
      <c r="Q842" s="180">
        <v>100</v>
      </c>
    </row>
    <row r="843" spans="1:17">
      <c r="A843" t="str">
        <f t="shared" si="52"/>
        <v>UGA_2263</v>
      </c>
      <c r="B843" t="str">
        <f t="shared" si="53"/>
        <v>UGA_COMMUNICATION HUT2</v>
      </c>
      <c r="C843" t="s">
        <v>443</v>
      </c>
      <c r="D843" s="180" t="s">
        <v>51</v>
      </c>
      <c r="E843" t="s">
        <v>3262</v>
      </c>
      <c r="F843" t="s">
        <v>3263</v>
      </c>
      <c r="G843" s="180">
        <v>240</v>
      </c>
      <c r="H843">
        <v>2003</v>
      </c>
      <c r="J843" s="1334" t="s">
        <v>475</v>
      </c>
      <c r="K843" s="1335" t="s">
        <v>475</v>
      </c>
      <c r="L843" s="180">
        <v>0</v>
      </c>
      <c r="M843" t="s">
        <v>7818</v>
      </c>
      <c r="N843" t="str">
        <f t="shared" si="54"/>
        <v>COMMUNICATION HUT2 (2263)</v>
      </c>
      <c r="O843" t="s">
        <v>52</v>
      </c>
      <c r="P843" t="str">
        <f t="shared" si="55"/>
        <v>18000_2263</v>
      </c>
      <c r="Q843" s="180">
        <v>100</v>
      </c>
    </row>
    <row r="844" spans="1:17">
      <c r="A844" t="str">
        <f t="shared" si="52"/>
        <v>UGA_2264</v>
      </c>
      <c r="B844" t="str">
        <f t="shared" si="53"/>
        <v>UGA_BLACK-DIALLO-MILLER HALL</v>
      </c>
      <c r="C844" t="s">
        <v>443</v>
      </c>
      <c r="D844" s="180" t="s">
        <v>51</v>
      </c>
      <c r="E844" t="s">
        <v>7161</v>
      </c>
      <c r="F844" t="s">
        <v>7166</v>
      </c>
      <c r="G844" s="180">
        <v>122561</v>
      </c>
      <c r="H844">
        <v>2022</v>
      </c>
      <c r="J844" s="1334" t="s">
        <v>486</v>
      </c>
      <c r="K844" s="1335" t="s">
        <v>475</v>
      </c>
      <c r="L844" s="180">
        <v>0</v>
      </c>
      <c r="M844" t="s">
        <v>7818</v>
      </c>
      <c r="N844" t="str">
        <f t="shared" si="54"/>
        <v>BLACK-DIALLO-MILLER HALL (2264)</v>
      </c>
      <c r="O844" t="s">
        <v>52</v>
      </c>
      <c r="P844" t="str">
        <f t="shared" si="55"/>
        <v>18000_2264</v>
      </c>
      <c r="Q844" s="180">
        <v>100</v>
      </c>
    </row>
    <row r="845" spans="1:17">
      <c r="A845" t="str">
        <f t="shared" si="52"/>
        <v>UGA_2265</v>
      </c>
      <c r="B845" t="str">
        <f t="shared" si="53"/>
        <v>UGA_BOLTON DINING HALL</v>
      </c>
      <c r="C845" t="s">
        <v>443</v>
      </c>
      <c r="D845" s="180" t="s">
        <v>51</v>
      </c>
      <c r="E845" t="s">
        <v>3350</v>
      </c>
      <c r="F845" t="s">
        <v>3351</v>
      </c>
      <c r="G845" s="180">
        <v>61330</v>
      </c>
      <c r="H845">
        <v>2014</v>
      </c>
      <c r="J845" s="1334" t="s">
        <v>486</v>
      </c>
      <c r="K845" s="1335" t="s">
        <v>475</v>
      </c>
      <c r="L845" s="180">
        <v>0</v>
      </c>
      <c r="M845" t="s">
        <v>7818</v>
      </c>
      <c r="N845" t="str">
        <f t="shared" si="54"/>
        <v>BOLTON DINING HALL (2265)</v>
      </c>
      <c r="O845" t="s">
        <v>52</v>
      </c>
      <c r="P845" t="str">
        <f t="shared" si="55"/>
        <v>18000_2265</v>
      </c>
      <c r="Q845" s="180">
        <v>100</v>
      </c>
    </row>
    <row r="846" spans="1:17">
      <c r="A846" t="str">
        <f t="shared" si="52"/>
        <v>UGA_2267</v>
      </c>
      <c r="B846" t="str">
        <f t="shared" si="53"/>
        <v>UGA_NEW DINING COMMONS</v>
      </c>
      <c r="C846" t="s">
        <v>443</v>
      </c>
      <c r="D846" s="180" t="s">
        <v>51</v>
      </c>
      <c r="E846" t="s">
        <v>7608</v>
      </c>
      <c r="F846" t="s">
        <v>7724</v>
      </c>
      <c r="G846" s="180">
        <v>60000</v>
      </c>
      <c r="H846">
        <v>2026</v>
      </c>
      <c r="J846" s="1334" t="s">
        <v>475</v>
      </c>
      <c r="K846" s="1335" t="s">
        <v>920</v>
      </c>
      <c r="L846" s="180">
        <v>33</v>
      </c>
      <c r="M846" t="s">
        <v>7818</v>
      </c>
      <c r="N846" t="str">
        <f t="shared" si="54"/>
        <v>NEW DINING COMMONS (2267)</v>
      </c>
      <c r="O846" t="s">
        <v>52</v>
      </c>
      <c r="P846" t="str">
        <f t="shared" si="55"/>
        <v>18000_2267</v>
      </c>
      <c r="Q846" s="180">
        <v>100</v>
      </c>
    </row>
    <row r="847" spans="1:17">
      <c r="A847" t="str">
        <f t="shared" si="52"/>
        <v>UGA_2291</v>
      </c>
      <c r="B847" t="str">
        <f t="shared" si="53"/>
        <v>UGA_SIGMA NU</v>
      </c>
      <c r="C847" t="s">
        <v>443</v>
      </c>
      <c r="D847" s="180" t="s">
        <v>51</v>
      </c>
      <c r="E847" t="s">
        <v>1951</v>
      </c>
      <c r="F847" t="s">
        <v>1952</v>
      </c>
      <c r="G847" s="180">
        <v>16192</v>
      </c>
      <c r="H847">
        <v>2009</v>
      </c>
      <c r="J847" s="1334" t="s">
        <v>486</v>
      </c>
      <c r="K847" s="1335" t="s">
        <v>475</v>
      </c>
      <c r="L847" s="180">
        <v>0</v>
      </c>
      <c r="M847" t="s">
        <v>7818</v>
      </c>
      <c r="N847" t="str">
        <f t="shared" si="54"/>
        <v>SIGMA NU (2291)</v>
      </c>
      <c r="O847" t="s">
        <v>52</v>
      </c>
      <c r="P847" t="str">
        <f t="shared" si="55"/>
        <v>18000_2291</v>
      </c>
      <c r="Q847" s="180">
        <v>100</v>
      </c>
    </row>
    <row r="848" spans="1:17">
      <c r="A848" t="str">
        <f t="shared" si="52"/>
        <v>UGA_2292</v>
      </c>
      <c r="B848" t="str">
        <f t="shared" si="53"/>
        <v>UGA_TAU EPSILON PHI</v>
      </c>
      <c r="C848" t="s">
        <v>443</v>
      </c>
      <c r="D848" s="180" t="s">
        <v>51</v>
      </c>
      <c r="E848" t="s">
        <v>2756</v>
      </c>
      <c r="F848" t="s">
        <v>2757</v>
      </c>
      <c r="G848" s="180">
        <v>14598</v>
      </c>
      <c r="H848">
        <v>2009</v>
      </c>
      <c r="J848" s="1334" t="s">
        <v>486</v>
      </c>
      <c r="K848" s="1335" t="s">
        <v>475</v>
      </c>
      <c r="L848" s="180">
        <v>0</v>
      </c>
      <c r="M848" t="s">
        <v>7818</v>
      </c>
      <c r="N848" t="str">
        <f t="shared" si="54"/>
        <v>TAU EPSILON PHI (2292)</v>
      </c>
      <c r="O848" t="s">
        <v>52</v>
      </c>
      <c r="P848" t="str">
        <f t="shared" si="55"/>
        <v>18000_2292</v>
      </c>
      <c r="Q848" s="180">
        <v>100</v>
      </c>
    </row>
    <row r="849" spans="1:17">
      <c r="A849" t="str">
        <f t="shared" si="52"/>
        <v>UGA_2293</v>
      </c>
      <c r="B849" t="str">
        <f t="shared" si="53"/>
        <v>UGA_PHI DELTA THETA</v>
      </c>
      <c r="C849" t="s">
        <v>443</v>
      </c>
      <c r="D849" s="180" t="s">
        <v>51</v>
      </c>
      <c r="E849" t="s">
        <v>3373</v>
      </c>
      <c r="F849" t="s">
        <v>3374</v>
      </c>
      <c r="G849" s="180">
        <v>9612</v>
      </c>
      <c r="H849">
        <v>2009</v>
      </c>
      <c r="J849" s="1334" t="s">
        <v>486</v>
      </c>
      <c r="K849" s="1335" t="s">
        <v>475</v>
      </c>
      <c r="L849" s="180">
        <v>0</v>
      </c>
      <c r="M849" t="s">
        <v>7818</v>
      </c>
      <c r="N849" t="str">
        <f t="shared" si="54"/>
        <v>PHI DELTA THETA (2293)</v>
      </c>
      <c r="O849" t="s">
        <v>52</v>
      </c>
      <c r="P849" t="str">
        <f t="shared" si="55"/>
        <v>18000_2293</v>
      </c>
      <c r="Q849" s="180">
        <v>100</v>
      </c>
    </row>
    <row r="850" spans="1:17">
      <c r="A850" t="str">
        <f t="shared" si="52"/>
        <v>UGA_2294</v>
      </c>
      <c r="B850" t="str">
        <f t="shared" si="53"/>
        <v>UGA_PI KAPPA ALPHA</v>
      </c>
      <c r="C850" t="s">
        <v>443</v>
      </c>
      <c r="D850" s="180" t="s">
        <v>51</v>
      </c>
      <c r="E850" t="s">
        <v>1444</v>
      </c>
      <c r="F850" t="s">
        <v>1445</v>
      </c>
      <c r="G850" s="180">
        <v>16878</v>
      </c>
      <c r="H850">
        <v>2009</v>
      </c>
      <c r="J850" s="1334" t="s">
        <v>486</v>
      </c>
      <c r="K850" s="1335" t="s">
        <v>475</v>
      </c>
      <c r="L850" s="180">
        <v>0</v>
      </c>
      <c r="M850" t="s">
        <v>7818</v>
      </c>
      <c r="N850" t="str">
        <f t="shared" si="54"/>
        <v>PI KAPPA ALPHA (2294)</v>
      </c>
      <c r="O850" t="s">
        <v>52</v>
      </c>
      <c r="P850" t="str">
        <f t="shared" si="55"/>
        <v>18000_2294</v>
      </c>
      <c r="Q850" s="180">
        <v>100</v>
      </c>
    </row>
    <row r="851" spans="1:17">
      <c r="A851" t="str">
        <f t="shared" si="52"/>
        <v>UGA_2300</v>
      </c>
      <c r="B851" t="str">
        <f t="shared" si="53"/>
        <v>UGA_PDRC MAIN BUILDING</v>
      </c>
      <c r="C851" t="s">
        <v>443</v>
      </c>
      <c r="D851" s="180" t="s">
        <v>51</v>
      </c>
      <c r="E851" t="s">
        <v>2986</v>
      </c>
      <c r="F851" t="s">
        <v>2987</v>
      </c>
      <c r="G851" s="180">
        <v>34709</v>
      </c>
      <c r="H851">
        <v>1953</v>
      </c>
      <c r="J851" s="1334" t="s">
        <v>475</v>
      </c>
      <c r="K851" s="1335" t="s">
        <v>486</v>
      </c>
      <c r="L851" s="180">
        <v>100</v>
      </c>
      <c r="M851" t="s">
        <v>7818</v>
      </c>
      <c r="N851" t="str">
        <f t="shared" si="54"/>
        <v>PDRC MAIN BUILDING (2300)</v>
      </c>
      <c r="O851" t="s">
        <v>52</v>
      </c>
      <c r="P851" t="str">
        <f t="shared" si="55"/>
        <v>18000_2300</v>
      </c>
      <c r="Q851" s="180">
        <v>100</v>
      </c>
    </row>
    <row r="852" spans="1:17">
      <c r="A852" t="str">
        <f t="shared" si="52"/>
        <v>UGA_2301</v>
      </c>
      <c r="B852" t="str">
        <f t="shared" si="53"/>
        <v>UGA_PDRC DIAGNOSTIC</v>
      </c>
      <c r="C852" t="s">
        <v>443</v>
      </c>
      <c r="D852" s="180" t="s">
        <v>51</v>
      </c>
      <c r="E852" t="s">
        <v>4228</v>
      </c>
      <c r="F852" t="s">
        <v>4229</v>
      </c>
      <c r="G852" s="180">
        <v>5927</v>
      </c>
      <c r="H852">
        <v>1968</v>
      </c>
      <c r="J852" s="1334" t="s">
        <v>475</v>
      </c>
      <c r="K852" s="1335" t="s">
        <v>475</v>
      </c>
      <c r="L852" s="180">
        <v>100</v>
      </c>
      <c r="M852" t="s">
        <v>7818</v>
      </c>
      <c r="N852" t="str">
        <f t="shared" si="54"/>
        <v>PDRC DIAGNOSTIC (2301)</v>
      </c>
      <c r="O852" t="s">
        <v>52</v>
      </c>
      <c r="P852" t="str">
        <f t="shared" si="55"/>
        <v>18000_2301</v>
      </c>
      <c r="Q852" s="180">
        <v>100</v>
      </c>
    </row>
    <row r="853" spans="1:17">
      <c r="A853" t="str">
        <f t="shared" si="52"/>
        <v>UGA_2302</v>
      </c>
      <c r="B853" t="str">
        <f t="shared" si="53"/>
        <v>UGA_PDRC VISITOR HOUSE</v>
      </c>
      <c r="C853" t="s">
        <v>443</v>
      </c>
      <c r="D853" s="180" t="s">
        <v>51</v>
      </c>
      <c r="E853" t="s">
        <v>3157</v>
      </c>
      <c r="F853" t="s">
        <v>3158</v>
      </c>
      <c r="G853" s="180">
        <v>1336</v>
      </c>
      <c r="H853">
        <v>1958</v>
      </c>
      <c r="J853" s="1334" t="s">
        <v>475</v>
      </c>
      <c r="K853" s="1335" t="s">
        <v>475</v>
      </c>
      <c r="L853" s="180">
        <v>0</v>
      </c>
      <c r="M853" t="s">
        <v>7818</v>
      </c>
      <c r="N853" t="str">
        <f t="shared" si="54"/>
        <v>PDRC VISITOR HOUSE (2302)</v>
      </c>
      <c r="O853" t="s">
        <v>52</v>
      </c>
      <c r="P853" t="str">
        <f t="shared" si="55"/>
        <v>18000_2302</v>
      </c>
      <c r="Q853" s="180">
        <v>100</v>
      </c>
    </row>
    <row r="854" spans="1:17">
      <c r="A854" t="str">
        <f t="shared" si="52"/>
        <v>UGA_2303</v>
      </c>
      <c r="B854" t="str">
        <f t="shared" si="53"/>
        <v>UGA_PDRC SHOP</v>
      </c>
      <c r="C854" t="s">
        <v>443</v>
      </c>
      <c r="D854" s="180" t="s">
        <v>51</v>
      </c>
      <c r="E854" t="s">
        <v>3671</v>
      </c>
      <c r="F854" t="s">
        <v>3672</v>
      </c>
      <c r="G854" s="180">
        <v>2147</v>
      </c>
      <c r="H854">
        <v>1959</v>
      </c>
      <c r="J854" s="1334" t="s">
        <v>475</v>
      </c>
      <c r="K854" s="1335" t="s">
        <v>475</v>
      </c>
      <c r="L854" s="180">
        <v>0</v>
      </c>
      <c r="M854" t="s">
        <v>7818</v>
      </c>
      <c r="N854" t="str">
        <f t="shared" si="54"/>
        <v>PDRC SHOP (2303)</v>
      </c>
      <c r="O854" t="s">
        <v>52</v>
      </c>
      <c r="P854" t="str">
        <f t="shared" si="55"/>
        <v>18000_2303</v>
      </c>
      <c r="Q854" s="180">
        <v>100</v>
      </c>
    </row>
    <row r="855" spans="1:17">
      <c r="A855" t="str">
        <f t="shared" si="52"/>
        <v>UGA_2304</v>
      </c>
      <c r="B855" t="str">
        <f t="shared" si="53"/>
        <v>UGA_PDRC ISOLATION 1</v>
      </c>
      <c r="C855" t="s">
        <v>443</v>
      </c>
      <c r="D855" s="180" t="s">
        <v>51</v>
      </c>
      <c r="E855" t="s">
        <v>3629</v>
      </c>
      <c r="F855" t="s">
        <v>3630</v>
      </c>
      <c r="G855" s="180">
        <v>2588</v>
      </c>
      <c r="H855">
        <v>1959</v>
      </c>
      <c r="J855" s="1334" t="s">
        <v>475</v>
      </c>
      <c r="K855" s="1335" t="s">
        <v>486</v>
      </c>
      <c r="L855" s="180">
        <v>0</v>
      </c>
      <c r="M855" t="s">
        <v>7818</v>
      </c>
      <c r="N855" t="str">
        <f t="shared" si="54"/>
        <v>PDRC ISOLATION 1 (2304)</v>
      </c>
      <c r="O855" t="s">
        <v>52</v>
      </c>
      <c r="P855" t="str">
        <f t="shared" si="55"/>
        <v>18000_2304</v>
      </c>
      <c r="Q855" s="180">
        <v>100</v>
      </c>
    </row>
    <row r="856" spans="1:17">
      <c r="A856" t="str">
        <f t="shared" si="52"/>
        <v>UGA_2305</v>
      </c>
      <c r="B856" t="str">
        <f t="shared" si="53"/>
        <v>UGA_PDRC HOUSE 1</v>
      </c>
      <c r="C856" t="s">
        <v>443</v>
      </c>
      <c r="D856" s="180" t="s">
        <v>51</v>
      </c>
      <c r="E856" t="s">
        <v>3352</v>
      </c>
      <c r="F856" t="s">
        <v>3353</v>
      </c>
      <c r="G856" s="180">
        <v>4839</v>
      </c>
      <c r="H856">
        <v>1963</v>
      </c>
      <c r="J856" s="1334" t="s">
        <v>475</v>
      </c>
      <c r="K856" s="1335" t="s">
        <v>486</v>
      </c>
      <c r="L856" s="180">
        <v>0</v>
      </c>
      <c r="M856" t="s">
        <v>7818</v>
      </c>
      <c r="N856" t="str">
        <f t="shared" si="54"/>
        <v>PDRC HOUSE 1 (2305)</v>
      </c>
      <c r="O856" t="s">
        <v>52</v>
      </c>
      <c r="P856" t="str">
        <f t="shared" si="55"/>
        <v>18000_2305</v>
      </c>
      <c r="Q856" s="180">
        <v>100</v>
      </c>
    </row>
    <row r="857" spans="1:17">
      <c r="A857" t="str">
        <f t="shared" si="52"/>
        <v>UGA_2306</v>
      </c>
      <c r="B857" t="str">
        <f t="shared" si="53"/>
        <v>UGA_PDRC FEED STORAGE</v>
      </c>
      <c r="C857" t="s">
        <v>443</v>
      </c>
      <c r="D857" s="180" t="s">
        <v>51</v>
      </c>
      <c r="E857" t="s">
        <v>2758</v>
      </c>
      <c r="F857" t="s">
        <v>2759</v>
      </c>
      <c r="G857" s="180">
        <v>947</v>
      </c>
      <c r="H857">
        <v>1967</v>
      </c>
      <c r="J857" s="1334" t="s">
        <v>475</v>
      </c>
      <c r="K857" s="1335" t="s">
        <v>475</v>
      </c>
      <c r="L857" s="180">
        <v>0</v>
      </c>
      <c r="M857" t="s">
        <v>7818</v>
      </c>
      <c r="N857" t="str">
        <f t="shared" si="54"/>
        <v>PDRC FEED STORAGE (2306)</v>
      </c>
      <c r="O857" t="s">
        <v>52</v>
      </c>
      <c r="P857" t="str">
        <f t="shared" si="55"/>
        <v>18000_2306</v>
      </c>
      <c r="Q857" s="180">
        <v>100</v>
      </c>
    </row>
    <row r="858" spans="1:17">
      <c r="A858" t="str">
        <f t="shared" si="52"/>
        <v>UGA_2307</v>
      </c>
      <c r="B858" t="str">
        <f t="shared" si="53"/>
        <v>UGA_PDRC HOUSE 2</v>
      </c>
      <c r="C858" t="s">
        <v>443</v>
      </c>
      <c r="D858" s="180" t="s">
        <v>51</v>
      </c>
      <c r="E858" t="s">
        <v>3631</v>
      </c>
      <c r="F858" t="s">
        <v>3632</v>
      </c>
      <c r="G858" s="180">
        <v>4839</v>
      </c>
      <c r="H858">
        <v>1963</v>
      </c>
      <c r="J858" s="1334" t="s">
        <v>475</v>
      </c>
      <c r="K858" s="1335" t="s">
        <v>475</v>
      </c>
      <c r="L858" s="180">
        <v>0</v>
      </c>
      <c r="M858" t="s">
        <v>7818</v>
      </c>
      <c r="N858" t="str">
        <f t="shared" si="54"/>
        <v>PDRC HOUSE 2 (2307)</v>
      </c>
      <c r="O858" t="s">
        <v>52</v>
      </c>
      <c r="P858" t="str">
        <f t="shared" si="55"/>
        <v>18000_2307</v>
      </c>
      <c r="Q858" s="180">
        <v>100</v>
      </c>
    </row>
    <row r="859" spans="1:17">
      <c r="A859" t="str">
        <f t="shared" si="52"/>
        <v>UGA_2308</v>
      </c>
      <c r="B859" t="str">
        <f t="shared" si="53"/>
        <v>UGA_PDRC HOUSE 3</v>
      </c>
      <c r="C859" t="s">
        <v>443</v>
      </c>
      <c r="D859" s="180" t="s">
        <v>51</v>
      </c>
      <c r="E859" t="s">
        <v>2406</v>
      </c>
      <c r="F859" t="s">
        <v>2407</v>
      </c>
      <c r="G859" s="180">
        <v>4839</v>
      </c>
      <c r="H859">
        <v>1963</v>
      </c>
      <c r="J859" s="1334" t="s">
        <v>475</v>
      </c>
      <c r="K859" s="1335" t="s">
        <v>475</v>
      </c>
      <c r="L859" s="180">
        <v>0</v>
      </c>
      <c r="M859" t="s">
        <v>7818</v>
      </c>
      <c r="N859" t="str">
        <f t="shared" si="54"/>
        <v>PDRC HOUSE 3 (2308)</v>
      </c>
      <c r="O859" t="s">
        <v>52</v>
      </c>
      <c r="P859" t="str">
        <f t="shared" si="55"/>
        <v>18000_2308</v>
      </c>
      <c r="Q859" s="180">
        <v>100</v>
      </c>
    </row>
    <row r="860" spans="1:17">
      <c r="A860" t="str">
        <f t="shared" si="52"/>
        <v>UGA_2309</v>
      </c>
      <c r="B860" t="str">
        <f t="shared" si="53"/>
        <v>UGA_PDRC ISOLATION 2</v>
      </c>
      <c r="C860" t="s">
        <v>443</v>
      </c>
      <c r="D860" s="180" t="s">
        <v>51</v>
      </c>
      <c r="E860" t="s">
        <v>4281</v>
      </c>
      <c r="F860" t="s">
        <v>4282</v>
      </c>
      <c r="G860" s="180">
        <v>2428</v>
      </c>
      <c r="H860">
        <v>1960</v>
      </c>
      <c r="J860" s="1334" t="s">
        <v>475</v>
      </c>
      <c r="K860" s="1335" t="s">
        <v>486</v>
      </c>
      <c r="L860" s="180">
        <v>0</v>
      </c>
      <c r="M860" t="s">
        <v>7818</v>
      </c>
      <c r="N860" t="str">
        <f t="shared" si="54"/>
        <v>PDRC ISOLATION 2 (2309)</v>
      </c>
      <c r="O860" t="s">
        <v>52</v>
      </c>
      <c r="P860" t="str">
        <f t="shared" si="55"/>
        <v>18000_2309</v>
      </c>
      <c r="Q860" s="180">
        <v>100</v>
      </c>
    </row>
    <row r="861" spans="1:17">
      <c r="A861" t="str">
        <f t="shared" si="52"/>
        <v>UGA_2313</v>
      </c>
      <c r="B861" t="str">
        <f t="shared" si="53"/>
        <v>UGA_PDRC POLE BARN</v>
      </c>
      <c r="C861" t="s">
        <v>443</v>
      </c>
      <c r="D861" s="180" t="s">
        <v>51</v>
      </c>
      <c r="E861" t="s">
        <v>3489</v>
      </c>
      <c r="F861" t="s">
        <v>3490</v>
      </c>
      <c r="G861" s="180">
        <v>304</v>
      </c>
      <c r="H861">
        <v>1970</v>
      </c>
      <c r="J861" s="1334" t="s">
        <v>475</v>
      </c>
      <c r="K861" s="1335" t="s">
        <v>486</v>
      </c>
      <c r="L861" s="180">
        <v>0</v>
      </c>
      <c r="M861" t="s">
        <v>7818</v>
      </c>
      <c r="N861" t="str">
        <f t="shared" si="54"/>
        <v>PDRC POLE BARN (2313)</v>
      </c>
      <c r="O861" t="s">
        <v>52</v>
      </c>
      <c r="P861" t="str">
        <f t="shared" si="55"/>
        <v>18000_2313</v>
      </c>
      <c r="Q861" s="180">
        <v>100</v>
      </c>
    </row>
    <row r="862" spans="1:17">
      <c r="A862" t="str">
        <f t="shared" si="52"/>
        <v>UGA_2314</v>
      </c>
      <c r="B862" t="str">
        <f t="shared" si="53"/>
        <v>UGA_PDRC ISOLATION 3</v>
      </c>
      <c r="C862" t="s">
        <v>443</v>
      </c>
      <c r="D862" s="180" t="s">
        <v>51</v>
      </c>
      <c r="E862" t="s">
        <v>2124</v>
      </c>
      <c r="F862" t="s">
        <v>2125</v>
      </c>
      <c r="G862" s="180">
        <v>3061</v>
      </c>
      <c r="H862">
        <v>1971</v>
      </c>
      <c r="J862" s="1334" t="s">
        <v>475</v>
      </c>
      <c r="K862" s="1335" t="s">
        <v>475</v>
      </c>
      <c r="L862" s="180">
        <v>0</v>
      </c>
      <c r="M862" t="s">
        <v>7818</v>
      </c>
      <c r="N862" t="str">
        <f t="shared" si="54"/>
        <v>PDRC ISOLATION 3 (2314)</v>
      </c>
      <c r="O862" t="s">
        <v>52</v>
      </c>
      <c r="P862" t="str">
        <f t="shared" si="55"/>
        <v>18000_2314</v>
      </c>
      <c r="Q862" s="180">
        <v>100</v>
      </c>
    </row>
    <row r="863" spans="1:17">
      <c r="A863" t="str">
        <f t="shared" si="52"/>
        <v>UGA_2315</v>
      </c>
      <c r="B863" t="str">
        <f t="shared" si="53"/>
        <v>UGA_PDRC TECH SERVICES</v>
      </c>
      <c r="C863" t="s">
        <v>443</v>
      </c>
      <c r="D863" s="180" t="s">
        <v>51</v>
      </c>
      <c r="E863" t="s">
        <v>3895</v>
      </c>
      <c r="F863" t="s">
        <v>3896</v>
      </c>
      <c r="G863" s="180">
        <v>4690</v>
      </c>
      <c r="H863">
        <v>1973</v>
      </c>
      <c r="J863" s="1334" t="s">
        <v>475</v>
      </c>
      <c r="K863" s="1335" t="s">
        <v>475</v>
      </c>
      <c r="L863" s="180">
        <v>100</v>
      </c>
      <c r="M863" t="s">
        <v>7818</v>
      </c>
      <c r="N863" t="str">
        <f t="shared" si="54"/>
        <v>PDRC TECH SERVICES (2315)</v>
      </c>
      <c r="O863" t="s">
        <v>52</v>
      </c>
      <c r="P863" t="str">
        <f t="shared" si="55"/>
        <v>18000_2315</v>
      </c>
      <c r="Q863" s="180">
        <v>100</v>
      </c>
    </row>
    <row r="864" spans="1:17">
      <c r="A864" t="str">
        <f t="shared" si="52"/>
        <v>UGA_2318</v>
      </c>
      <c r="B864" t="str">
        <f t="shared" si="53"/>
        <v>UGA_PDRC ANIMAL CARE</v>
      </c>
      <c r="C864" t="s">
        <v>443</v>
      </c>
      <c r="D864" s="180" t="s">
        <v>51</v>
      </c>
      <c r="E864" t="s">
        <v>3354</v>
      </c>
      <c r="F864" t="s">
        <v>3355</v>
      </c>
      <c r="G864" s="180">
        <v>2135</v>
      </c>
      <c r="H864">
        <v>1974</v>
      </c>
      <c r="J864" s="1334" t="s">
        <v>475</v>
      </c>
      <c r="K864" s="1335" t="s">
        <v>486</v>
      </c>
      <c r="L864" s="180">
        <v>0</v>
      </c>
      <c r="M864" t="s">
        <v>7818</v>
      </c>
      <c r="N864" t="str">
        <f t="shared" si="54"/>
        <v>PDRC ANIMAL CARE (2318)</v>
      </c>
      <c r="O864" t="s">
        <v>52</v>
      </c>
      <c r="P864" t="str">
        <f t="shared" si="55"/>
        <v>18000_2318</v>
      </c>
      <c r="Q864" s="180">
        <v>100</v>
      </c>
    </row>
    <row r="865" spans="1:17">
      <c r="A865" t="str">
        <f t="shared" si="52"/>
        <v>UGA_2319</v>
      </c>
      <c r="B865" t="str">
        <f t="shared" si="53"/>
        <v>UGA_PDRC STORAGE 1</v>
      </c>
      <c r="C865" t="s">
        <v>443</v>
      </c>
      <c r="D865" s="180" t="s">
        <v>51</v>
      </c>
      <c r="E865" t="s">
        <v>2760</v>
      </c>
      <c r="F865" t="s">
        <v>2761</v>
      </c>
      <c r="G865" s="180">
        <v>320</v>
      </c>
      <c r="H865">
        <v>1957</v>
      </c>
      <c r="J865" s="1334" t="s">
        <v>475</v>
      </c>
      <c r="K865" s="1335" t="s">
        <v>475</v>
      </c>
      <c r="L865" s="180">
        <v>0</v>
      </c>
      <c r="M865" t="s">
        <v>7818</v>
      </c>
      <c r="N865" t="str">
        <f t="shared" si="54"/>
        <v>PDRC STORAGE 1 (2319)</v>
      </c>
      <c r="O865" t="s">
        <v>52</v>
      </c>
      <c r="P865" t="str">
        <f t="shared" si="55"/>
        <v>18000_2319</v>
      </c>
      <c r="Q865" s="180">
        <v>100</v>
      </c>
    </row>
    <row r="866" spans="1:17">
      <c r="A866" t="str">
        <f t="shared" si="52"/>
        <v>UGA_2320</v>
      </c>
      <c r="B866" t="str">
        <f t="shared" si="53"/>
        <v>UGA_PDRC STORAGE 2</v>
      </c>
      <c r="C866" t="s">
        <v>443</v>
      </c>
      <c r="D866" s="180" t="s">
        <v>51</v>
      </c>
      <c r="E866" t="s">
        <v>1997</v>
      </c>
      <c r="F866" t="s">
        <v>1998</v>
      </c>
      <c r="G866" s="180">
        <v>2400</v>
      </c>
      <c r="H866">
        <v>1961</v>
      </c>
      <c r="J866" s="1334" t="s">
        <v>475</v>
      </c>
      <c r="K866" s="1335" t="s">
        <v>486</v>
      </c>
      <c r="L866" s="180">
        <v>0</v>
      </c>
      <c r="M866" t="s">
        <v>7818</v>
      </c>
      <c r="N866" t="str">
        <f t="shared" si="54"/>
        <v>PDRC STORAGE 2 (2320)</v>
      </c>
      <c r="O866" t="s">
        <v>52</v>
      </c>
      <c r="P866" t="str">
        <f t="shared" si="55"/>
        <v>18000_2320</v>
      </c>
      <c r="Q866" s="180">
        <v>100</v>
      </c>
    </row>
    <row r="867" spans="1:17">
      <c r="A867" t="str">
        <f t="shared" si="52"/>
        <v>UGA_2321</v>
      </c>
      <c r="B867" t="str">
        <f t="shared" si="53"/>
        <v>UGA_ECOLOGY RSCH BLDG</v>
      </c>
      <c r="C867" t="s">
        <v>443</v>
      </c>
      <c r="D867" s="180" t="s">
        <v>51</v>
      </c>
      <c r="E867" t="s">
        <v>1446</v>
      </c>
      <c r="F867" t="s">
        <v>1447</v>
      </c>
      <c r="G867" s="180">
        <v>522</v>
      </c>
      <c r="H867">
        <v>1957</v>
      </c>
      <c r="J867" s="1334" t="s">
        <v>475</v>
      </c>
      <c r="K867" s="1335" t="s">
        <v>481</v>
      </c>
      <c r="L867" s="180">
        <v>100</v>
      </c>
      <c r="M867" t="s">
        <v>7818</v>
      </c>
      <c r="N867" t="str">
        <f t="shared" si="54"/>
        <v>ECOLOGY RSCH BLDG (2321)</v>
      </c>
      <c r="O867" t="s">
        <v>52</v>
      </c>
      <c r="P867" t="str">
        <f t="shared" si="55"/>
        <v>18000_2321</v>
      </c>
      <c r="Q867" s="180">
        <v>100</v>
      </c>
    </row>
    <row r="868" spans="1:17">
      <c r="A868" t="str">
        <f t="shared" si="52"/>
        <v>UGA_2322</v>
      </c>
      <c r="B868" t="str">
        <f t="shared" si="53"/>
        <v>UGA_PDRC STORAGE 3</v>
      </c>
      <c r="C868" t="s">
        <v>443</v>
      </c>
      <c r="D868" s="180" t="s">
        <v>51</v>
      </c>
      <c r="E868" t="s">
        <v>3520</v>
      </c>
      <c r="F868" t="s">
        <v>3521</v>
      </c>
      <c r="G868" s="180">
        <v>720</v>
      </c>
      <c r="H868">
        <v>1980</v>
      </c>
      <c r="J868" s="1334" t="s">
        <v>475</v>
      </c>
      <c r="K868" s="1335" t="s">
        <v>475</v>
      </c>
      <c r="L868" s="180">
        <v>0</v>
      </c>
      <c r="M868" t="s">
        <v>7818</v>
      </c>
      <c r="N868" t="str">
        <f t="shared" si="54"/>
        <v>PDRC STORAGE 3 (2322)</v>
      </c>
      <c r="O868" t="s">
        <v>52</v>
      </c>
      <c r="P868" t="str">
        <f t="shared" si="55"/>
        <v>18000_2322</v>
      </c>
      <c r="Q868" s="180">
        <v>100</v>
      </c>
    </row>
    <row r="869" spans="1:17">
      <c r="A869" t="str">
        <f t="shared" si="52"/>
        <v>UGA_2323</v>
      </c>
      <c r="B869" t="str">
        <f t="shared" si="53"/>
        <v>UGA_PDRC HATCHERY</v>
      </c>
      <c r="C869" t="s">
        <v>443</v>
      </c>
      <c r="D869" s="180" t="s">
        <v>51</v>
      </c>
      <c r="E869" t="s">
        <v>1448</v>
      </c>
      <c r="F869" t="s">
        <v>1449</v>
      </c>
      <c r="G869" s="180">
        <v>806</v>
      </c>
      <c r="H869">
        <v>1983</v>
      </c>
      <c r="J869" s="1334" t="s">
        <v>475</v>
      </c>
      <c r="K869" s="1335" t="s">
        <v>475</v>
      </c>
      <c r="L869" s="180">
        <v>0</v>
      </c>
      <c r="M869" t="s">
        <v>7818</v>
      </c>
      <c r="N869" t="str">
        <f t="shared" si="54"/>
        <v>PDRC HATCHERY (2323)</v>
      </c>
      <c r="O869" t="s">
        <v>52</v>
      </c>
      <c r="P869" t="str">
        <f t="shared" si="55"/>
        <v>18000_2323</v>
      </c>
      <c r="Q869" s="180">
        <v>100</v>
      </c>
    </row>
    <row r="870" spans="1:17">
      <c r="A870" t="str">
        <f t="shared" si="52"/>
        <v>UGA_2324</v>
      </c>
      <c r="B870" t="str">
        <f t="shared" si="53"/>
        <v>UGA_BTGDN HEADHSE 2</v>
      </c>
      <c r="C870" t="s">
        <v>443</v>
      </c>
      <c r="D870" s="180" t="s">
        <v>51</v>
      </c>
      <c r="E870" t="s">
        <v>3522</v>
      </c>
      <c r="F870" t="s">
        <v>3523</v>
      </c>
      <c r="G870" s="180">
        <v>2365</v>
      </c>
      <c r="H870">
        <v>1986</v>
      </c>
      <c r="J870" s="1334" t="s">
        <v>475</v>
      </c>
      <c r="K870" s="1335" t="s">
        <v>475</v>
      </c>
      <c r="L870" s="180">
        <v>100</v>
      </c>
      <c r="M870" t="s">
        <v>7818</v>
      </c>
      <c r="N870" t="str">
        <f t="shared" si="54"/>
        <v>BTGDN HEADHSE 2 (2324)</v>
      </c>
      <c r="O870" t="s">
        <v>52</v>
      </c>
      <c r="P870" t="str">
        <f t="shared" si="55"/>
        <v>18000_2324</v>
      </c>
      <c r="Q870" s="180">
        <v>100</v>
      </c>
    </row>
    <row r="871" spans="1:17">
      <c r="A871" t="str">
        <f t="shared" si="52"/>
        <v>UGA_2325</v>
      </c>
      <c r="B871" t="str">
        <f t="shared" si="53"/>
        <v>UGA_BTGDN QUONSET HS</v>
      </c>
      <c r="C871" t="s">
        <v>443</v>
      </c>
      <c r="D871" s="180" t="s">
        <v>51</v>
      </c>
      <c r="E871" t="s">
        <v>3673</v>
      </c>
      <c r="F871" t="s">
        <v>3674</v>
      </c>
      <c r="G871" s="180">
        <v>1274</v>
      </c>
      <c r="H871">
        <v>1986</v>
      </c>
      <c r="J871" s="1334" t="s">
        <v>475</v>
      </c>
      <c r="K871" s="1335" t="s">
        <v>475</v>
      </c>
      <c r="L871" s="180">
        <v>100</v>
      </c>
      <c r="M871" t="s">
        <v>7818</v>
      </c>
      <c r="N871" t="str">
        <f t="shared" si="54"/>
        <v>BTGDN QUONSET HS (2325)</v>
      </c>
      <c r="O871" t="s">
        <v>52</v>
      </c>
      <c r="P871" t="str">
        <f t="shared" si="55"/>
        <v>18000_2325</v>
      </c>
      <c r="Q871" s="180">
        <v>100</v>
      </c>
    </row>
    <row r="872" spans="1:17">
      <c r="A872" t="str">
        <f t="shared" si="52"/>
        <v>UGA_2328</v>
      </c>
      <c r="B872" t="str">
        <f t="shared" si="53"/>
        <v>UGA_BTGDN ADMIN HQTR</v>
      </c>
      <c r="C872" t="s">
        <v>443</v>
      </c>
      <c r="D872" s="180" t="s">
        <v>51</v>
      </c>
      <c r="E872" t="s">
        <v>4012</v>
      </c>
      <c r="F872" t="s">
        <v>4013</v>
      </c>
      <c r="G872" s="180">
        <v>10124</v>
      </c>
      <c r="H872">
        <v>1975</v>
      </c>
      <c r="J872" s="1334" t="s">
        <v>475</v>
      </c>
      <c r="K872" s="1335" t="s">
        <v>475</v>
      </c>
      <c r="L872" s="180">
        <v>100</v>
      </c>
      <c r="M872" t="s">
        <v>7818</v>
      </c>
      <c r="N872" t="str">
        <f t="shared" si="54"/>
        <v>BTGDN ADMIN HQTR (2328)</v>
      </c>
      <c r="O872" t="s">
        <v>52</v>
      </c>
      <c r="P872" t="str">
        <f t="shared" si="55"/>
        <v>18000_2328</v>
      </c>
      <c r="Q872" s="180">
        <v>100</v>
      </c>
    </row>
    <row r="873" spans="1:17">
      <c r="A873" t="str">
        <f t="shared" si="52"/>
        <v>UGA_2329</v>
      </c>
      <c r="B873" t="str">
        <f t="shared" si="53"/>
        <v>UGA_BTGDN QUAD GRNHSE</v>
      </c>
      <c r="C873" t="s">
        <v>443</v>
      </c>
      <c r="D873" s="180" t="s">
        <v>51</v>
      </c>
      <c r="E873" t="s">
        <v>3375</v>
      </c>
      <c r="F873" t="s">
        <v>3376</v>
      </c>
      <c r="G873" s="180">
        <v>3465</v>
      </c>
      <c r="H873">
        <v>1979</v>
      </c>
      <c r="J873" s="1334" t="s">
        <v>475</v>
      </c>
      <c r="K873" s="1335" t="s">
        <v>475</v>
      </c>
      <c r="L873" s="180">
        <v>100</v>
      </c>
      <c r="M873" t="s">
        <v>7818</v>
      </c>
      <c r="N873" t="str">
        <f t="shared" si="54"/>
        <v>BTGDN QUAD GRNHSE (2329)</v>
      </c>
      <c r="O873" t="s">
        <v>52</v>
      </c>
      <c r="P873" t="str">
        <f t="shared" si="55"/>
        <v>18000_2329</v>
      </c>
      <c r="Q873" s="180">
        <v>100</v>
      </c>
    </row>
    <row r="874" spans="1:17">
      <c r="A874" t="str">
        <f t="shared" si="52"/>
        <v>UGA_2331</v>
      </c>
      <c r="B874" t="str">
        <f t="shared" si="53"/>
        <v>UGA_BTGDN RESTROOMS</v>
      </c>
      <c r="C874" t="s">
        <v>443</v>
      </c>
      <c r="D874" s="180" t="s">
        <v>51</v>
      </c>
      <c r="E874" t="s">
        <v>2197</v>
      </c>
      <c r="F874" t="s">
        <v>2198</v>
      </c>
      <c r="G874" s="180">
        <v>151</v>
      </c>
      <c r="H874">
        <v>1985</v>
      </c>
      <c r="J874" s="1334" t="s">
        <v>475</v>
      </c>
      <c r="K874" s="1335" t="s">
        <v>475</v>
      </c>
      <c r="L874" s="180">
        <v>100</v>
      </c>
      <c r="M874" t="s">
        <v>7818</v>
      </c>
      <c r="N874" t="str">
        <f t="shared" si="54"/>
        <v>BTGDN RESTROOMS (2331)</v>
      </c>
      <c r="O874" t="s">
        <v>52</v>
      </c>
      <c r="P874" t="str">
        <f t="shared" si="55"/>
        <v>18000_2331</v>
      </c>
      <c r="Q874" s="180">
        <v>100</v>
      </c>
    </row>
    <row r="875" spans="1:17">
      <c r="A875" t="str">
        <f t="shared" si="52"/>
        <v>UGA_2333</v>
      </c>
      <c r="B875" t="str">
        <f t="shared" si="53"/>
        <v>UGA_BTGDN TRACTOR SHED</v>
      </c>
      <c r="C875" t="s">
        <v>443</v>
      </c>
      <c r="D875" s="180" t="s">
        <v>51</v>
      </c>
      <c r="E875" t="s">
        <v>2742</v>
      </c>
      <c r="F875" t="s">
        <v>2743</v>
      </c>
      <c r="G875" s="180">
        <v>1453</v>
      </c>
      <c r="H875">
        <v>1979</v>
      </c>
      <c r="J875" s="1334" t="s">
        <v>475</v>
      </c>
      <c r="K875" s="1335" t="s">
        <v>475</v>
      </c>
      <c r="L875" s="180">
        <v>100</v>
      </c>
      <c r="M875" t="s">
        <v>7818</v>
      </c>
      <c r="N875" t="str">
        <f t="shared" si="54"/>
        <v>BTGDN TRACTOR SHED (2333)</v>
      </c>
      <c r="O875" t="s">
        <v>52</v>
      </c>
      <c r="P875" t="str">
        <f t="shared" si="55"/>
        <v>18000_2333</v>
      </c>
      <c r="Q875" s="180">
        <v>0</v>
      </c>
    </row>
    <row r="876" spans="1:17">
      <c r="A876" t="str">
        <f t="shared" si="52"/>
        <v>UGA_2334</v>
      </c>
      <c r="B876" t="str">
        <f t="shared" si="53"/>
        <v>UGA_BTGDN BOILER HOUSE</v>
      </c>
      <c r="C876" t="s">
        <v>443</v>
      </c>
      <c r="D876" s="180" t="s">
        <v>51</v>
      </c>
      <c r="E876" t="s">
        <v>2878</v>
      </c>
      <c r="F876" t="s">
        <v>2879</v>
      </c>
      <c r="G876" s="180">
        <v>143</v>
      </c>
      <c r="H876">
        <v>1979</v>
      </c>
      <c r="J876" s="1334" t="s">
        <v>475</v>
      </c>
      <c r="K876" s="1335" t="s">
        <v>481</v>
      </c>
      <c r="L876" s="180">
        <v>100</v>
      </c>
      <c r="M876" t="s">
        <v>7818</v>
      </c>
      <c r="N876" t="str">
        <f t="shared" si="54"/>
        <v>BTGDN BOILER HOUSE (2334)</v>
      </c>
      <c r="O876" t="s">
        <v>52</v>
      </c>
      <c r="P876" t="str">
        <f t="shared" si="55"/>
        <v>18000_2334</v>
      </c>
      <c r="Q876" s="180">
        <v>0</v>
      </c>
    </row>
    <row r="877" spans="1:17">
      <c r="A877" t="str">
        <f t="shared" si="52"/>
        <v>UGA_2335</v>
      </c>
      <c r="B877" t="str">
        <f t="shared" si="53"/>
        <v>UGA_BTGDN VISITOR CTR</v>
      </c>
      <c r="C877" t="s">
        <v>443</v>
      </c>
      <c r="D877" s="180" t="s">
        <v>51</v>
      </c>
      <c r="E877" t="s">
        <v>4421</v>
      </c>
      <c r="F877" t="s">
        <v>4422</v>
      </c>
      <c r="G877" s="180">
        <v>27306</v>
      </c>
      <c r="H877">
        <v>1985</v>
      </c>
      <c r="J877" s="1334" t="s">
        <v>475</v>
      </c>
      <c r="K877" s="1335" t="s">
        <v>475</v>
      </c>
      <c r="L877" s="180">
        <v>100</v>
      </c>
      <c r="M877" t="s">
        <v>7818</v>
      </c>
      <c r="N877" t="str">
        <f t="shared" si="54"/>
        <v>BTGDN VISITOR CTR (2335)</v>
      </c>
      <c r="O877" t="s">
        <v>52</v>
      </c>
      <c r="P877" t="str">
        <f t="shared" si="55"/>
        <v>18000_2335</v>
      </c>
      <c r="Q877" s="180">
        <v>69</v>
      </c>
    </row>
    <row r="878" spans="1:17">
      <c r="A878" t="str">
        <f t="shared" si="52"/>
        <v>UGA_2337</v>
      </c>
      <c r="B878" t="str">
        <f t="shared" si="53"/>
        <v>UGA_BTGDN DAY CHAPEL</v>
      </c>
      <c r="C878" t="s">
        <v>443</v>
      </c>
      <c r="D878" s="180" t="s">
        <v>51</v>
      </c>
      <c r="E878" t="s">
        <v>3967</v>
      </c>
      <c r="F878" t="s">
        <v>3968</v>
      </c>
      <c r="G878" s="180">
        <v>8021</v>
      </c>
      <c r="H878">
        <v>1994</v>
      </c>
      <c r="J878" s="1334" t="s">
        <v>475</v>
      </c>
      <c r="K878" s="1335" t="s">
        <v>475</v>
      </c>
      <c r="L878" s="180">
        <v>100</v>
      </c>
      <c r="M878" t="s">
        <v>7818</v>
      </c>
      <c r="N878" t="str">
        <f t="shared" si="54"/>
        <v>BTGDN DAY CHAPEL (2337)</v>
      </c>
      <c r="O878" t="s">
        <v>52</v>
      </c>
      <c r="P878" t="str">
        <f t="shared" si="55"/>
        <v>18000_2337</v>
      </c>
      <c r="Q878" s="180">
        <v>0</v>
      </c>
    </row>
    <row r="879" spans="1:17">
      <c r="A879" t="str">
        <f t="shared" si="52"/>
        <v>UGA_2338</v>
      </c>
      <c r="B879" t="str">
        <f t="shared" si="53"/>
        <v>UGA_BTGDN GCGA HQTR</v>
      </c>
      <c r="C879" t="s">
        <v>443</v>
      </c>
      <c r="D879" s="180" t="s">
        <v>51</v>
      </c>
      <c r="E879" t="s">
        <v>1450</v>
      </c>
      <c r="F879" t="s">
        <v>1451</v>
      </c>
      <c r="G879" s="180">
        <v>10004</v>
      </c>
      <c r="H879">
        <v>1998</v>
      </c>
      <c r="J879" s="1334" t="s">
        <v>475</v>
      </c>
      <c r="K879" s="1335" t="s">
        <v>475</v>
      </c>
      <c r="L879" s="180">
        <v>100</v>
      </c>
      <c r="M879" t="s">
        <v>7818</v>
      </c>
      <c r="N879" t="str">
        <f t="shared" si="54"/>
        <v>BTGDN GCGA HQTR (2338)</v>
      </c>
      <c r="O879" t="s">
        <v>52</v>
      </c>
      <c r="P879" t="str">
        <f t="shared" si="55"/>
        <v>18000_2338</v>
      </c>
      <c r="Q879" s="180">
        <v>0</v>
      </c>
    </row>
    <row r="880" spans="1:17">
      <c r="A880" t="str">
        <f t="shared" si="52"/>
        <v>UGA_2340</v>
      </c>
      <c r="B880" t="str">
        <f t="shared" si="53"/>
        <v>UGA_PDRC ISOLATION 4</v>
      </c>
      <c r="C880" t="s">
        <v>443</v>
      </c>
      <c r="D880" s="180" t="s">
        <v>51</v>
      </c>
      <c r="E880" t="s">
        <v>3850</v>
      </c>
      <c r="F880" t="s">
        <v>3851</v>
      </c>
      <c r="G880" s="180">
        <v>595</v>
      </c>
      <c r="H880">
        <v>1982</v>
      </c>
      <c r="J880" s="1334" t="s">
        <v>475</v>
      </c>
      <c r="K880" s="1335" t="s">
        <v>475</v>
      </c>
      <c r="L880" s="180">
        <v>0</v>
      </c>
      <c r="M880" t="s">
        <v>7818</v>
      </c>
      <c r="N880" t="str">
        <f t="shared" si="54"/>
        <v>PDRC ISOLATION 4 (2340)</v>
      </c>
      <c r="O880" t="s">
        <v>52</v>
      </c>
      <c r="P880" t="str">
        <f t="shared" si="55"/>
        <v>18000_2340</v>
      </c>
      <c r="Q880" s="180">
        <v>0</v>
      </c>
    </row>
    <row r="881" spans="1:17">
      <c r="A881" t="str">
        <f t="shared" si="52"/>
        <v>UGA_2341</v>
      </c>
      <c r="B881" t="str">
        <f t="shared" si="53"/>
        <v>UGA_PDRC ISOLATION 5</v>
      </c>
      <c r="C881" t="s">
        <v>443</v>
      </c>
      <c r="D881" s="180" t="s">
        <v>51</v>
      </c>
      <c r="E881" t="s">
        <v>2199</v>
      </c>
      <c r="F881" t="s">
        <v>2200</v>
      </c>
      <c r="G881" s="180">
        <v>595</v>
      </c>
      <c r="H881">
        <v>1982</v>
      </c>
      <c r="J881" s="1334" t="s">
        <v>475</v>
      </c>
      <c r="K881" s="1335" t="s">
        <v>475</v>
      </c>
      <c r="L881" s="180">
        <v>0</v>
      </c>
      <c r="M881" t="s">
        <v>7818</v>
      </c>
      <c r="N881" t="str">
        <f t="shared" si="54"/>
        <v>PDRC ISOLATION 5 (2341)</v>
      </c>
      <c r="O881" t="s">
        <v>52</v>
      </c>
      <c r="P881" t="str">
        <f t="shared" si="55"/>
        <v>18000_2341</v>
      </c>
      <c r="Q881" s="180">
        <v>100</v>
      </c>
    </row>
    <row r="882" spans="1:17">
      <c r="A882" t="str">
        <f t="shared" si="52"/>
        <v>UGA_2342</v>
      </c>
      <c r="B882" t="str">
        <f t="shared" si="53"/>
        <v>UGA_PDRC HATCHERY 2</v>
      </c>
      <c r="C882" t="s">
        <v>443</v>
      </c>
      <c r="D882" s="180" t="s">
        <v>51</v>
      </c>
      <c r="E882" t="s">
        <v>1724</v>
      </c>
      <c r="F882" t="s">
        <v>1725</v>
      </c>
      <c r="G882" s="180">
        <v>587</v>
      </c>
      <c r="H882">
        <v>1982</v>
      </c>
      <c r="J882" s="1334" t="s">
        <v>475</v>
      </c>
      <c r="K882" s="1335" t="s">
        <v>475</v>
      </c>
      <c r="L882" s="180">
        <v>0</v>
      </c>
      <c r="M882" t="s">
        <v>7818</v>
      </c>
      <c r="N882" t="str">
        <f t="shared" si="54"/>
        <v>PDRC HATCHERY 2 (2342)</v>
      </c>
      <c r="O882" t="s">
        <v>52</v>
      </c>
      <c r="P882" t="str">
        <f t="shared" si="55"/>
        <v>18000_2342</v>
      </c>
      <c r="Q882" s="180">
        <v>73</v>
      </c>
    </row>
    <row r="883" spans="1:17">
      <c r="A883" t="str">
        <f t="shared" si="52"/>
        <v>UGA_2345</v>
      </c>
      <c r="B883" t="str">
        <f t="shared" si="53"/>
        <v>UGA_BTGDN GUARD HOUSE</v>
      </c>
      <c r="C883" t="s">
        <v>443</v>
      </c>
      <c r="D883" s="180" t="s">
        <v>51</v>
      </c>
      <c r="E883" t="s">
        <v>1531</v>
      </c>
      <c r="F883" t="s">
        <v>1532</v>
      </c>
      <c r="G883" s="180">
        <v>100</v>
      </c>
      <c r="H883">
        <v>1986</v>
      </c>
      <c r="J883" s="1334" t="s">
        <v>475</v>
      </c>
      <c r="K883" s="1335" t="s">
        <v>1520</v>
      </c>
      <c r="L883" s="180">
        <v>100</v>
      </c>
      <c r="M883" t="s">
        <v>7818</v>
      </c>
      <c r="N883" t="str">
        <f t="shared" si="54"/>
        <v>BTGDN GUARD HOUSE (2345)</v>
      </c>
      <c r="O883" t="s">
        <v>52</v>
      </c>
      <c r="P883" t="str">
        <f t="shared" si="55"/>
        <v>18000_2345</v>
      </c>
      <c r="Q883" s="180">
        <v>0</v>
      </c>
    </row>
    <row r="884" spans="1:17">
      <c r="A884" t="str">
        <f t="shared" si="52"/>
        <v>UGA_2346</v>
      </c>
      <c r="B884" t="str">
        <f t="shared" si="53"/>
        <v>UGA_HORSESHOE ECOL II</v>
      </c>
      <c r="C884" t="s">
        <v>443</v>
      </c>
      <c r="D884" s="180" t="s">
        <v>51</v>
      </c>
      <c r="E884" t="s">
        <v>3703</v>
      </c>
      <c r="F884" t="s">
        <v>3704</v>
      </c>
      <c r="G884" s="180">
        <v>1013</v>
      </c>
      <c r="H884">
        <v>1997</v>
      </c>
      <c r="J884" s="1334" t="s">
        <v>475</v>
      </c>
      <c r="K884" s="1335" t="s">
        <v>475</v>
      </c>
      <c r="L884" s="180">
        <v>100</v>
      </c>
      <c r="M884" t="s">
        <v>7818</v>
      </c>
      <c r="N884" t="str">
        <f t="shared" si="54"/>
        <v>HORSESHOE ECOL II (2346)</v>
      </c>
      <c r="O884" t="s">
        <v>52</v>
      </c>
      <c r="P884" t="str">
        <f t="shared" si="55"/>
        <v>18000_2346</v>
      </c>
      <c r="Q884" s="180">
        <v>100</v>
      </c>
    </row>
    <row r="885" spans="1:17">
      <c r="A885" t="str">
        <f t="shared" si="52"/>
        <v>UGA_2347</v>
      </c>
      <c r="B885" t="str">
        <f t="shared" si="53"/>
        <v>UGA_HORSESHOE ECOL BLD</v>
      </c>
      <c r="C885" t="s">
        <v>443</v>
      </c>
      <c r="D885" s="180" t="s">
        <v>51</v>
      </c>
      <c r="E885" t="s">
        <v>4209</v>
      </c>
      <c r="F885" t="s">
        <v>4210</v>
      </c>
      <c r="G885" s="180">
        <v>1009</v>
      </c>
      <c r="H885">
        <v>1996</v>
      </c>
      <c r="J885" s="1334" t="s">
        <v>475</v>
      </c>
      <c r="K885" s="1335" t="s">
        <v>475</v>
      </c>
      <c r="L885" s="180">
        <v>100</v>
      </c>
      <c r="M885" t="s">
        <v>7818</v>
      </c>
      <c r="N885" t="str">
        <f t="shared" si="54"/>
        <v>HORSESHOE ECOL BLD (2347)</v>
      </c>
      <c r="O885" t="s">
        <v>52</v>
      </c>
      <c r="P885" t="str">
        <f t="shared" si="55"/>
        <v>18000_2347</v>
      </c>
      <c r="Q885" s="180">
        <v>70</v>
      </c>
    </row>
    <row r="886" spans="1:17">
      <c r="A886" t="str">
        <f t="shared" si="52"/>
        <v>UGA_2348</v>
      </c>
      <c r="B886" t="str">
        <f t="shared" si="53"/>
        <v>UGA_ECOLOGY GREENHOUSE</v>
      </c>
      <c r="C886" t="s">
        <v>443</v>
      </c>
      <c r="D886" s="180" t="s">
        <v>51</v>
      </c>
      <c r="E886" t="s">
        <v>4211</v>
      </c>
      <c r="F886" t="s">
        <v>4212</v>
      </c>
      <c r="G886" s="180">
        <v>413</v>
      </c>
      <c r="H886">
        <v>1991</v>
      </c>
      <c r="J886" s="1334" t="s">
        <v>475</v>
      </c>
      <c r="K886" s="1335" t="s">
        <v>475</v>
      </c>
      <c r="L886" s="180">
        <v>100</v>
      </c>
      <c r="M886" t="s">
        <v>7818</v>
      </c>
      <c r="N886" t="str">
        <f t="shared" si="54"/>
        <v>ECOLOGY GREENHOUSE (2348)</v>
      </c>
      <c r="O886" t="s">
        <v>52</v>
      </c>
      <c r="P886" t="str">
        <f t="shared" si="55"/>
        <v>18000_2348</v>
      </c>
      <c r="Q886" s="180">
        <v>100</v>
      </c>
    </row>
    <row r="887" spans="1:17">
      <c r="A887" t="str">
        <f t="shared" si="52"/>
        <v>UGA_234A</v>
      </c>
      <c r="B887" t="str">
        <f t="shared" si="53"/>
        <v>UGA_ECOLOGY AVIAN BUILDING A</v>
      </c>
      <c r="C887" t="s">
        <v>443</v>
      </c>
      <c r="D887" s="180" t="s">
        <v>51</v>
      </c>
      <c r="E887" t="s">
        <v>7037</v>
      </c>
      <c r="F887" t="s">
        <v>7135</v>
      </c>
      <c r="G887" s="180">
        <v>450</v>
      </c>
      <c r="H887">
        <v>2021</v>
      </c>
      <c r="J887" s="1334" t="s">
        <v>475</v>
      </c>
      <c r="K887" s="1335" t="s">
        <v>475</v>
      </c>
      <c r="L887" s="180">
        <v>100</v>
      </c>
      <c r="M887" t="s">
        <v>7818</v>
      </c>
      <c r="N887" t="str">
        <f t="shared" si="54"/>
        <v>ECOLOGY AVIAN BUILDING A (234A)</v>
      </c>
      <c r="O887" t="s">
        <v>52</v>
      </c>
      <c r="P887" t="str">
        <f t="shared" si="55"/>
        <v>18000_234A</v>
      </c>
      <c r="Q887" s="180">
        <v>0</v>
      </c>
    </row>
    <row r="888" spans="1:17">
      <c r="A888" t="str">
        <f t="shared" si="52"/>
        <v>UGA_234B</v>
      </c>
      <c r="B888" t="str">
        <f t="shared" si="53"/>
        <v>UGA_ECOLOGY AVIAN BUILDING B</v>
      </c>
      <c r="C888" t="s">
        <v>443</v>
      </c>
      <c r="D888" s="180" t="s">
        <v>51</v>
      </c>
      <c r="E888" t="s">
        <v>7038</v>
      </c>
      <c r="F888" t="s">
        <v>7136</v>
      </c>
      <c r="G888" s="180">
        <v>450</v>
      </c>
      <c r="H888">
        <v>2021</v>
      </c>
      <c r="J888" s="1334" t="s">
        <v>475</v>
      </c>
      <c r="K888" s="1335" t="s">
        <v>475</v>
      </c>
      <c r="L888" s="180">
        <v>100</v>
      </c>
      <c r="M888" t="s">
        <v>7818</v>
      </c>
      <c r="N888" t="str">
        <f t="shared" si="54"/>
        <v>ECOLOGY AVIAN BUILDING B (234B)</v>
      </c>
      <c r="O888" t="s">
        <v>52</v>
      </c>
      <c r="P888" t="str">
        <f t="shared" si="55"/>
        <v>18000_234B</v>
      </c>
      <c r="Q888" s="180">
        <v>100</v>
      </c>
    </row>
    <row r="889" spans="1:17">
      <c r="A889" t="str">
        <f t="shared" si="52"/>
        <v>UGA_2351</v>
      </c>
      <c r="B889" t="str">
        <f t="shared" si="53"/>
        <v>UGA_PUMP HSE FOR RES</v>
      </c>
      <c r="C889" t="s">
        <v>443</v>
      </c>
      <c r="D889" s="180" t="s">
        <v>51</v>
      </c>
      <c r="E889" t="s">
        <v>2498</v>
      </c>
      <c r="F889" t="s">
        <v>2499</v>
      </c>
      <c r="G889" s="180">
        <v>144</v>
      </c>
      <c r="H889">
        <v>1972</v>
      </c>
      <c r="J889" s="1334" t="s">
        <v>475</v>
      </c>
      <c r="K889" s="1335" t="s">
        <v>475</v>
      </c>
      <c r="L889" s="180">
        <v>0</v>
      </c>
      <c r="M889" t="s">
        <v>7818</v>
      </c>
      <c r="N889" t="str">
        <f t="shared" si="54"/>
        <v>PUMP HSE FOR RES (2351)</v>
      </c>
      <c r="O889" t="s">
        <v>52</v>
      </c>
      <c r="P889" t="str">
        <f t="shared" si="55"/>
        <v>18000_2351</v>
      </c>
      <c r="Q889" s="180">
        <v>100</v>
      </c>
    </row>
    <row r="890" spans="1:17">
      <c r="A890" t="str">
        <f t="shared" si="52"/>
        <v>UGA_2367</v>
      </c>
      <c r="B890" t="str">
        <f t="shared" si="53"/>
        <v>UGA_FOOD ANIMAL SUPPORT BUILDING</v>
      </c>
      <c r="C890" t="s">
        <v>443</v>
      </c>
      <c r="D890" s="180" t="s">
        <v>51</v>
      </c>
      <c r="E890" t="s">
        <v>7609</v>
      </c>
      <c r="F890" t="s">
        <v>7725</v>
      </c>
      <c r="G890" s="180">
        <v>5000</v>
      </c>
      <c r="H890">
        <v>2024</v>
      </c>
      <c r="J890" s="1334" t="s">
        <v>475</v>
      </c>
      <c r="K890" s="1335" t="s">
        <v>475</v>
      </c>
      <c r="L890" s="180">
        <v>0</v>
      </c>
      <c r="M890" t="s">
        <v>7818</v>
      </c>
      <c r="N890" t="str">
        <f t="shared" si="54"/>
        <v>FOOD ANIMAL SUPPORT BUILDING (2367)</v>
      </c>
      <c r="O890" t="s">
        <v>52</v>
      </c>
      <c r="P890" t="str">
        <f t="shared" si="55"/>
        <v>18000_2367</v>
      </c>
      <c r="Q890" s="180">
        <v>100</v>
      </c>
    </row>
    <row r="891" spans="1:17">
      <c r="A891" t="str">
        <f t="shared" si="52"/>
        <v>UGA_2368</v>
      </c>
      <c r="B891" t="str">
        <f t="shared" si="53"/>
        <v>UGA_VET M SHOP</v>
      </c>
      <c r="C891" t="s">
        <v>443</v>
      </c>
      <c r="D891" s="180" t="s">
        <v>51</v>
      </c>
      <c r="E891" t="s">
        <v>3610</v>
      </c>
      <c r="F891" t="s">
        <v>3611</v>
      </c>
      <c r="G891" s="180">
        <v>1644</v>
      </c>
      <c r="H891">
        <v>1956</v>
      </c>
      <c r="J891" s="1334" t="s">
        <v>475</v>
      </c>
      <c r="K891" s="1335" t="s">
        <v>486</v>
      </c>
      <c r="L891" s="180">
        <v>0</v>
      </c>
      <c r="M891" t="s">
        <v>7818</v>
      </c>
      <c r="N891" t="str">
        <f t="shared" si="54"/>
        <v>VET M SHOP (2368)</v>
      </c>
      <c r="O891" t="s">
        <v>52</v>
      </c>
      <c r="P891" t="str">
        <f t="shared" si="55"/>
        <v>18000_2368</v>
      </c>
      <c r="Q891" s="180">
        <v>100</v>
      </c>
    </row>
    <row r="892" spans="1:17">
      <c r="A892" t="str">
        <f t="shared" si="52"/>
        <v>UGA_2369</v>
      </c>
      <c r="B892" t="str">
        <f t="shared" si="53"/>
        <v>UGA_VET M STORAGE</v>
      </c>
      <c r="C892" t="s">
        <v>443</v>
      </c>
      <c r="D892" s="180" t="s">
        <v>51</v>
      </c>
      <c r="E892" t="s">
        <v>3062</v>
      </c>
      <c r="F892" t="s">
        <v>3063</v>
      </c>
      <c r="G892" s="180">
        <v>741</v>
      </c>
      <c r="H892">
        <v>1956</v>
      </c>
      <c r="J892" s="1334" t="s">
        <v>475</v>
      </c>
      <c r="K892" s="1335" t="s">
        <v>475</v>
      </c>
      <c r="L892" s="180">
        <v>0</v>
      </c>
      <c r="M892" t="s">
        <v>7818</v>
      </c>
      <c r="N892" t="str">
        <f t="shared" si="54"/>
        <v>VET M STORAGE (2369)</v>
      </c>
      <c r="O892" t="s">
        <v>52</v>
      </c>
      <c r="P892" t="str">
        <f t="shared" si="55"/>
        <v>18000_2369</v>
      </c>
      <c r="Q892" s="180">
        <v>0</v>
      </c>
    </row>
    <row r="893" spans="1:17">
      <c r="A893" t="str">
        <f t="shared" si="52"/>
        <v>UGA_2370</v>
      </c>
      <c r="B893" t="str">
        <f t="shared" si="53"/>
        <v>UGA_VET M BLOCK BLDG</v>
      </c>
      <c r="C893" t="s">
        <v>443</v>
      </c>
      <c r="D893" s="180" t="s">
        <v>51</v>
      </c>
      <c r="E893" t="s">
        <v>3210</v>
      </c>
      <c r="F893" t="s">
        <v>3211</v>
      </c>
      <c r="G893" s="180">
        <v>496</v>
      </c>
      <c r="H893">
        <v>1956</v>
      </c>
      <c r="J893" s="1334" t="s">
        <v>475</v>
      </c>
      <c r="K893" s="1335" t="s">
        <v>475</v>
      </c>
      <c r="L893" s="180">
        <v>0</v>
      </c>
      <c r="M893" t="s">
        <v>7818</v>
      </c>
      <c r="N893" t="str">
        <f t="shared" si="54"/>
        <v>VET M BLOCK BLDG (2370)</v>
      </c>
      <c r="O893" t="s">
        <v>52</v>
      </c>
      <c r="P893" t="str">
        <f t="shared" si="55"/>
        <v>18000_2370</v>
      </c>
      <c r="Q893" s="180">
        <v>0</v>
      </c>
    </row>
    <row r="894" spans="1:17">
      <c r="A894" t="str">
        <f t="shared" si="52"/>
        <v>UGA_2371</v>
      </c>
      <c r="B894" t="str">
        <f t="shared" si="53"/>
        <v>UGA_VET M BARN</v>
      </c>
      <c r="C894" t="s">
        <v>443</v>
      </c>
      <c r="D894" s="180" t="s">
        <v>51</v>
      </c>
      <c r="E894" t="s">
        <v>2081</v>
      </c>
      <c r="F894" t="s">
        <v>2082</v>
      </c>
      <c r="G894" s="180">
        <v>4327</v>
      </c>
      <c r="H894">
        <v>1956</v>
      </c>
      <c r="J894" s="1334" t="s">
        <v>475</v>
      </c>
      <c r="K894" s="1335" t="s">
        <v>1520</v>
      </c>
      <c r="L894" s="180">
        <v>0</v>
      </c>
      <c r="M894" t="s">
        <v>7818</v>
      </c>
      <c r="N894" t="str">
        <f t="shared" si="54"/>
        <v>VET M BARN (2371)</v>
      </c>
      <c r="O894" t="s">
        <v>52</v>
      </c>
      <c r="P894" t="str">
        <f t="shared" si="55"/>
        <v>18000_2371</v>
      </c>
      <c r="Q894" s="180">
        <v>0</v>
      </c>
    </row>
    <row r="895" spans="1:17">
      <c r="A895" t="str">
        <f t="shared" si="52"/>
        <v>UGA_2375</v>
      </c>
      <c r="B895" t="str">
        <f t="shared" si="53"/>
        <v>UGA_PDRC HOUSE 4</v>
      </c>
      <c r="C895" t="s">
        <v>443</v>
      </c>
      <c r="D895" s="180" t="s">
        <v>51</v>
      </c>
      <c r="E895" t="s">
        <v>4399</v>
      </c>
      <c r="F895" t="s">
        <v>4400</v>
      </c>
      <c r="G895" s="180">
        <v>4804</v>
      </c>
      <c r="H895">
        <v>1972</v>
      </c>
      <c r="J895" s="1334" t="s">
        <v>475</v>
      </c>
      <c r="K895" s="1335" t="s">
        <v>475</v>
      </c>
      <c r="L895" s="180">
        <v>0</v>
      </c>
      <c r="M895" t="s">
        <v>7818</v>
      </c>
      <c r="N895" t="str">
        <f t="shared" si="54"/>
        <v>PDRC HOUSE 4 (2375)</v>
      </c>
      <c r="O895" t="s">
        <v>52</v>
      </c>
      <c r="P895" t="str">
        <f t="shared" si="55"/>
        <v>18000_2375</v>
      </c>
      <c r="Q895" s="180">
        <v>0</v>
      </c>
    </row>
    <row r="896" spans="1:17">
      <c r="A896" t="str">
        <f t="shared" si="52"/>
        <v>UGA_2376</v>
      </c>
      <c r="B896" t="str">
        <f t="shared" si="53"/>
        <v>UGA_VET M SWINE FAC 1</v>
      </c>
      <c r="C896" t="s">
        <v>443</v>
      </c>
      <c r="D896" s="180" t="s">
        <v>51</v>
      </c>
      <c r="E896" t="s">
        <v>2916</v>
      </c>
      <c r="F896" t="s">
        <v>2917</v>
      </c>
      <c r="G896" s="180">
        <v>543</v>
      </c>
      <c r="H896">
        <v>1972</v>
      </c>
      <c r="J896" s="1334" t="s">
        <v>475</v>
      </c>
      <c r="K896" s="1335" t="s">
        <v>475</v>
      </c>
      <c r="L896" s="180">
        <v>0</v>
      </c>
      <c r="M896" t="s">
        <v>7818</v>
      </c>
      <c r="N896" t="str">
        <f t="shared" si="54"/>
        <v>VET M SWINE FAC 1 (2376)</v>
      </c>
      <c r="O896" t="s">
        <v>52</v>
      </c>
      <c r="P896" t="str">
        <f t="shared" si="55"/>
        <v>18000_2376</v>
      </c>
      <c r="Q896" s="180">
        <v>0</v>
      </c>
    </row>
    <row r="897" spans="1:17">
      <c r="A897" t="str">
        <f t="shared" si="52"/>
        <v>UGA_2377</v>
      </c>
      <c r="B897" t="str">
        <f t="shared" si="53"/>
        <v>UGA_VET M SWINE FAC 2</v>
      </c>
      <c r="C897" t="s">
        <v>443</v>
      </c>
      <c r="D897" s="180" t="s">
        <v>51</v>
      </c>
      <c r="E897" t="s">
        <v>3705</v>
      </c>
      <c r="F897" t="s">
        <v>3706</v>
      </c>
      <c r="G897" s="180">
        <v>543</v>
      </c>
      <c r="H897">
        <v>1972</v>
      </c>
      <c r="J897" s="1334" t="s">
        <v>475</v>
      </c>
      <c r="K897" s="1335" t="s">
        <v>475</v>
      </c>
      <c r="L897" s="180">
        <v>0</v>
      </c>
      <c r="M897" t="s">
        <v>7818</v>
      </c>
      <c r="N897" t="str">
        <f t="shared" si="54"/>
        <v>VET M SWINE FAC 2 (2377)</v>
      </c>
      <c r="O897" t="s">
        <v>52</v>
      </c>
      <c r="P897" t="str">
        <f t="shared" si="55"/>
        <v>18000_2377</v>
      </c>
      <c r="Q897" s="180">
        <v>100</v>
      </c>
    </row>
    <row r="898" spans="1:17">
      <c r="A898" t="str">
        <f t="shared" si="52"/>
        <v>UGA_2378</v>
      </c>
      <c r="B898" t="str">
        <f t="shared" si="53"/>
        <v>UGA_VET M SWINE FAC 3</v>
      </c>
      <c r="C898" t="s">
        <v>443</v>
      </c>
      <c r="D898" s="180" t="s">
        <v>51</v>
      </c>
      <c r="E898" t="s">
        <v>3897</v>
      </c>
      <c r="F898" t="s">
        <v>3898</v>
      </c>
      <c r="G898" s="180">
        <v>1200</v>
      </c>
      <c r="H898">
        <v>1972</v>
      </c>
      <c r="J898" s="1334" t="s">
        <v>475</v>
      </c>
      <c r="K898" s="1335" t="s">
        <v>481</v>
      </c>
      <c r="L898" s="180">
        <v>0</v>
      </c>
      <c r="M898" t="s">
        <v>7818</v>
      </c>
      <c r="N898" t="str">
        <f t="shared" si="54"/>
        <v>VET M SWINE FAC 3 (2378)</v>
      </c>
      <c r="O898" t="s">
        <v>52</v>
      </c>
      <c r="P898" t="str">
        <f t="shared" si="55"/>
        <v>18000_2378</v>
      </c>
      <c r="Q898" s="180">
        <v>100</v>
      </c>
    </row>
    <row r="899" spans="1:17">
      <c r="A899" t="str">
        <f t="shared" ref="A899:A962" si="56">_xlfn.CONCAT(D899,"_",E899)</f>
        <v>UGA_2379</v>
      </c>
      <c r="B899" t="str">
        <f t="shared" ref="B899:B962" si="57">_xlfn.CONCAT(D899,"_",F899)</f>
        <v>UGA_VET M CAT-DOG BLDG</v>
      </c>
      <c r="C899" t="s">
        <v>443</v>
      </c>
      <c r="D899" s="180" t="s">
        <v>51</v>
      </c>
      <c r="E899" t="s">
        <v>1953</v>
      </c>
      <c r="F899" t="s">
        <v>1954</v>
      </c>
      <c r="G899" s="180">
        <v>1480</v>
      </c>
      <c r="H899">
        <v>1972</v>
      </c>
      <c r="J899" s="1334" t="s">
        <v>475</v>
      </c>
      <c r="K899" s="1335" t="s">
        <v>1520</v>
      </c>
      <c r="L899" s="180">
        <v>0</v>
      </c>
      <c r="M899" t="s">
        <v>7818</v>
      </c>
      <c r="N899" t="str">
        <f t="shared" ref="N899:N962" si="58">_xlfn.CONCAT(F899," (",E899,")")</f>
        <v>VET M CAT-DOG BLDG (2379)</v>
      </c>
      <c r="O899" t="s">
        <v>52</v>
      </c>
      <c r="P899" t="str">
        <f t="shared" ref="P899:P962" si="59">_xlfn.CONCAT(C899,"_",E899)</f>
        <v>18000_2379</v>
      </c>
      <c r="Q899" s="180">
        <v>100</v>
      </c>
    </row>
    <row r="900" spans="1:17">
      <c r="A900" t="str">
        <f t="shared" si="56"/>
        <v>UGA_2380</v>
      </c>
      <c r="B900" t="str">
        <f t="shared" si="57"/>
        <v>UGA_VET MED FEED STR 2</v>
      </c>
      <c r="C900" t="s">
        <v>443</v>
      </c>
      <c r="D900" s="180" t="s">
        <v>51</v>
      </c>
      <c r="E900" t="s">
        <v>4230</v>
      </c>
      <c r="F900" t="s">
        <v>4231</v>
      </c>
      <c r="G900" s="180">
        <v>471</v>
      </c>
      <c r="H900">
        <v>1972</v>
      </c>
      <c r="J900" s="1334" t="s">
        <v>475</v>
      </c>
      <c r="K900" s="1335" t="s">
        <v>475</v>
      </c>
      <c r="L900" s="180">
        <v>0</v>
      </c>
      <c r="M900" t="s">
        <v>7818</v>
      </c>
      <c r="N900" t="str">
        <f t="shared" si="58"/>
        <v>VET MED FEED STR 2 (2380)</v>
      </c>
      <c r="O900" t="s">
        <v>52</v>
      </c>
      <c r="P900" t="str">
        <f t="shared" si="59"/>
        <v>18000_2380</v>
      </c>
      <c r="Q900" s="180">
        <v>100</v>
      </c>
    </row>
    <row r="901" spans="1:17">
      <c r="A901" t="str">
        <f t="shared" si="56"/>
        <v>UGA_2383</v>
      </c>
      <c r="B901" t="str">
        <f t="shared" si="57"/>
        <v>UGA_VET MED STALL BARN</v>
      </c>
      <c r="C901" t="s">
        <v>443</v>
      </c>
      <c r="D901" s="180" t="s">
        <v>51</v>
      </c>
      <c r="E901" t="s">
        <v>2408</v>
      </c>
      <c r="F901" t="s">
        <v>2409</v>
      </c>
      <c r="G901" s="180">
        <v>4472</v>
      </c>
      <c r="H901">
        <v>1974</v>
      </c>
      <c r="J901" s="1334" t="s">
        <v>475</v>
      </c>
      <c r="K901" s="1335" t="s">
        <v>1520</v>
      </c>
      <c r="L901" s="180">
        <v>100</v>
      </c>
      <c r="M901" t="s">
        <v>7818</v>
      </c>
      <c r="N901" t="str">
        <f t="shared" si="58"/>
        <v>VET MED STALL BARN (2383)</v>
      </c>
      <c r="O901" t="s">
        <v>52</v>
      </c>
      <c r="P901" t="str">
        <f t="shared" si="59"/>
        <v>18000_2383</v>
      </c>
      <c r="Q901" s="180">
        <v>100</v>
      </c>
    </row>
    <row r="902" spans="1:17">
      <c r="A902" t="str">
        <f t="shared" si="56"/>
        <v>UGA_2389</v>
      </c>
      <c r="B902" t="str">
        <f t="shared" si="57"/>
        <v>UGA_EQPT SHED VET MED</v>
      </c>
      <c r="C902" t="s">
        <v>443</v>
      </c>
      <c r="D902" s="180" t="s">
        <v>51</v>
      </c>
      <c r="E902" t="s">
        <v>3160</v>
      </c>
      <c r="F902" t="s">
        <v>3161</v>
      </c>
      <c r="G902" s="180">
        <v>2706</v>
      </c>
      <c r="H902">
        <v>1982</v>
      </c>
      <c r="J902" s="1334" t="s">
        <v>475</v>
      </c>
      <c r="K902" s="1335" t="s">
        <v>475</v>
      </c>
      <c r="L902" s="180">
        <v>0</v>
      </c>
      <c r="M902" t="s">
        <v>7818</v>
      </c>
      <c r="N902" t="str">
        <f t="shared" si="58"/>
        <v>EQPT SHED VET MED (2389)</v>
      </c>
      <c r="O902" t="s">
        <v>52</v>
      </c>
      <c r="P902" t="str">
        <f t="shared" si="59"/>
        <v>18000_2389</v>
      </c>
      <c r="Q902" s="180">
        <v>100</v>
      </c>
    </row>
    <row r="903" spans="1:17">
      <c r="A903" t="str">
        <f t="shared" si="56"/>
        <v>UGA_2395</v>
      </c>
      <c r="B903" t="str">
        <f t="shared" si="57"/>
        <v>UGA_CTR MOLECULAR MED</v>
      </c>
      <c r="C903" t="s">
        <v>443</v>
      </c>
      <c r="D903" s="180" t="s">
        <v>51</v>
      </c>
      <c r="E903" t="s">
        <v>3265</v>
      </c>
      <c r="F903" t="s">
        <v>3266</v>
      </c>
      <c r="G903" s="180">
        <v>51419</v>
      </c>
      <c r="H903">
        <v>2017</v>
      </c>
      <c r="J903" s="1334" t="s">
        <v>475</v>
      </c>
      <c r="K903" s="1335" t="s">
        <v>475</v>
      </c>
      <c r="L903" s="180">
        <v>100</v>
      </c>
      <c r="M903" t="s">
        <v>7818</v>
      </c>
      <c r="N903" t="str">
        <f t="shared" si="58"/>
        <v>CTR MOLECULAR MED (2395)</v>
      </c>
      <c r="O903" t="s">
        <v>52</v>
      </c>
      <c r="P903" t="str">
        <f t="shared" si="59"/>
        <v>18000_2395</v>
      </c>
      <c r="Q903" s="180">
        <v>100</v>
      </c>
    </row>
    <row r="904" spans="1:17">
      <c r="A904" t="str">
        <f t="shared" si="56"/>
        <v>UGA_2399</v>
      </c>
      <c r="B904" t="str">
        <f t="shared" si="57"/>
        <v>UGA_PDRC INCINERATOR</v>
      </c>
      <c r="C904" t="s">
        <v>443</v>
      </c>
      <c r="D904" s="180" t="s">
        <v>51</v>
      </c>
      <c r="E904" t="s">
        <v>4401</v>
      </c>
      <c r="F904" t="s">
        <v>4402</v>
      </c>
      <c r="G904" s="180">
        <v>424</v>
      </c>
      <c r="H904">
        <v>2001</v>
      </c>
      <c r="J904" s="1334" t="s">
        <v>475</v>
      </c>
      <c r="K904" s="1335" t="s">
        <v>475</v>
      </c>
      <c r="L904" s="180">
        <v>100</v>
      </c>
      <c r="M904" t="s">
        <v>7818</v>
      </c>
      <c r="N904" t="str">
        <f t="shared" si="58"/>
        <v>PDRC INCINERATOR (2399)</v>
      </c>
      <c r="O904" t="s">
        <v>52</v>
      </c>
      <c r="P904" t="str">
        <f t="shared" si="59"/>
        <v>18000_2399</v>
      </c>
      <c r="Q904" s="180">
        <v>100</v>
      </c>
    </row>
    <row r="905" spans="1:17">
      <c r="A905" t="str">
        <f t="shared" si="56"/>
        <v>UGA_2400</v>
      </c>
      <c r="B905" t="str">
        <f t="shared" si="57"/>
        <v>UGA_RIVERBEND FARM RESEARCH BUILDI</v>
      </c>
      <c r="C905" t="s">
        <v>443</v>
      </c>
      <c r="D905" s="180" t="s">
        <v>51</v>
      </c>
      <c r="E905" t="s">
        <v>7039</v>
      </c>
      <c r="F905" t="s">
        <v>7137</v>
      </c>
      <c r="G905" s="180">
        <v>4444</v>
      </c>
      <c r="H905">
        <v>2021</v>
      </c>
      <c r="J905" s="1334" t="s">
        <v>475</v>
      </c>
      <c r="K905" s="1335" t="s">
        <v>475</v>
      </c>
      <c r="L905" s="180">
        <v>100</v>
      </c>
      <c r="M905" t="s">
        <v>7818</v>
      </c>
      <c r="N905" t="str">
        <f t="shared" si="58"/>
        <v>RIVERBEND FARM RESEARCH BUILDI (2400)</v>
      </c>
      <c r="O905" t="s">
        <v>52</v>
      </c>
      <c r="P905" t="str">
        <f t="shared" si="59"/>
        <v>18000_2400</v>
      </c>
      <c r="Q905" s="180">
        <v>100</v>
      </c>
    </row>
    <row r="906" spans="1:17">
      <c r="A906" t="str">
        <f t="shared" si="56"/>
        <v>UGA_2407</v>
      </c>
      <c r="B906" t="str">
        <f t="shared" si="57"/>
        <v>UGA_AGY SEED COLD STRG</v>
      </c>
      <c r="C906" t="s">
        <v>443</v>
      </c>
      <c r="D906" s="180" t="s">
        <v>51</v>
      </c>
      <c r="E906" t="s">
        <v>2500</v>
      </c>
      <c r="F906" t="s">
        <v>2501</v>
      </c>
      <c r="G906" s="180">
        <v>480</v>
      </c>
      <c r="H906">
        <v>1985</v>
      </c>
      <c r="J906" s="1334" t="s">
        <v>475</v>
      </c>
      <c r="K906" s="1335" t="s">
        <v>475</v>
      </c>
      <c r="L906" s="180">
        <v>0</v>
      </c>
      <c r="M906" t="s">
        <v>7818</v>
      </c>
      <c r="N906" t="str">
        <f t="shared" si="58"/>
        <v>AGY SEED COLD STRG (2407)</v>
      </c>
      <c r="O906" t="s">
        <v>52</v>
      </c>
      <c r="P906" t="str">
        <f t="shared" si="59"/>
        <v>18000_2407</v>
      </c>
      <c r="Q906" s="180">
        <v>100</v>
      </c>
    </row>
    <row r="907" spans="1:17">
      <c r="A907" t="str">
        <f t="shared" si="56"/>
        <v>UGA_2408</v>
      </c>
      <c r="B907" t="str">
        <f t="shared" si="57"/>
        <v>UGA_AGY SOIL BLDG</v>
      </c>
      <c r="C907" t="s">
        <v>443</v>
      </c>
      <c r="D907" s="180" t="s">
        <v>51</v>
      </c>
      <c r="E907" t="s">
        <v>1569</v>
      </c>
      <c r="F907" t="s">
        <v>1570</v>
      </c>
      <c r="G907" s="180">
        <v>1792</v>
      </c>
      <c r="H907">
        <v>1990</v>
      </c>
      <c r="J907" s="1334" t="s">
        <v>475</v>
      </c>
      <c r="K907" s="1335" t="s">
        <v>475</v>
      </c>
      <c r="L907" s="180">
        <v>0</v>
      </c>
      <c r="M907" t="s">
        <v>7818</v>
      </c>
      <c r="N907" t="str">
        <f t="shared" si="58"/>
        <v>AGY SOIL BLDG (2408)</v>
      </c>
      <c r="O907" t="s">
        <v>52</v>
      </c>
      <c r="P907" t="str">
        <f t="shared" si="59"/>
        <v>18000_2408</v>
      </c>
      <c r="Q907" s="180">
        <v>100</v>
      </c>
    </row>
    <row r="908" spans="1:17">
      <c r="A908" t="str">
        <f t="shared" si="56"/>
        <v>UGA_2410</v>
      </c>
      <c r="B908" t="str">
        <f t="shared" si="57"/>
        <v>UGA_GREENHSE RES P HOR</v>
      </c>
      <c r="C908" t="s">
        <v>443</v>
      </c>
      <c r="D908" s="180" t="s">
        <v>51</v>
      </c>
      <c r="E908" t="s">
        <v>1571</v>
      </c>
      <c r="F908" t="s">
        <v>1572</v>
      </c>
      <c r="G908" s="180">
        <v>7846</v>
      </c>
      <c r="H908">
        <v>1970</v>
      </c>
      <c r="J908" s="1334" t="s">
        <v>475</v>
      </c>
      <c r="K908" s="1335" t="s">
        <v>486</v>
      </c>
      <c r="L908" s="180">
        <v>0</v>
      </c>
      <c r="M908" t="s">
        <v>7818</v>
      </c>
      <c r="N908" t="str">
        <f t="shared" si="58"/>
        <v>GREENHSE RES P HOR (2410)</v>
      </c>
      <c r="O908" t="s">
        <v>52</v>
      </c>
      <c r="P908" t="str">
        <f t="shared" si="59"/>
        <v>18000_2410</v>
      </c>
      <c r="Q908" s="180">
        <v>0</v>
      </c>
    </row>
    <row r="909" spans="1:17">
      <c r="A909" t="str">
        <f t="shared" si="56"/>
        <v>UGA_2411</v>
      </c>
      <c r="B909" t="str">
        <f t="shared" si="57"/>
        <v>UGA_GREENHSE RES P AGY</v>
      </c>
      <c r="C909" t="s">
        <v>443</v>
      </c>
      <c r="D909" s="180" t="s">
        <v>51</v>
      </c>
      <c r="E909" t="s">
        <v>3707</v>
      </c>
      <c r="F909" t="s">
        <v>3708</v>
      </c>
      <c r="G909" s="180">
        <v>17078</v>
      </c>
      <c r="H909">
        <v>1970</v>
      </c>
      <c r="J909" s="1334" t="s">
        <v>475</v>
      </c>
      <c r="K909" s="1335" t="s">
        <v>475</v>
      </c>
      <c r="L909" s="180">
        <v>0</v>
      </c>
      <c r="M909" t="s">
        <v>7818</v>
      </c>
      <c r="N909" t="str">
        <f t="shared" si="58"/>
        <v>GREENHSE RES P AGY (2411)</v>
      </c>
      <c r="O909" t="s">
        <v>52</v>
      </c>
      <c r="P909" t="str">
        <f t="shared" si="59"/>
        <v>18000_2411</v>
      </c>
      <c r="Q909" s="180">
        <v>0</v>
      </c>
    </row>
    <row r="910" spans="1:17">
      <c r="A910" t="str">
        <f t="shared" si="56"/>
        <v>UGA_2412</v>
      </c>
      <c r="B910" t="str">
        <f t="shared" si="57"/>
        <v>UGA_PLANT PATH HEADHSE</v>
      </c>
      <c r="C910" t="s">
        <v>443</v>
      </c>
      <c r="D910" s="180" t="s">
        <v>51</v>
      </c>
      <c r="E910" t="s">
        <v>1918</v>
      </c>
      <c r="F910" t="s">
        <v>1919</v>
      </c>
      <c r="G910" s="180">
        <v>12743</v>
      </c>
      <c r="H910">
        <v>1970</v>
      </c>
      <c r="J910" s="1334" t="s">
        <v>475</v>
      </c>
      <c r="K910" s="1335" t="s">
        <v>1520</v>
      </c>
      <c r="L910" s="180">
        <v>0</v>
      </c>
      <c r="M910" t="s">
        <v>7818</v>
      </c>
      <c r="N910" t="str">
        <f t="shared" si="58"/>
        <v>PLANT PATH HEADHSE (2412)</v>
      </c>
      <c r="O910" t="s">
        <v>52</v>
      </c>
      <c r="P910" t="str">
        <f t="shared" si="59"/>
        <v>18000_2412</v>
      </c>
      <c r="Q910" s="180">
        <v>100</v>
      </c>
    </row>
    <row r="911" spans="1:17">
      <c r="A911" t="str">
        <f t="shared" si="56"/>
        <v>UGA_2413</v>
      </c>
      <c r="B911" t="str">
        <f t="shared" si="57"/>
        <v>UGA_SOIL STORAGE BLDG</v>
      </c>
      <c r="C911" t="s">
        <v>443</v>
      </c>
      <c r="D911" s="180" t="s">
        <v>51</v>
      </c>
      <c r="E911" t="s">
        <v>3709</v>
      </c>
      <c r="F911" t="s">
        <v>3710</v>
      </c>
      <c r="G911" s="180">
        <v>1298</v>
      </c>
      <c r="H911">
        <v>1982</v>
      </c>
      <c r="J911" s="1334" t="s">
        <v>475</v>
      </c>
      <c r="K911" s="1335" t="s">
        <v>475</v>
      </c>
      <c r="L911" s="180">
        <v>0</v>
      </c>
      <c r="M911" t="s">
        <v>7818</v>
      </c>
      <c r="N911" t="str">
        <f t="shared" si="58"/>
        <v>SOIL STORAGE BLDG (2413)</v>
      </c>
      <c r="O911" t="s">
        <v>52</v>
      </c>
      <c r="P911" t="str">
        <f t="shared" si="59"/>
        <v>18000_2413</v>
      </c>
      <c r="Q911" s="180">
        <v>0</v>
      </c>
    </row>
    <row r="912" spans="1:17">
      <c r="A912" t="str">
        <f t="shared" si="56"/>
        <v>UGA_2414</v>
      </c>
      <c r="B912" t="str">
        <f t="shared" si="57"/>
        <v>UGA_LATH GREENHOUSE-3</v>
      </c>
      <c r="C912" t="s">
        <v>443</v>
      </c>
      <c r="D912" s="180" t="s">
        <v>51</v>
      </c>
      <c r="E912" t="s">
        <v>2762</v>
      </c>
      <c r="F912" t="s">
        <v>2763</v>
      </c>
      <c r="G912" s="180">
        <v>2636</v>
      </c>
      <c r="H912">
        <v>1975</v>
      </c>
      <c r="J912" s="1334" t="s">
        <v>475</v>
      </c>
      <c r="K912" s="1335" t="s">
        <v>475</v>
      </c>
      <c r="L912" s="180">
        <v>100</v>
      </c>
      <c r="M912" t="s">
        <v>7818</v>
      </c>
      <c r="N912" t="str">
        <f t="shared" si="58"/>
        <v>LATH GREENHOUSE-3 (2414)</v>
      </c>
      <c r="O912" t="s">
        <v>52</v>
      </c>
      <c r="P912" t="str">
        <f t="shared" si="59"/>
        <v>18000_2414</v>
      </c>
      <c r="Q912" s="180">
        <v>100</v>
      </c>
    </row>
    <row r="913" spans="1:17">
      <c r="A913" t="str">
        <f t="shared" si="56"/>
        <v>UGA_2415</v>
      </c>
      <c r="B913" t="str">
        <f t="shared" si="57"/>
        <v>UGA_GREENHSE RES BOT</v>
      </c>
      <c r="C913" t="s">
        <v>443</v>
      </c>
      <c r="D913" s="180" t="s">
        <v>51</v>
      </c>
      <c r="E913" t="s">
        <v>2114</v>
      </c>
      <c r="F913" t="s">
        <v>2115</v>
      </c>
      <c r="G913" s="180">
        <v>27636</v>
      </c>
      <c r="H913">
        <v>1971</v>
      </c>
      <c r="J913" s="1334" t="s">
        <v>475</v>
      </c>
      <c r="K913" s="1335" t="s">
        <v>475</v>
      </c>
      <c r="L913" s="180">
        <v>100</v>
      </c>
      <c r="M913" t="s">
        <v>7818</v>
      </c>
      <c r="N913" t="str">
        <f t="shared" si="58"/>
        <v>GREENHSE RES BOT (2415)</v>
      </c>
      <c r="O913" t="s">
        <v>52</v>
      </c>
      <c r="P913" t="str">
        <f t="shared" si="59"/>
        <v>18000_2415</v>
      </c>
      <c r="Q913" s="180">
        <v>100</v>
      </c>
    </row>
    <row r="914" spans="1:17">
      <c r="A914" t="str">
        <f t="shared" si="56"/>
        <v>UGA_2416</v>
      </c>
      <c r="B914" t="str">
        <f t="shared" si="57"/>
        <v>UGA_GREENHSE R P CCRC</v>
      </c>
      <c r="C914" t="s">
        <v>443</v>
      </c>
      <c r="D914" s="180" t="s">
        <v>51</v>
      </c>
      <c r="E914" t="s">
        <v>2356</v>
      </c>
      <c r="F914" t="s">
        <v>2357</v>
      </c>
      <c r="G914" s="180">
        <v>5198</v>
      </c>
      <c r="H914">
        <v>1986</v>
      </c>
      <c r="J914" s="1334" t="s">
        <v>475</v>
      </c>
      <c r="K914" s="1335" t="s">
        <v>475</v>
      </c>
      <c r="L914" s="180">
        <v>100</v>
      </c>
      <c r="M914" t="s">
        <v>7818</v>
      </c>
      <c r="N914" t="str">
        <f t="shared" si="58"/>
        <v>GREENHSE R P CCRC (2416)</v>
      </c>
      <c r="O914" t="s">
        <v>52</v>
      </c>
      <c r="P914" t="str">
        <f t="shared" si="59"/>
        <v>18000_2416</v>
      </c>
      <c r="Q914" s="180">
        <v>100</v>
      </c>
    </row>
    <row r="915" spans="1:17">
      <c r="A915" t="str">
        <f t="shared" si="56"/>
        <v>UGA_2418</v>
      </c>
      <c r="B915" t="str">
        <f t="shared" si="57"/>
        <v>UGA_RIVERBEND RSCH S</v>
      </c>
      <c r="C915" t="s">
        <v>443</v>
      </c>
      <c r="D915" s="180" t="s">
        <v>51</v>
      </c>
      <c r="E915" t="s">
        <v>1637</v>
      </c>
      <c r="F915" t="s">
        <v>1638</v>
      </c>
      <c r="G915" s="180">
        <v>79151</v>
      </c>
      <c r="H915">
        <v>1989</v>
      </c>
      <c r="J915" s="1334" t="s">
        <v>475</v>
      </c>
      <c r="K915" s="1335" t="s">
        <v>475</v>
      </c>
      <c r="L915" s="180">
        <v>100</v>
      </c>
      <c r="M915" t="s">
        <v>7818</v>
      </c>
      <c r="N915" t="str">
        <f t="shared" si="58"/>
        <v>RIVERBEND RSCH S (2418)</v>
      </c>
      <c r="O915" t="s">
        <v>52</v>
      </c>
      <c r="P915" t="str">
        <f t="shared" si="59"/>
        <v>18000_2418</v>
      </c>
      <c r="Q915" s="180">
        <v>100</v>
      </c>
    </row>
    <row r="916" spans="1:17">
      <c r="A916" t="str">
        <f t="shared" si="56"/>
        <v>UGA_2419</v>
      </c>
      <c r="B916" t="str">
        <f t="shared" si="57"/>
        <v>UGA_CCRC</v>
      </c>
      <c r="C916" t="s">
        <v>443</v>
      </c>
      <c r="D916" s="180" t="s">
        <v>51</v>
      </c>
      <c r="E916" t="s">
        <v>4000</v>
      </c>
      <c r="F916" t="s">
        <v>4001</v>
      </c>
      <c r="G916" s="180">
        <v>157555</v>
      </c>
      <c r="H916">
        <v>2003</v>
      </c>
      <c r="J916" s="1334" t="s">
        <v>475</v>
      </c>
      <c r="K916" s="1335" t="s">
        <v>475</v>
      </c>
      <c r="L916" s="180">
        <v>100</v>
      </c>
      <c r="M916" t="s">
        <v>7818</v>
      </c>
      <c r="N916" t="str">
        <f t="shared" si="58"/>
        <v>CCRC (2419)</v>
      </c>
      <c r="O916" t="s">
        <v>52</v>
      </c>
      <c r="P916" t="str">
        <f t="shared" si="59"/>
        <v>18000_2419</v>
      </c>
      <c r="Q916" s="180">
        <v>100</v>
      </c>
    </row>
    <row r="917" spans="1:17">
      <c r="A917" t="str">
        <f t="shared" si="56"/>
        <v>UGA_2423</v>
      </c>
      <c r="B917" t="str">
        <f t="shared" si="57"/>
        <v>UGA_HORT GREENHOUSE-1</v>
      </c>
      <c r="C917" t="s">
        <v>443</v>
      </c>
      <c r="D917" s="180" t="s">
        <v>51</v>
      </c>
      <c r="E917" t="s">
        <v>2957</v>
      </c>
      <c r="F917" t="s">
        <v>2958</v>
      </c>
      <c r="G917" s="180">
        <v>14221</v>
      </c>
      <c r="H917">
        <v>1989</v>
      </c>
      <c r="J917" s="1334" t="s">
        <v>475</v>
      </c>
      <c r="K917" s="1335" t="s">
        <v>475</v>
      </c>
      <c r="L917" s="180">
        <v>100</v>
      </c>
      <c r="M917" t="s">
        <v>7818</v>
      </c>
      <c r="N917" t="str">
        <f t="shared" si="58"/>
        <v>HORT GREENHOUSE-1 (2423)</v>
      </c>
      <c r="O917" t="s">
        <v>52</v>
      </c>
      <c r="P917" t="str">
        <f t="shared" si="59"/>
        <v>18000_2423</v>
      </c>
      <c r="Q917" s="180">
        <v>100</v>
      </c>
    </row>
    <row r="918" spans="1:17">
      <c r="A918" t="str">
        <f t="shared" si="56"/>
        <v>UGA_2424</v>
      </c>
      <c r="B918" t="str">
        <f t="shared" si="57"/>
        <v>UGA_HORT GREENHOUSE-2</v>
      </c>
      <c r="C918" t="s">
        <v>443</v>
      </c>
      <c r="D918" s="180" t="s">
        <v>51</v>
      </c>
      <c r="E918" t="s">
        <v>3612</v>
      </c>
      <c r="F918" t="s">
        <v>3613</v>
      </c>
      <c r="G918" s="180">
        <v>2160</v>
      </c>
      <c r="H918">
        <v>2004</v>
      </c>
      <c r="J918" s="1334" t="s">
        <v>475</v>
      </c>
      <c r="K918" s="1335" t="s">
        <v>475</v>
      </c>
      <c r="L918" s="180">
        <v>100</v>
      </c>
      <c r="M918" t="s">
        <v>7818</v>
      </c>
      <c r="N918" t="str">
        <f t="shared" si="58"/>
        <v>HORT GREENHOUSE-2 (2424)</v>
      </c>
      <c r="O918" t="s">
        <v>52</v>
      </c>
      <c r="P918" t="str">
        <f t="shared" si="59"/>
        <v>18000_2424</v>
      </c>
      <c r="Q918" s="180">
        <v>100</v>
      </c>
    </row>
    <row r="919" spans="1:17">
      <c r="A919" t="str">
        <f t="shared" si="56"/>
        <v>UGA_2425</v>
      </c>
      <c r="B919" t="str">
        <f t="shared" si="57"/>
        <v>UGA_ENTOMOL GRHSE/HDHS</v>
      </c>
      <c r="C919" t="s">
        <v>443</v>
      </c>
      <c r="D919" s="180" t="s">
        <v>51</v>
      </c>
      <c r="E919" t="s">
        <v>2706</v>
      </c>
      <c r="F919" t="s">
        <v>2707</v>
      </c>
      <c r="G919" s="180">
        <v>8986</v>
      </c>
      <c r="H919">
        <v>1989</v>
      </c>
      <c r="J919" s="1334" t="s">
        <v>475</v>
      </c>
      <c r="K919" s="1335" t="s">
        <v>475</v>
      </c>
      <c r="L919" s="180">
        <v>100</v>
      </c>
      <c r="M919" t="s">
        <v>7818</v>
      </c>
      <c r="N919" t="str">
        <f t="shared" si="58"/>
        <v>ENTOMOL GRHSE/HDHS (2425)</v>
      </c>
      <c r="O919" t="s">
        <v>52</v>
      </c>
      <c r="P919" t="str">
        <f t="shared" si="59"/>
        <v>18000_2425</v>
      </c>
      <c r="Q919" s="180">
        <v>0</v>
      </c>
    </row>
    <row r="920" spans="1:17">
      <c r="A920" t="str">
        <f t="shared" si="56"/>
        <v>UGA_2426</v>
      </c>
      <c r="B920" t="str">
        <f t="shared" si="57"/>
        <v>UGA_AGRONOMY SEED LAB</v>
      </c>
      <c r="C920" t="s">
        <v>443</v>
      </c>
      <c r="D920" s="180" t="s">
        <v>51</v>
      </c>
      <c r="E920" t="s">
        <v>2175</v>
      </c>
      <c r="F920" t="s">
        <v>2176</v>
      </c>
      <c r="G920" s="180">
        <v>10105</v>
      </c>
      <c r="H920">
        <v>1989</v>
      </c>
      <c r="J920" s="1334" t="s">
        <v>475</v>
      </c>
      <c r="K920" s="1335" t="s">
        <v>1520</v>
      </c>
      <c r="L920" s="180">
        <v>100</v>
      </c>
      <c r="M920" t="s">
        <v>7818</v>
      </c>
      <c r="N920" t="str">
        <f t="shared" si="58"/>
        <v>AGRONOMY SEED LAB (2426)</v>
      </c>
      <c r="O920" t="s">
        <v>52</v>
      </c>
      <c r="P920" t="str">
        <f t="shared" si="59"/>
        <v>18000_2426</v>
      </c>
      <c r="Q920" s="180">
        <v>0</v>
      </c>
    </row>
    <row r="921" spans="1:17">
      <c r="A921" t="str">
        <f t="shared" si="56"/>
        <v>UGA_2427</v>
      </c>
      <c r="B921" t="str">
        <f t="shared" si="57"/>
        <v>UGA_PLANT BIOLOGY GH</v>
      </c>
      <c r="C921" t="s">
        <v>443</v>
      </c>
      <c r="D921" s="180" t="s">
        <v>51</v>
      </c>
      <c r="E921" t="s">
        <v>1726</v>
      </c>
      <c r="F921" t="s">
        <v>1727</v>
      </c>
      <c r="G921" s="180">
        <v>3800</v>
      </c>
      <c r="H921">
        <v>2007</v>
      </c>
      <c r="J921" s="1334" t="s">
        <v>475</v>
      </c>
      <c r="K921" s="1335" t="s">
        <v>475</v>
      </c>
      <c r="L921" s="180">
        <v>100</v>
      </c>
      <c r="M921" t="s">
        <v>7818</v>
      </c>
      <c r="N921" t="str">
        <f t="shared" si="58"/>
        <v>PLANT BIOLOGY GH (2427)</v>
      </c>
      <c r="O921" t="s">
        <v>52</v>
      </c>
      <c r="P921" t="str">
        <f t="shared" si="59"/>
        <v>18000_2427</v>
      </c>
      <c r="Q921" s="180">
        <v>0</v>
      </c>
    </row>
    <row r="922" spans="1:17">
      <c r="A922" t="str">
        <f t="shared" si="56"/>
        <v>UGA_2428</v>
      </c>
      <c r="B922" t="str">
        <f t="shared" si="57"/>
        <v>UGA_CROP &amp; SOIL GH</v>
      </c>
      <c r="C922" t="s">
        <v>443</v>
      </c>
      <c r="D922" s="180" t="s">
        <v>51</v>
      </c>
      <c r="E922" t="s">
        <v>3852</v>
      </c>
      <c r="F922" t="s">
        <v>3853</v>
      </c>
      <c r="G922" s="180">
        <v>5926</v>
      </c>
      <c r="H922">
        <v>2007</v>
      </c>
      <c r="J922" s="1334" t="s">
        <v>475</v>
      </c>
      <c r="K922" s="1335" t="s">
        <v>475</v>
      </c>
      <c r="L922" s="180">
        <v>100</v>
      </c>
      <c r="M922" t="s">
        <v>7818</v>
      </c>
      <c r="N922" t="str">
        <f t="shared" si="58"/>
        <v>CROP &amp; SOIL GH (2428)</v>
      </c>
      <c r="O922" t="s">
        <v>52</v>
      </c>
      <c r="P922" t="str">
        <f t="shared" si="59"/>
        <v>18000_2428</v>
      </c>
      <c r="Q922" s="180">
        <v>0</v>
      </c>
    </row>
    <row r="923" spans="1:17">
      <c r="A923" t="str">
        <f t="shared" si="56"/>
        <v>UGA_2430</v>
      </c>
      <c r="B923" t="str">
        <f t="shared" si="57"/>
        <v>UGA_DRY WASTE STORAGE</v>
      </c>
      <c r="C923" t="s">
        <v>443</v>
      </c>
      <c r="D923" s="180" t="s">
        <v>51</v>
      </c>
      <c r="E923" t="s">
        <v>2959</v>
      </c>
      <c r="F923" t="s">
        <v>2960</v>
      </c>
      <c r="G923" s="180">
        <v>2038</v>
      </c>
      <c r="H923">
        <v>1978</v>
      </c>
      <c r="J923" s="1334" t="s">
        <v>475</v>
      </c>
      <c r="K923" s="1335" t="s">
        <v>475</v>
      </c>
      <c r="L923" s="180">
        <v>100</v>
      </c>
      <c r="M923" t="s">
        <v>7818</v>
      </c>
      <c r="N923" t="str">
        <f t="shared" si="58"/>
        <v>DRY WASTE STORAGE (2430)</v>
      </c>
      <c r="O923" t="s">
        <v>52</v>
      </c>
      <c r="P923" t="str">
        <f t="shared" si="59"/>
        <v>18000_2430</v>
      </c>
      <c r="Q923" s="180">
        <v>0</v>
      </c>
    </row>
    <row r="924" spans="1:17">
      <c r="A924" t="str">
        <f t="shared" si="56"/>
        <v>UGA_2431</v>
      </c>
      <c r="B924" t="str">
        <f t="shared" si="57"/>
        <v>UGA_CRS WAREHOUSE</v>
      </c>
      <c r="C924" t="s">
        <v>443</v>
      </c>
      <c r="D924" s="180" t="s">
        <v>51</v>
      </c>
      <c r="E924" t="s">
        <v>3064</v>
      </c>
      <c r="F924" t="s">
        <v>3065</v>
      </c>
      <c r="G924" s="180">
        <v>5744</v>
      </c>
      <c r="H924">
        <v>1984</v>
      </c>
      <c r="J924" s="1334" t="s">
        <v>475</v>
      </c>
      <c r="K924" s="1335" t="s">
        <v>475</v>
      </c>
      <c r="L924" s="180">
        <v>100</v>
      </c>
      <c r="M924" t="s">
        <v>7818</v>
      </c>
      <c r="N924" t="str">
        <f t="shared" si="58"/>
        <v>CRS WAREHOUSE (2431)</v>
      </c>
      <c r="O924" t="s">
        <v>52</v>
      </c>
      <c r="P924" t="str">
        <f t="shared" si="59"/>
        <v>18000_2431</v>
      </c>
      <c r="Q924" s="180">
        <v>0</v>
      </c>
    </row>
    <row r="925" spans="1:17">
      <c r="A925" t="str">
        <f t="shared" si="56"/>
        <v>UGA_2433</v>
      </c>
      <c r="B925" t="str">
        <f t="shared" si="57"/>
        <v>UGA_LIQ WASTE STORAGE</v>
      </c>
      <c r="C925" t="s">
        <v>443</v>
      </c>
      <c r="D925" s="180" t="s">
        <v>51</v>
      </c>
      <c r="E925" t="s">
        <v>4068</v>
      </c>
      <c r="F925" t="s">
        <v>4069</v>
      </c>
      <c r="G925" s="180">
        <v>1010</v>
      </c>
      <c r="H925">
        <v>1992</v>
      </c>
      <c r="J925" s="1334" t="s">
        <v>475</v>
      </c>
      <c r="K925" s="1335" t="s">
        <v>475</v>
      </c>
      <c r="L925" s="180">
        <v>100</v>
      </c>
      <c r="M925" t="s">
        <v>7818</v>
      </c>
      <c r="N925" t="str">
        <f t="shared" si="58"/>
        <v>LIQ WASTE STORAGE (2433)</v>
      </c>
      <c r="O925" t="s">
        <v>52</v>
      </c>
      <c r="P925" t="str">
        <f t="shared" si="59"/>
        <v>18000_2433</v>
      </c>
      <c r="Q925" s="180">
        <v>0</v>
      </c>
    </row>
    <row r="926" spans="1:17">
      <c r="A926" t="str">
        <f t="shared" si="56"/>
        <v>UGA_2434</v>
      </c>
      <c r="B926" t="str">
        <f t="shared" si="57"/>
        <v>UGA_RSCH STORES ADMIN</v>
      </c>
      <c r="C926" t="s">
        <v>443</v>
      </c>
      <c r="D926" s="180" t="s">
        <v>51</v>
      </c>
      <c r="E926" t="s">
        <v>3969</v>
      </c>
      <c r="F926" t="s">
        <v>3970</v>
      </c>
      <c r="G926" s="180">
        <v>2553</v>
      </c>
      <c r="H926">
        <v>1999</v>
      </c>
      <c r="J926" s="1334" t="s">
        <v>475</v>
      </c>
      <c r="K926" s="1335" t="s">
        <v>475</v>
      </c>
      <c r="L926" s="180">
        <v>100</v>
      </c>
      <c r="M926" t="s">
        <v>7818</v>
      </c>
      <c r="N926" t="str">
        <f t="shared" si="58"/>
        <v>RSCH STORES ADMIN (2434)</v>
      </c>
      <c r="O926" t="s">
        <v>52</v>
      </c>
      <c r="P926" t="str">
        <f t="shared" si="59"/>
        <v>18000_2434</v>
      </c>
      <c r="Q926" s="180">
        <v>0</v>
      </c>
    </row>
    <row r="927" spans="1:17">
      <c r="A927" t="str">
        <f t="shared" si="56"/>
        <v>UGA_2435</v>
      </c>
      <c r="B927" t="str">
        <f t="shared" si="57"/>
        <v>UGA_UGAPD STORAGE</v>
      </c>
      <c r="C927" t="s">
        <v>443</v>
      </c>
      <c r="D927" s="180" t="s">
        <v>51</v>
      </c>
      <c r="E927" t="s">
        <v>3810</v>
      </c>
      <c r="F927" t="s">
        <v>3811</v>
      </c>
      <c r="G927" s="180">
        <v>7240</v>
      </c>
      <c r="H927">
        <v>2019</v>
      </c>
      <c r="J927" s="1334" t="s">
        <v>475</v>
      </c>
      <c r="K927" s="1335" t="s">
        <v>475</v>
      </c>
      <c r="L927" s="180">
        <v>100</v>
      </c>
      <c r="M927" t="s">
        <v>7818</v>
      </c>
      <c r="N927" t="str">
        <f t="shared" si="58"/>
        <v>UGAPD STORAGE (2435)</v>
      </c>
      <c r="O927" t="s">
        <v>52</v>
      </c>
      <c r="P927" t="str">
        <f t="shared" si="59"/>
        <v>18000_2435</v>
      </c>
      <c r="Q927" s="180">
        <v>0</v>
      </c>
    </row>
    <row r="928" spans="1:17">
      <c r="A928" t="str">
        <f t="shared" si="56"/>
        <v>UGA_2436</v>
      </c>
      <c r="B928" t="str">
        <f t="shared" si="57"/>
        <v>UGA_MULTIDISCIPLINARY GREEN HOUSE</v>
      </c>
      <c r="C928" t="s">
        <v>443</v>
      </c>
      <c r="D928" s="180" t="s">
        <v>51</v>
      </c>
      <c r="E928" t="s">
        <v>7040</v>
      </c>
      <c r="F928" t="s">
        <v>7726</v>
      </c>
      <c r="G928" s="180">
        <v>8891</v>
      </c>
      <c r="H928">
        <v>2022</v>
      </c>
      <c r="J928" s="1334" t="s">
        <v>475</v>
      </c>
      <c r="K928" s="1335" t="s">
        <v>475</v>
      </c>
      <c r="L928" s="180">
        <v>100</v>
      </c>
      <c r="M928" t="s">
        <v>7818</v>
      </c>
      <c r="N928" t="str">
        <f t="shared" si="58"/>
        <v>MULTIDISCIPLINARY GREEN HOUSE (2436)</v>
      </c>
      <c r="O928" t="s">
        <v>52</v>
      </c>
      <c r="P928" t="str">
        <f t="shared" si="59"/>
        <v>18000_2436</v>
      </c>
      <c r="Q928" s="180">
        <v>100</v>
      </c>
    </row>
    <row r="929" spans="1:17">
      <c r="A929" t="str">
        <f t="shared" si="56"/>
        <v>UGA_2437</v>
      </c>
      <c r="B929" t="str">
        <f t="shared" si="57"/>
        <v>UGA_SOIL CHEM EQUIP BL</v>
      </c>
      <c r="C929" t="s">
        <v>443</v>
      </c>
      <c r="D929" s="180" t="s">
        <v>51</v>
      </c>
      <c r="E929" t="s">
        <v>1557</v>
      </c>
      <c r="F929" t="s">
        <v>1558</v>
      </c>
      <c r="G929" s="180">
        <v>664</v>
      </c>
      <c r="H929">
        <v>1995</v>
      </c>
      <c r="J929" s="1334" t="s">
        <v>475</v>
      </c>
      <c r="K929" s="1335" t="s">
        <v>475</v>
      </c>
      <c r="L929" s="180">
        <v>100</v>
      </c>
      <c r="M929" t="s">
        <v>7818</v>
      </c>
      <c r="N929" t="str">
        <f t="shared" si="58"/>
        <v>SOIL CHEM EQUIP BL (2437)</v>
      </c>
      <c r="O929" t="s">
        <v>52</v>
      </c>
      <c r="P929" t="str">
        <f t="shared" si="59"/>
        <v>18000_2437</v>
      </c>
      <c r="Q929" s="180">
        <v>100</v>
      </c>
    </row>
    <row r="930" spans="1:17">
      <c r="A930" t="str">
        <f t="shared" si="56"/>
        <v>UGA_2438</v>
      </c>
      <c r="B930" t="str">
        <f t="shared" si="57"/>
        <v>UGA_CENTER FOR APPLIED GENETIC TEC</v>
      </c>
      <c r="C930" t="s">
        <v>443</v>
      </c>
      <c r="D930" s="180" t="s">
        <v>51</v>
      </c>
      <c r="E930" t="s">
        <v>2708</v>
      </c>
      <c r="F930" t="s">
        <v>2709</v>
      </c>
      <c r="G930" s="180">
        <v>65108</v>
      </c>
      <c r="H930">
        <v>2002</v>
      </c>
      <c r="J930" s="1334" t="s">
        <v>475</v>
      </c>
      <c r="K930" s="1335" t="s">
        <v>475</v>
      </c>
      <c r="L930" s="180">
        <v>100</v>
      </c>
      <c r="M930" t="s">
        <v>7818</v>
      </c>
      <c r="N930" t="str">
        <f t="shared" si="58"/>
        <v>CENTER FOR APPLIED GENETIC TEC (2438)</v>
      </c>
      <c r="O930" t="s">
        <v>52</v>
      </c>
      <c r="P930" t="str">
        <f t="shared" si="59"/>
        <v>18000_2438</v>
      </c>
      <c r="Q930" s="180">
        <v>0</v>
      </c>
    </row>
    <row r="931" spans="1:17">
      <c r="A931" t="str">
        <f t="shared" si="56"/>
        <v>UGA_2439</v>
      </c>
      <c r="B931" t="str">
        <f t="shared" si="57"/>
        <v>UGA_TR FAC BUS WASH</v>
      </c>
      <c r="C931" t="s">
        <v>443</v>
      </c>
      <c r="D931" s="180" t="s">
        <v>51</v>
      </c>
      <c r="E931" t="s">
        <v>3586</v>
      </c>
      <c r="F931" t="s">
        <v>3587</v>
      </c>
      <c r="G931" s="180">
        <v>1207</v>
      </c>
      <c r="H931">
        <v>1994</v>
      </c>
      <c r="J931" s="1334" t="s">
        <v>475</v>
      </c>
      <c r="K931" s="1335" t="s">
        <v>475</v>
      </c>
      <c r="L931" s="180">
        <v>0</v>
      </c>
      <c r="M931" t="s">
        <v>7818</v>
      </c>
      <c r="N931" t="str">
        <f t="shared" si="58"/>
        <v>TR FAC BUS WASH (2439)</v>
      </c>
      <c r="O931" t="s">
        <v>52</v>
      </c>
      <c r="P931" t="str">
        <f t="shared" si="59"/>
        <v>18000_2439</v>
      </c>
      <c r="Q931" s="180">
        <v>0</v>
      </c>
    </row>
    <row r="932" spans="1:17">
      <c r="A932" t="str">
        <f t="shared" si="56"/>
        <v>UGA_2440</v>
      </c>
      <c r="B932" t="str">
        <f t="shared" si="57"/>
        <v>UGA_LAKE HERRICK PAVLN</v>
      </c>
      <c r="C932" t="s">
        <v>443</v>
      </c>
      <c r="D932" s="180" t="s">
        <v>51</v>
      </c>
      <c r="E932" t="s">
        <v>4070</v>
      </c>
      <c r="F932" t="s">
        <v>4071</v>
      </c>
      <c r="G932" s="180">
        <v>4948</v>
      </c>
      <c r="H932">
        <v>1986</v>
      </c>
      <c r="J932" s="1334" t="s">
        <v>475</v>
      </c>
      <c r="K932" s="1335" t="s">
        <v>475</v>
      </c>
      <c r="L932" s="180">
        <v>100</v>
      </c>
      <c r="M932" t="s">
        <v>7818</v>
      </c>
      <c r="N932" t="str">
        <f t="shared" si="58"/>
        <v>LAKE HERRICK PAVLN (2440)</v>
      </c>
      <c r="O932" t="s">
        <v>52</v>
      </c>
      <c r="P932" t="str">
        <f t="shared" si="59"/>
        <v>18000_2440</v>
      </c>
      <c r="Q932" s="180">
        <v>100</v>
      </c>
    </row>
    <row r="933" spans="1:17">
      <c r="A933" t="str">
        <f t="shared" si="56"/>
        <v>UGA_2441</v>
      </c>
      <c r="B933" t="str">
        <f t="shared" si="57"/>
        <v>UGA_HERRICK BOAT HOUSE</v>
      </c>
      <c r="C933" t="s">
        <v>443</v>
      </c>
      <c r="D933" s="180" t="s">
        <v>51</v>
      </c>
      <c r="E933" t="s">
        <v>3267</v>
      </c>
      <c r="F933" t="s">
        <v>3268</v>
      </c>
      <c r="G933" s="180">
        <v>960</v>
      </c>
      <c r="H933">
        <v>1987</v>
      </c>
      <c r="J933" s="1334" t="s">
        <v>475</v>
      </c>
      <c r="K933" s="1335" t="s">
        <v>475</v>
      </c>
      <c r="L933" s="180">
        <v>0</v>
      </c>
      <c r="M933" t="s">
        <v>7818</v>
      </c>
      <c r="N933" t="str">
        <f t="shared" si="58"/>
        <v>HERRICK BOAT HOUSE (2441)</v>
      </c>
      <c r="O933" t="s">
        <v>52</v>
      </c>
      <c r="P933" t="str">
        <f t="shared" si="59"/>
        <v>18000_2441</v>
      </c>
      <c r="Q933" s="180">
        <v>100</v>
      </c>
    </row>
    <row r="934" spans="1:17">
      <c r="A934" t="str">
        <f t="shared" si="56"/>
        <v>UGA_2442</v>
      </c>
      <c r="B934" t="str">
        <f t="shared" si="57"/>
        <v>UGA_HERRICK PICNIC PAV</v>
      </c>
      <c r="C934" t="s">
        <v>443</v>
      </c>
      <c r="D934" s="180" t="s">
        <v>51</v>
      </c>
      <c r="E934" t="s">
        <v>2083</v>
      </c>
      <c r="F934" t="s">
        <v>2084</v>
      </c>
      <c r="G934" s="180">
        <v>640</v>
      </c>
      <c r="H934">
        <v>1987</v>
      </c>
      <c r="J934" s="1334" t="s">
        <v>475</v>
      </c>
      <c r="K934" s="1335" t="s">
        <v>475</v>
      </c>
      <c r="L934" s="180">
        <v>0</v>
      </c>
      <c r="M934" t="s">
        <v>7818</v>
      </c>
      <c r="N934" t="str">
        <f t="shared" si="58"/>
        <v>HERRICK PICNIC PAV (2442)</v>
      </c>
      <c r="O934" t="s">
        <v>52</v>
      </c>
      <c r="P934" t="str">
        <f t="shared" si="59"/>
        <v>18000_2442</v>
      </c>
      <c r="Q934" s="180">
        <v>0</v>
      </c>
    </row>
    <row r="935" spans="1:17">
      <c r="A935" t="str">
        <f t="shared" si="56"/>
        <v>UGA_2443</v>
      </c>
      <c r="B935" t="str">
        <f t="shared" si="57"/>
        <v>UGA_LK HERRICK BOAT HS</v>
      </c>
      <c r="C935" t="s">
        <v>443</v>
      </c>
      <c r="D935" s="180" t="s">
        <v>51</v>
      </c>
      <c r="E935" t="s">
        <v>1754</v>
      </c>
      <c r="F935" t="s">
        <v>1755</v>
      </c>
      <c r="G935" s="180">
        <v>320</v>
      </c>
      <c r="H935">
        <v>1993</v>
      </c>
      <c r="J935" s="1334" t="s">
        <v>475</v>
      </c>
      <c r="K935" s="1335" t="s">
        <v>475</v>
      </c>
      <c r="L935" s="180">
        <v>100</v>
      </c>
      <c r="M935" t="s">
        <v>7818</v>
      </c>
      <c r="N935" t="str">
        <f t="shared" si="58"/>
        <v>LK HERRICK BOAT HS (2443)</v>
      </c>
      <c r="O935" t="s">
        <v>52</v>
      </c>
      <c r="P935" t="str">
        <f t="shared" si="59"/>
        <v>18000_2443</v>
      </c>
      <c r="Q935" s="180">
        <v>0</v>
      </c>
    </row>
    <row r="936" spans="1:17">
      <c r="A936" t="str">
        <f t="shared" si="56"/>
        <v>UGA_2457</v>
      </c>
      <c r="B936" t="str">
        <f t="shared" si="57"/>
        <v>UGA_ADA TOWER FOR CENTER FOR ART A</v>
      </c>
      <c r="C936" t="s">
        <v>443</v>
      </c>
      <c r="D936" s="180" t="s">
        <v>51</v>
      </c>
      <c r="E936" t="s">
        <v>7041</v>
      </c>
      <c r="F936" t="s">
        <v>7138</v>
      </c>
      <c r="G936" s="180">
        <v>644</v>
      </c>
      <c r="H936">
        <v>2020</v>
      </c>
      <c r="J936" s="1334" t="s">
        <v>475</v>
      </c>
      <c r="K936" s="1335" t="s">
        <v>475</v>
      </c>
      <c r="L936" s="180">
        <v>100</v>
      </c>
      <c r="M936" t="s">
        <v>7818</v>
      </c>
      <c r="N936" t="str">
        <f t="shared" si="58"/>
        <v>ADA TOWER FOR CENTER FOR ART A (2457)</v>
      </c>
      <c r="O936" t="s">
        <v>52</v>
      </c>
      <c r="P936" t="str">
        <f t="shared" si="59"/>
        <v>18000_2457</v>
      </c>
      <c r="Q936" s="180">
        <v>100</v>
      </c>
    </row>
    <row r="937" spans="1:17">
      <c r="A937" t="str">
        <f t="shared" si="56"/>
        <v>UGA_2458</v>
      </c>
      <c r="B937" t="str">
        <f t="shared" si="57"/>
        <v>UGA_PORCELAIN AND DECORATIVE ARTS</v>
      </c>
      <c r="C937" t="s">
        <v>443</v>
      </c>
      <c r="D937" s="180" t="s">
        <v>51</v>
      </c>
      <c r="E937" t="s">
        <v>3495</v>
      </c>
      <c r="F937" t="s">
        <v>7139</v>
      </c>
      <c r="G937" s="180">
        <v>10662</v>
      </c>
      <c r="H937">
        <v>2020</v>
      </c>
      <c r="J937" s="1334" t="s">
        <v>475</v>
      </c>
      <c r="K937" s="1335" t="s">
        <v>475</v>
      </c>
      <c r="L937" s="180">
        <v>100</v>
      </c>
      <c r="M937" t="s">
        <v>7818</v>
      </c>
      <c r="N937" t="str">
        <f t="shared" si="58"/>
        <v>PORCELAIN AND DECORATIVE ARTS (2458)</v>
      </c>
      <c r="O937" t="s">
        <v>52</v>
      </c>
      <c r="P937" t="str">
        <f t="shared" si="59"/>
        <v>18000_2458</v>
      </c>
      <c r="Q937" s="180">
        <v>100</v>
      </c>
    </row>
    <row r="938" spans="1:17">
      <c r="A938" t="str">
        <f t="shared" si="56"/>
        <v>UGA_2459</v>
      </c>
      <c r="B938" t="str">
        <f t="shared" si="57"/>
        <v>UGA_CHLDRN'S GDN RSTRM</v>
      </c>
      <c r="C938" t="s">
        <v>443</v>
      </c>
      <c r="D938" s="180" t="s">
        <v>51</v>
      </c>
      <c r="E938" t="s">
        <v>1728</v>
      </c>
      <c r="F938" t="s">
        <v>1729</v>
      </c>
      <c r="G938" s="180">
        <v>725</v>
      </c>
      <c r="H938">
        <v>2019</v>
      </c>
      <c r="J938" s="1334" t="s">
        <v>475</v>
      </c>
      <c r="K938" s="1335" t="s">
        <v>475</v>
      </c>
      <c r="L938" s="180">
        <v>100</v>
      </c>
      <c r="M938" t="s">
        <v>7818</v>
      </c>
      <c r="N938" t="str">
        <f t="shared" si="58"/>
        <v>CHLDRN'S GDN RSTRM (2459)</v>
      </c>
      <c r="O938" t="s">
        <v>52</v>
      </c>
      <c r="P938" t="str">
        <f t="shared" si="59"/>
        <v>18000_2459</v>
      </c>
      <c r="Q938" s="180">
        <v>100</v>
      </c>
    </row>
    <row r="939" spans="1:17">
      <c r="A939" t="str">
        <f t="shared" si="56"/>
        <v>UGA_2460</v>
      </c>
      <c r="B939" t="str">
        <f t="shared" si="57"/>
        <v>UGA_BTGDN HORT OFFICE</v>
      </c>
      <c r="C939" t="s">
        <v>443</v>
      </c>
      <c r="D939" s="180" t="s">
        <v>51</v>
      </c>
      <c r="E939" t="s">
        <v>1999</v>
      </c>
      <c r="F939" t="s">
        <v>2000</v>
      </c>
      <c r="G939" s="180">
        <v>3854</v>
      </c>
      <c r="H939">
        <v>2009</v>
      </c>
      <c r="J939" s="1334" t="s">
        <v>475</v>
      </c>
      <c r="K939" s="1335" t="s">
        <v>475</v>
      </c>
      <c r="L939" s="180">
        <v>100</v>
      </c>
      <c r="M939" t="s">
        <v>7818</v>
      </c>
      <c r="N939" t="str">
        <f t="shared" si="58"/>
        <v>BTGDN HORT OFFICE (2460)</v>
      </c>
      <c r="O939" t="s">
        <v>52</v>
      </c>
      <c r="P939" t="str">
        <f t="shared" si="59"/>
        <v>18000_2460</v>
      </c>
      <c r="Q939" s="180">
        <v>100</v>
      </c>
    </row>
    <row r="940" spans="1:17">
      <c r="A940" t="str">
        <f t="shared" si="56"/>
        <v>UGA_2461</v>
      </c>
      <c r="B940" t="str">
        <f t="shared" si="57"/>
        <v>UGA_BTGDN HD &amp; GRNHS 1</v>
      </c>
      <c r="C940" t="s">
        <v>443</v>
      </c>
      <c r="D940" s="180" t="s">
        <v>51</v>
      </c>
      <c r="E940" t="s">
        <v>4232</v>
      </c>
      <c r="F940" t="s">
        <v>4233</v>
      </c>
      <c r="G940" s="180">
        <v>11999</v>
      </c>
      <c r="H940">
        <v>2009</v>
      </c>
      <c r="J940" s="1334" t="s">
        <v>475</v>
      </c>
      <c r="K940" s="1335" t="s">
        <v>475</v>
      </c>
      <c r="L940" s="180">
        <v>100</v>
      </c>
      <c r="M940" t="s">
        <v>7818</v>
      </c>
      <c r="N940" t="str">
        <f t="shared" si="58"/>
        <v>BTGDN HD &amp; GRNHS 1 (2461)</v>
      </c>
      <c r="O940" t="s">
        <v>52</v>
      </c>
      <c r="P940" t="str">
        <f t="shared" si="59"/>
        <v>18000_2461</v>
      </c>
      <c r="Q940" s="180">
        <v>100</v>
      </c>
    </row>
    <row r="941" spans="1:17">
      <c r="A941" t="str">
        <f t="shared" si="56"/>
        <v>UGA_2462</v>
      </c>
      <c r="B941" t="str">
        <f t="shared" si="57"/>
        <v>UGA_BTGDN MAINTENANCE</v>
      </c>
      <c r="C941" t="s">
        <v>443</v>
      </c>
      <c r="D941" s="180" t="s">
        <v>51</v>
      </c>
      <c r="E941" t="s">
        <v>2710</v>
      </c>
      <c r="F941" t="s">
        <v>2711</v>
      </c>
      <c r="G941" s="180">
        <v>5753</v>
      </c>
      <c r="H941">
        <v>2009</v>
      </c>
      <c r="J941" s="1334" t="s">
        <v>475</v>
      </c>
      <c r="K941" s="1335" t="s">
        <v>475</v>
      </c>
      <c r="L941" s="180">
        <v>100</v>
      </c>
      <c r="M941" t="s">
        <v>7818</v>
      </c>
      <c r="N941" t="str">
        <f t="shared" si="58"/>
        <v>BTGDN MAINTENANCE (2462)</v>
      </c>
      <c r="O941" t="s">
        <v>52</v>
      </c>
      <c r="P941" t="str">
        <f t="shared" si="59"/>
        <v>18000_2462</v>
      </c>
      <c r="Q941" s="180">
        <v>100</v>
      </c>
    </row>
    <row r="942" spans="1:17">
      <c r="A942" t="str">
        <f t="shared" si="56"/>
        <v>UGA_2466</v>
      </c>
      <c r="B942" t="str">
        <f t="shared" si="57"/>
        <v>UGA_BTGDN HRTG G GAZBO</v>
      </c>
      <c r="C942" t="s">
        <v>443</v>
      </c>
      <c r="D942" s="180" t="s">
        <v>51</v>
      </c>
      <c r="E942" t="s">
        <v>1794</v>
      </c>
      <c r="F942" t="s">
        <v>1795</v>
      </c>
      <c r="G942" s="180">
        <v>227</v>
      </c>
      <c r="H942">
        <v>1998</v>
      </c>
      <c r="J942" s="1334" t="s">
        <v>475</v>
      </c>
      <c r="K942" s="1335" t="s">
        <v>475</v>
      </c>
      <c r="L942" s="180">
        <v>100</v>
      </c>
      <c r="M942" t="s">
        <v>7818</v>
      </c>
      <c r="N942" t="str">
        <f t="shared" si="58"/>
        <v>BTGDN HRTG G GAZBO (2466)</v>
      </c>
      <c r="O942" t="s">
        <v>52</v>
      </c>
      <c r="P942" t="str">
        <f t="shared" si="59"/>
        <v>18000_2466</v>
      </c>
      <c r="Q942" s="180">
        <v>100</v>
      </c>
    </row>
    <row r="943" spans="1:17">
      <c r="A943" t="str">
        <f t="shared" si="56"/>
        <v>UGA_2467</v>
      </c>
      <c r="B943" t="str">
        <f t="shared" si="57"/>
        <v>UGA_BTGDN VS CNTR GZBO</v>
      </c>
      <c r="C943" t="s">
        <v>443</v>
      </c>
      <c r="D943" s="180" t="s">
        <v>51</v>
      </c>
      <c r="E943" t="s">
        <v>1730</v>
      </c>
      <c r="F943" t="s">
        <v>1731</v>
      </c>
      <c r="G943" s="180">
        <v>242</v>
      </c>
      <c r="H943">
        <v>1985</v>
      </c>
      <c r="J943" s="1334" t="s">
        <v>475</v>
      </c>
      <c r="K943" s="1335" t="s">
        <v>475</v>
      </c>
      <c r="L943" s="180">
        <v>100</v>
      </c>
      <c r="M943" t="s">
        <v>7818</v>
      </c>
      <c r="N943" t="str">
        <f t="shared" si="58"/>
        <v>BTGDN VS CNTR GZBO (2467)</v>
      </c>
      <c r="O943" t="s">
        <v>52</v>
      </c>
      <c r="P943" t="str">
        <f t="shared" si="59"/>
        <v>18000_2467</v>
      </c>
      <c r="Q943" s="180">
        <v>0</v>
      </c>
    </row>
    <row r="944" spans="1:17">
      <c r="A944" t="str">
        <f t="shared" si="56"/>
        <v>UGA_2468</v>
      </c>
      <c r="B944" t="str">
        <f t="shared" si="57"/>
        <v>UGA_BOTANY GNHS SHED</v>
      </c>
      <c r="C944" t="s">
        <v>443</v>
      </c>
      <c r="D944" s="180" t="s">
        <v>51</v>
      </c>
      <c r="E944" t="s">
        <v>1452</v>
      </c>
      <c r="F944" t="s">
        <v>1453</v>
      </c>
      <c r="G944" s="180">
        <v>493</v>
      </c>
      <c r="H944">
        <v>2014</v>
      </c>
      <c r="J944" s="1334" t="s">
        <v>475</v>
      </c>
      <c r="K944" s="1335" t="s">
        <v>475</v>
      </c>
      <c r="L944" s="180">
        <v>100</v>
      </c>
      <c r="M944" t="s">
        <v>7818</v>
      </c>
      <c r="N944" t="str">
        <f t="shared" si="58"/>
        <v>BOTANY GNHS SHED (2468)</v>
      </c>
      <c r="O944" t="s">
        <v>52</v>
      </c>
      <c r="P944" t="str">
        <f t="shared" si="59"/>
        <v>18000_2468</v>
      </c>
      <c r="Q944" s="180">
        <v>100</v>
      </c>
    </row>
    <row r="945" spans="1:17">
      <c r="A945" t="str">
        <f t="shared" si="56"/>
        <v>UGA_2481</v>
      </c>
      <c r="B945" t="str">
        <f t="shared" si="57"/>
        <v>UGA_MARINE SCIENCE STORAGE</v>
      </c>
      <c r="C945" t="s">
        <v>443</v>
      </c>
      <c r="D945" s="180" t="s">
        <v>51</v>
      </c>
      <c r="E945" t="s">
        <v>2712</v>
      </c>
      <c r="F945" t="s">
        <v>2713</v>
      </c>
      <c r="G945" s="180">
        <v>2800</v>
      </c>
      <c r="H945">
        <v>2018</v>
      </c>
      <c r="J945" s="1334" t="s">
        <v>475</v>
      </c>
      <c r="K945" s="1335" t="s">
        <v>475</v>
      </c>
      <c r="L945" s="180">
        <v>100</v>
      </c>
      <c r="M945" t="s">
        <v>7818</v>
      </c>
      <c r="N945" t="str">
        <f t="shared" si="58"/>
        <v>MARINE SCIENCE STORAGE (2481)</v>
      </c>
      <c r="O945" t="s">
        <v>52</v>
      </c>
      <c r="P945" t="str">
        <f t="shared" si="59"/>
        <v>18000_2481</v>
      </c>
      <c r="Q945" s="180">
        <v>100</v>
      </c>
    </row>
    <row r="946" spans="1:17">
      <c r="A946" t="str">
        <f t="shared" si="56"/>
        <v>UGA_2485</v>
      </c>
      <c r="B946" t="str">
        <f t="shared" si="57"/>
        <v>UGA_SURF WAT MONITOR</v>
      </c>
      <c r="C946" t="s">
        <v>443</v>
      </c>
      <c r="D946" s="180" t="s">
        <v>51</v>
      </c>
      <c r="E946" t="s">
        <v>2918</v>
      </c>
      <c r="F946" t="s">
        <v>2919</v>
      </c>
      <c r="G946" s="180">
        <v>384</v>
      </c>
      <c r="H946">
        <v>1998</v>
      </c>
      <c r="J946" s="1334" t="s">
        <v>475</v>
      </c>
      <c r="K946" s="1335" t="s">
        <v>475</v>
      </c>
      <c r="L946" s="180">
        <v>100</v>
      </c>
      <c r="M946" t="s">
        <v>7818</v>
      </c>
      <c r="N946" t="str">
        <f t="shared" si="58"/>
        <v>SURF WAT MONITOR (2485)</v>
      </c>
      <c r="O946" t="s">
        <v>52</v>
      </c>
      <c r="P946" t="str">
        <f t="shared" si="59"/>
        <v>18000_2485</v>
      </c>
      <c r="Q946" s="180">
        <v>100</v>
      </c>
    </row>
    <row r="947" spans="1:17">
      <c r="A947" t="str">
        <f t="shared" si="56"/>
        <v>UGA_2493</v>
      </c>
      <c r="B947" t="str">
        <f t="shared" si="57"/>
        <v>UGA_STRENGTH LAB</v>
      </c>
      <c r="C947" t="s">
        <v>443</v>
      </c>
      <c r="D947" s="180" t="s">
        <v>51</v>
      </c>
      <c r="E947" t="s">
        <v>4234</v>
      </c>
      <c r="F947" t="s">
        <v>4235</v>
      </c>
      <c r="G947" s="180">
        <v>10569</v>
      </c>
      <c r="H947">
        <v>2013</v>
      </c>
      <c r="J947" s="1334" t="s">
        <v>475</v>
      </c>
      <c r="K947" s="1335" t="s">
        <v>475</v>
      </c>
      <c r="L947" s="180">
        <v>100</v>
      </c>
      <c r="M947" t="s">
        <v>7818</v>
      </c>
      <c r="N947" t="str">
        <f t="shared" si="58"/>
        <v>STRENGTH LAB (2493)</v>
      </c>
      <c r="O947" t="s">
        <v>52</v>
      </c>
      <c r="P947" t="str">
        <f t="shared" si="59"/>
        <v>18000_2493</v>
      </c>
      <c r="Q947" s="180">
        <v>100</v>
      </c>
    </row>
    <row r="948" spans="1:17">
      <c r="A948" t="str">
        <f t="shared" si="56"/>
        <v>UGA_2494</v>
      </c>
      <c r="B948" t="str">
        <f t="shared" si="57"/>
        <v>UGA_BIOPOLYMER CENTER</v>
      </c>
      <c r="C948" t="s">
        <v>443</v>
      </c>
      <c r="D948" s="180" t="s">
        <v>51</v>
      </c>
      <c r="E948" t="s">
        <v>2714</v>
      </c>
      <c r="F948" t="s">
        <v>2715</v>
      </c>
      <c r="G948" s="180">
        <v>14283</v>
      </c>
      <c r="H948">
        <v>1997</v>
      </c>
      <c r="J948" s="1334" t="s">
        <v>475</v>
      </c>
      <c r="K948" s="1335" t="s">
        <v>475</v>
      </c>
      <c r="L948" s="180">
        <v>100</v>
      </c>
      <c r="M948" t="s">
        <v>7818</v>
      </c>
      <c r="N948" t="str">
        <f t="shared" si="58"/>
        <v>BIOPOLYMER CENTER (2494)</v>
      </c>
      <c r="O948" t="s">
        <v>52</v>
      </c>
      <c r="P948" t="str">
        <f t="shared" si="59"/>
        <v>18000_2494</v>
      </c>
      <c r="Q948" s="180">
        <v>100</v>
      </c>
    </row>
    <row r="949" spans="1:17">
      <c r="A949" t="str">
        <f t="shared" si="56"/>
        <v>UGA_2495</v>
      </c>
      <c r="B949" t="str">
        <f t="shared" si="57"/>
        <v>UGA_THOMAS TEXTILE</v>
      </c>
      <c r="C949" t="s">
        <v>443</v>
      </c>
      <c r="D949" s="180" t="s">
        <v>51</v>
      </c>
      <c r="E949" t="s">
        <v>3971</v>
      </c>
      <c r="F949" t="s">
        <v>3972</v>
      </c>
      <c r="G949" s="180">
        <v>25480</v>
      </c>
      <c r="H949">
        <v>1953</v>
      </c>
      <c r="J949" s="1334" t="s">
        <v>475</v>
      </c>
      <c r="K949" s="1335" t="s">
        <v>1520</v>
      </c>
      <c r="L949" s="180">
        <v>100</v>
      </c>
      <c r="M949" t="s">
        <v>7818</v>
      </c>
      <c r="N949" t="str">
        <f t="shared" si="58"/>
        <v>THOMAS TEXTILE (2495)</v>
      </c>
      <c r="O949" t="s">
        <v>52</v>
      </c>
      <c r="P949" t="str">
        <f t="shared" si="59"/>
        <v>18000_2495</v>
      </c>
      <c r="Q949" s="180">
        <v>100</v>
      </c>
    </row>
    <row r="950" spans="1:17">
      <c r="A950" t="str">
        <f t="shared" si="56"/>
        <v>UGA_2497</v>
      </c>
      <c r="B950" t="str">
        <f t="shared" si="57"/>
        <v>UGA_BIO-CONV EQ CANOPY</v>
      </c>
      <c r="C950" t="s">
        <v>443</v>
      </c>
      <c r="D950" s="180" t="s">
        <v>51</v>
      </c>
      <c r="E950" t="s">
        <v>2358</v>
      </c>
      <c r="F950" t="s">
        <v>2359</v>
      </c>
      <c r="G950" s="180">
        <v>1420</v>
      </c>
      <c r="H950">
        <v>1997</v>
      </c>
      <c r="J950" s="1334" t="s">
        <v>475</v>
      </c>
      <c r="K950" s="1335" t="s">
        <v>475</v>
      </c>
      <c r="L950" s="180">
        <v>100</v>
      </c>
      <c r="M950" t="s">
        <v>7818</v>
      </c>
      <c r="N950" t="str">
        <f t="shared" si="58"/>
        <v>BIO-CONV EQ CANOPY (2497)</v>
      </c>
      <c r="O950" t="s">
        <v>52</v>
      </c>
      <c r="P950" t="str">
        <f t="shared" si="59"/>
        <v>18000_2497</v>
      </c>
      <c r="Q950" s="180">
        <v>100</v>
      </c>
    </row>
    <row r="951" spans="1:17">
      <c r="A951" t="str">
        <f t="shared" si="56"/>
        <v>UGA_2498</v>
      </c>
      <c r="B951" t="str">
        <f t="shared" si="57"/>
        <v>UGA_GEOTECH LAB</v>
      </c>
      <c r="C951" t="s">
        <v>443</v>
      </c>
      <c r="D951" s="180" t="s">
        <v>51</v>
      </c>
      <c r="E951" t="s">
        <v>1590</v>
      </c>
      <c r="F951" t="s">
        <v>1591</v>
      </c>
      <c r="G951" s="180">
        <v>3679</v>
      </c>
      <c r="H951">
        <v>1999</v>
      </c>
      <c r="J951" s="1334" t="s">
        <v>475</v>
      </c>
      <c r="K951" s="1335" t="s">
        <v>475</v>
      </c>
      <c r="L951" s="180">
        <v>100</v>
      </c>
      <c r="M951" t="s">
        <v>7818</v>
      </c>
      <c r="N951" t="str">
        <f t="shared" si="58"/>
        <v>GEOTECH LAB (2498)</v>
      </c>
      <c r="O951" t="s">
        <v>52</v>
      </c>
      <c r="P951" t="str">
        <f t="shared" si="59"/>
        <v>18000_2498</v>
      </c>
      <c r="Q951" s="180">
        <v>0</v>
      </c>
    </row>
    <row r="952" spans="1:17">
      <c r="A952" t="str">
        <f t="shared" si="56"/>
        <v>UGA_2499</v>
      </c>
      <c r="B952" t="str">
        <f t="shared" si="57"/>
        <v>UGA_BIOPOLYMER ANNEX</v>
      </c>
      <c r="C952" t="s">
        <v>443</v>
      </c>
      <c r="D952" s="180" t="s">
        <v>51</v>
      </c>
      <c r="E952" t="s">
        <v>1732</v>
      </c>
      <c r="F952" t="s">
        <v>1733</v>
      </c>
      <c r="G952" s="180">
        <v>2856</v>
      </c>
      <c r="H952">
        <v>2020</v>
      </c>
      <c r="J952" s="1334" t="s">
        <v>475</v>
      </c>
      <c r="K952" s="1335" t="s">
        <v>475</v>
      </c>
      <c r="L952" s="180">
        <v>100</v>
      </c>
      <c r="M952" t="s">
        <v>7818</v>
      </c>
      <c r="N952" t="str">
        <f t="shared" si="58"/>
        <v>BIOPOLYMER ANNEX (2499)</v>
      </c>
      <c r="O952" t="s">
        <v>52</v>
      </c>
      <c r="P952" t="str">
        <f t="shared" si="59"/>
        <v>18000_2499</v>
      </c>
      <c r="Q952" s="180">
        <v>100</v>
      </c>
    </row>
    <row r="953" spans="1:17">
      <c r="A953" t="str">
        <f t="shared" si="56"/>
        <v>UGA_2500</v>
      </c>
      <c r="B953" t="str">
        <f t="shared" si="57"/>
        <v>UGA_FISH &amp; WL LAB FOR</v>
      </c>
      <c r="C953" t="s">
        <v>443</v>
      </c>
      <c r="D953" s="180" t="s">
        <v>51</v>
      </c>
      <c r="E953" t="s">
        <v>1559</v>
      </c>
      <c r="F953" t="s">
        <v>1560</v>
      </c>
      <c r="G953" s="180">
        <v>9948</v>
      </c>
      <c r="H953">
        <v>1966</v>
      </c>
      <c r="J953" s="1334" t="s">
        <v>475</v>
      </c>
      <c r="K953" s="1335" t="s">
        <v>481</v>
      </c>
      <c r="L953" s="180">
        <v>0</v>
      </c>
      <c r="M953" t="s">
        <v>7818</v>
      </c>
      <c r="N953" t="str">
        <f t="shared" si="58"/>
        <v>FISH &amp; WL LAB FOR (2500)</v>
      </c>
      <c r="O953" t="s">
        <v>52</v>
      </c>
      <c r="P953" t="str">
        <f t="shared" si="59"/>
        <v>18000_2500</v>
      </c>
      <c r="Q953" s="180">
        <v>100</v>
      </c>
    </row>
    <row r="954" spans="1:17">
      <c r="A954" t="str">
        <f t="shared" si="56"/>
        <v>UGA_2501</v>
      </c>
      <c r="B954" t="str">
        <f t="shared" si="57"/>
        <v>UGA_WHITEHALL HEADQTR</v>
      </c>
      <c r="C954" t="s">
        <v>443</v>
      </c>
      <c r="D954" s="180" t="s">
        <v>51</v>
      </c>
      <c r="E954" t="s">
        <v>3973</v>
      </c>
      <c r="F954" t="s">
        <v>3974</v>
      </c>
      <c r="G954" s="180">
        <v>12680</v>
      </c>
      <c r="H954">
        <v>1873</v>
      </c>
      <c r="J954" s="1334" t="s">
        <v>475</v>
      </c>
      <c r="K954" s="1335" t="s">
        <v>475</v>
      </c>
      <c r="L954" s="180">
        <v>0</v>
      </c>
      <c r="M954" t="s">
        <v>7818</v>
      </c>
      <c r="N954" t="str">
        <f t="shared" si="58"/>
        <v>WHITEHALL HEADQTR (2501)</v>
      </c>
      <c r="O954" t="s">
        <v>52</v>
      </c>
      <c r="P954" t="str">
        <f t="shared" si="59"/>
        <v>18000_2501</v>
      </c>
      <c r="Q954" s="180">
        <v>80</v>
      </c>
    </row>
    <row r="955" spans="1:17">
      <c r="A955" t="str">
        <f t="shared" si="56"/>
        <v>UGA_2502</v>
      </c>
      <c r="B955" t="str">
        <f t="shared" si="57"/>
        <v>UGA_WELL HOUSE FRS</v>
      </c>
      <c r="C955" t="s">
        <v>443</v>
      </c>
      <c r="D955" s="180" t="s">
        <v>51</v>
      </c>
      <c r="E955" t="s">
        <v>4002</v>
      </c>
      <c r="F955" t="s">
        <v>4003</v>
      </c>
      <c r="G955" s="180">
        <v>80</v>
      </c>
      <c r="H955">
        <v>1890</v>
      </c>
      <c r="J955" s="1334" t="s">
        <v>475</v>
      </c>
      <c r="K955" s="1335" t="s">
        <v>475</v>
      </c>
      <c r="L955" s="180">
        <v>0</v>
      </c>
      <c r="M955" t="s">
        <v>7818</v>
      </c>
      <c r="N955" t="str">
        <f t="shared" si="58"/>
        <v>WELL HOUSE FRS (2502)</v>
      </c>
      <c r="O955" t="s">
        <v>52</v>
      </c>
      <c r="P955" t="str">
        <f t="shared" si="59"/>
        <v>18000_2502</v>
      </c>
      <c r="Q955" s="180">
        <v>100</v>
      </c>
    </row>
    <row r="956" spans="1:17">
      <c r="A956" t="str">
        <f t="shared" si="56"/>
        <v>UGA_2503</v>
      </c>
      <c r="B956" t="str">
        <f t="shared" si="57"/>
        <v>UGA_TIN BARN FRS</v>
      </c>
      <c r="C956" t="s">
        <v>443</v>
      </c>
      <c r="D956" s="180" t="s">
        <v>51</v>
      </c>
      <c r="E956" t="s">
        <v>4043</v>
      </c>
      <c r="F956" t="s">
        <v>4044</v>
      </c>
      <c r="G956" s="180">
        <v>640</v>
      </c>
      <c r="H956">
        <v>1966</v>
      </c>
      <c r="J956" s="1334" t="s">
        <v>475</v>
      </c>
      <c r="K956" s="1335" t="s">
        <v>475</v>
      </c>
      <c r="L956" s="180">
        <v>0</v>
      </c>
      <c r="M956" t="s">
        <v>7818</v>
      </c>
      <c r="N956" t="str">
        <f t="shared" si="58"/>
        <v>TIN BARN FRS (2503)</v>
      </c>
      <c r="O956" t="s">
        <v>52</v>
      </c>
      <c r="P956" t="str">
        <f t="shared" si="59"/>
        <v>18000_2503</v>
      </c>
      <c r="Q956" s="180">
        <v>0</v>
      </c>
    </row>
    <row r="957" spans="1:17">
      <c r="A957" t="str">
        <f t="shared" si="56"/>
        <v>UGA_2504</v>
      </c>
      <c r="B957" t="str">
        <f t="shared" si="57"/>
        <v>UGA_RESIDENCE FRS</v>
      </c>
      <c r="C957" t="s">
        <v>443</v>
      </c>
      <c r="D957" s="180" t="s">
        <v>51</v>
      </c>
      <c r="E957" t="s">
        <v>3588</v>
      </c>
      <c r="F957" t="s">
        <v>3589</v>
      </c>
      <c r="G957" s="180">
        <v>1513</v>
      </c>
      <c r="H957">
        <v>1966</v>
      </c>
      <c r="J957" s="1334" t="s">
        <v>475</v>
      </c>
      <c r="K957" s="1335" t="s">
        <v>475</v>
      </c>
      <c r="L957" s="180">
        <v>0</v>
      </c>
      <c r="M957" t="s">
        <v>7818</v>
      </c>
      <c r="N957" t="str">
        <f t="shared" si="58"/>
        <v>RESIDENCE FRS (2504)</v>
      </c>
      <c r="O957" t="s">
        <v>52</v>
      </c>
      <c r="P957" t="str">
        <f t="shared" si="59"/>
        <v>18000_2504</v>
      </c>
      <c r="Q957" s="180">
        <v>100</v>
      </c>
    </row>
    <row r="958" spans="1:17">
      <c r="A958" t="str">
        <f t="shared" si="56"/>
        <v>UGA_2505</v>
      </c>
      <c r="B958" t="str">
        <f t="shared" si="57"/>
        <v>UGA_STORAGE HOUSE FRS</v>
      </c>
      <c r="C958" t="s">
        <v>443</v>
      </c>
      <c r="D958" s="180" t="s">
        <v>51</v>
      </c>
      <c r="E958" t="s">
        <v>3675</v>
      </c>
      <c r="F958" t="s">
        <v>3676</v>
      </c>
      <c r="G958" s="180">
        <v>142</v>
      </c>
      <c r="H958">
        <v>1966</v>
      </c>
      <c r="J958" s="1334" t="s">
        <v>475</v>
      </c>
      <c r="K958" s="1335" t="s">
        <v>475</v>
      </c>
      <c r="L958" s="180">
        <v>0</v>
      </c>
      <c r="M958" t="s">
        <v>7818</v>
      </c>
      <c r="N958" t="str">
        <f t="shared" si="58"/>
        <v>STORAGE HOUSE FRS (2505)</v>
      </c>
      <c r="O958" t="s">
        <v>52</v>
      </c>
      <c r="P958" t="str">
        <f t="shared" si="59"/>
        <v>18000_2505</v>
      </c>
      <c r="Q958" s="180">
        <v>100</v>
      </c>
    </row>
    <row r="959" spans="1:17">
      <c r="A959" t="str">
        <f t="shared" si="56"/>
        <v>UGA_2506</v>
      </c>
      <c r="B959" t="str">
        <f t="shared" si="57"/>
        <v>UGA_SHOP FRS</v>
      </c>
      <c r="C959" t="s">
        <v>443</v>
      </c>
      <c r="D959" s="180" t="s">
        <v>51</v>
      </c>
      <c r="E959" t="s">
        <v>3442</v>
      </c>
      <c r="F959" t="s">
        <v>3443</v>
      </c>
      <c r="G959" s="180">
        <v>2910</v>
      </c>
      <c r="H959">
        <v>1955</v>
      </c>
      <c r="J959" s="1334" t="s">
        <v>475</v>
      </c>
      <c r="K959" s="1335" t="s">
        <v>475</v>
      </c>
      <c r="L959" s="180">
        <v>0</v>
      </c>
      <c r="M959" t="s">
        <v>7818</v>
      </c>
      <c r="N959" t="str">
        <f t="shared" si="58"/>
        <v>SHOP FRS (2506)</v>
      </c>
      <c r="O959" t="s">
        <v>52</v>
      </c>
      <c r="P959" t="str">
        <f t="shared" si="59"/>
        <v>18000_2506</v>
      </c>
      <c r="Q959" s="180">
        <v>100</v>
      </c>
    </row>
    <row r="960" spans="1:17">
      <c r="A960" t="str">
        <f t="shared" si="56"/>
        <v>UGA_2508</v>
      </c>
      <c r="B960" t="str">
        <f t="shared" si="57"/>
        <v>UGA_POLE SHED FRS</v>
      </c>
      <c r="C960" t="s">
        <v>443</v>
      </c>
      <c r="D960" s="180" t="s">
        <v>51</v>
      </c>
      <c r="E960" t="s">
        <v>2571</v>
      </c>
      <c r="F960" t="s">
        <v>2572</v>
      </c>
      <c r="G960" s="180">
        <v>535</v>
      </c>
      <c r="H960">
        <v>1968</v>
      </c>
      <c r="J960" s="1334" t="s">
        <v>475</v>
      </c>
      <c r="K960" s="1335" t="s">
        <v>481</v>
      </c>
      <c r="L960" s="180">
        <v>0</v>
      </c>
      <c r="M960" t="s">
        <v>7818</v>
      </c>
      <c r="N960" t="str">
        <f t="shared" si="58"/>
        <v>POLE SHED FRS (2508)</v>
      </c>
      <c r="O960" t="s">
        <v>52</v>
      </c>
      <c r="P960" t="str">
        <f t="shared" si="59"/>
        <v>18000_2508</v>
      </c>
      <c r="Q960" s="180">
        <v>100</v>
      </c>
    </row>
    <row r="961" spans="1:17">
      <c r="A961" t="str">
        <f t="shared" si="56"/>
        <v>UGA_2509</v>
      </c>
      <c r="B961" t="str">
        <f t="shared" si="57"/>
        <v>UGA_SAW MILL SHED FRS</v>
      </c>
      <c r="C961" t="s">
        <v>443</v>
      </c>
      <c r="D961" s="180" t="s">
        <v>51</v>
      </c>
      <c r="E961" t="s">
        <v>3614</v>
      </c>
      <c r="F961" t="s">
        <v>3615</v>
      </c>
      <c r="G961" s="180">
        <v>1125</v>
      </c>
      <c r="H961">
        <v>1971</v>
      </c>
      <c r="J961" s="1334" t="s">
        <v>475</v>
      </c>
      <c r="K961" s="1335" t="s">
        <v>481</v>
      </c>
      <c r="L961" s="180">
        <v>0</v>
      </c>
      <c r="M961" t="s">
        <v>7818</v>
      </c>
      <c r="N961" t="str">
        <f t="shared" si="58"/>
        <v>SAW MILL SHED FRS (2509)</v>
      </c>
      <c r="O961" t="s">
        <v>52</v>
      </c>
      <c r="P961" t="str">
        <f t="shared" si="59"/>
        <v>18000_2509</v>
      </c>
      <c r="Q961" s="180">
        <v>100</v>
      </c>
    </row>
    <row r="962" spans="1:17">
      <c r="A962" t="str">
        <f t="shared" si="56"/>
        <v>UGA_2510</v>
      </c>
      <c r="B962" t="str">
        <f t="shared" si="57"/>
        <v>UGA_HYDROLOGY LAB FRS</v>
      </c>
      <c r="C962" t="s">
        <v>443</v>
      </c>
      <c r="D962" s="180" t="s">
        <v>51</v>
      </c>
      <c r="E962" t="s">
        <v>1561</v>
      </c>
      <c r="F962" t="s">
        <v>1562</v>
      </c>
      <c r="G962" s="180">
        <v>1376</v>
      </c>
      <c r="H962">
        <v>1971</v>
      </c>
      <c r="J962" s="1334" t="s">
        <v>475</v>
      </c>
      <c r="K962" s="1335" t="s">
        <v>475</v>
      </c>
      <c r="L962" s="180">
        <v>0</v>
      </c>
      <c r="M962" t="s">
        <v>7818</v>
      </c>
      <c r="N962" t="str">
        <f t="shared" si="58"/>
        <v>HYDROLOGY LAB FRS (2510)</v>
      </c>
      <c r="O962" t="s">
        <v>52</v>
      </c>
      <c r="P962" t="str">
        <f t="shared" si="59"/>
        <v>18000_2510</v>
      </c>
      <c r="Q962" s="180">
        <v>100</v>
      </c>
    </row>
    <row r="963" spans="1:17">
      <c r="A963" t="str">
        <f t="shared" ref="A963:A1026" si="60">_xlfn.CONCAT(D963,"_",E963)</f>
        <v>UGA_2511</v>
      </c>
      <c r="B963" t="str">
        <f t="shared" ref="B963:B1026" si="61">_xlfn.CONCAT(D963,"_",F963)</f>
        <v>UGA_GENETICS LAB FRS</v>
      </c>
      <c r="C963" t="s">
        <v>443</v>
      </c>
      <c r="D963" s="180" t="s">
        <v>51</v>
      </c>
      <c r="E963" t="s">
        <v>4283</v>
      </c>
      <c r="F963" t="s">
        <v>4284</v>
      </c>
      <c r="G963" s="180">
        <v>1759</v>
      </c>
      <c r="H963">
        <v>1969</v>
      </c>
      <c r="J963" s="1334" t="s">
        <v>475</v>
      </c>
      <c r="K963" s="1335" t="s">
        <v>475</v>
      </c>
      <c r="L963" s="180">
        <v>0</v>
      </c>
      <c r="M963" t="s">
        <v>7818</v>
      </c>
      <c r="N963" t="str">
        <f t="shared" ref="N963:N1026" si="62">_xlfn.CONCAT(F963," (",E963,")")</f>
        <v>GENETICS LAB FRS (2511)</v>
      </c>
      <c r="O963" t="s">
        <v>52</v>
      </c>
      <c r="P963" t="str">
        <f t="shared" ref="P963:P1026" si="63">_xlfn.CONCAT(C963,"_",E963)</f>
        <v>18000_2511</v>
      </c>
      <c r="Q963" s="180">
        <v>100</v>
      </c>
    </row>
    <row r="964" spans="1:17">
      <c r="A964" t="str">
        <f t="shared" si="60"/>
        <v>UGA_2512</v>
      </c>
      <c r="B964" t="str">
        <f t="shared" si="61"/>
        <v>UGA_GREENHSE SHOP FRS</v>
      </c>
      <c r="C964" t="s">
        <v>443</v>
      </c>
      <c r="D964" s="180" t="s">
        <v>51</v>
      </c>
      <c r="E964" t="s">
        <v>3102</v>
      </c>
      <c r="F964" t="s">
        <v>3103</v>
      </c>
      <c r="G964" s="180">
        <v>3551</v>
      </c>
      <c r="H964">
        <v>1969</v>
      </c>
      <c r="J964" s="1334" t="s">
        <v>475</v>
      </c>
      <c r="K964" s="1335" t="s">
        <v>475</v>
      </c>
      <c r="L964" s="180">
        <v>0</v>
      </c>
      <c r="M964" t="s">
        <v>7818</v>
      </c>
      <c r="N964" t="str">
        <f t="shared" si="62"/>
        <v>GREENHSE SHOP FRS (2512)</v>
      </c>
      <c r="O964" t="s">
        <v>52</v>
      </c>
      <c r="P964" t="str">
        <f t="shared" si="63"/>
        <v>18000_2512</v>
      </c>
      <c r="Q964" s="180">
        <v>100</v>
      </c>
    </row>
    <row r="965" spans="1:17">
      <c r="A965" t="str">
        <f t="shared" si="60"/>
        <v>UGA_2513</v>
      </c>
      <c r="B965" t="str">
        <f t="shared" si="61"/>
        <v>UGA_METAL BUILDING FRS</v>
      </c>
      <c r="C965" t="s">
        <v>443</v>
      </c>
      <c r="D965" s="180" t="s">
        <v>51</v>
      </c>
      <c r="E965" t="s">
        <v>2716</v>
      </c>
      <c r="F965" t="s">
        <v>2717</v>
      </c>
      <c r="G965" s="180">
        <v>1238</v>
      </c>
      <c r="H965">
        <v>1950</v>
      </c>
      <c r="J965" s="1334" t="s">
        <v>475</v>
      </c>
      <c r="K965" s="1335" t="s">
        <v>475</v>
      </c>
      <c r="L965" s="180">
        <v>0</v>
      </c>
      <c r="M965" t="s">
        <v>7818</v>
      </c>
      <c r="N965" t="str">
        <f t="shared" si="62"/>
        <v>METAL BUILDING FRS (2513)</v>
      </c>
      <c r="O965" t="s">
        <v>52</v>
      </c>
      <c r="P965" t="str">
        <f t="shared" si="63"/>
        <v>18000_2513</v>
      </c>
      <c r="Q965" s="180">
        <v>100</v>
      </c>
    </row>
    <row r="966" spans="1:17">
      <c r="A966" t="str">
        <f t="shared" si="60"/>
        <v>UGA_2518</v>
      </c>
      <c r="B966" t="str">
        <f t="shared" si="61"/>
        <v>UGA_BOAT SHED LAB</v>
      </c>
      <c r="C966" t="s">
        <v>443</v>
      </c>
      <c r="D966" s="180" t="s">
        <v>51</v>
      </c>
      <c r="E966" t="s">
        <v>3104</v>
      </c>
      <c r="F966" t="s">
        <v>3105</v>
      </c>
      <c r="G966" s="180">
        <v>3024</v>
      </c>
      <c r="H966">
        <v>1969</v>
      </c>
      <c r="J966" s="1334" t="s">
        <v>475</v>
      </c>
      <c r="K966" s="1335" t="s">
        <v>475</v>
      </c>
      <c r="L966" s="180">
        <v>0</v>
      </c>
      <c r="M966" t="s">
        <v>7818</v>
      </c>
      <c r="N966" t="str">
        <f t="shared" si="62"/>
        <v>BOAT SHED LAB (2518)</v>
      </c>
      <c r="O966" t="s">
        <v>52</v>
      </c>
      <c r="P966" t="str">
        <f t="shared" si="63"/>
        <v>18000_2518</v>
      </c>
      <c r="Q966" s="180">
        <v>100</v>
      </c>
    </row>
    <row r="967" spans="1:17">
      <c r="A967" t="str">
        <f t="shared" si="60"/>
        <v>UGA_2519</v>
      </c>
      <c r="B967" t="str">
        <f t="shared" si="61"/>
        <v>UGA_FEED HOUSE FRS</v>
      </c>
      <c r="C967" t="s">
        <v>443</v>
      </c>
      <c r="D967" s="180" t="s">
        <v>51</v>
      </c>
      <c r="E967" t="s">
        <v>2988</v>
      </c>
      <c r="F967" t="s">
        <v>2989</v>
      </c>
      <c r="G967" s="180">
        <v>104</v>
      </c>
      <c r="H967">
        <v>1972</v>
      </c>
      <c r="J967" s="1334" t="s">
        <v>475</v>
      </c>
      <c r="K967" s="1335" t="s">
        <v>486</v>
      </c>
      <c r="L967" s="180">
        <v>0</v>
      </c>
      <c r="M967" t="s">
        <v>7818</v>
      </c>
      <c r="N967" t="str">
        <f t="shared" si="62"/>
        <v>FEED HOUSE FRS (2519)</v>
      </c>
      <c r="O967" t="s">
        <v>52</v>
      </c>
      <c r="P967" t="str">
        <f t="shared" si="63"/>
        <v>18000_2519</v>
      </c>
      <c r="Q967" s="180">
        <v>80</v>
      </c>
    </row>
    <row r="968" spans="1:17">
      <c r="A968" t="str">
        <f t="shared" si="60"/>
        <v>UGA_2520</v>
      </c>
      <c r="B968" t="str">
        <f t="shared" si="61"/>
        <v>UGA_COMPRESSOR HSE FRS</v>
      </c>
      <c r="C968" t="s">
        <v>443</v>
      </c>
      <c r="D968" s="180" t="s">
        <v>51</v>
      </c>
      <c r="E968" t="s">
        <v>1818</v>
      </c>
      <c r="F968" t="s">
        <v>1819</v>
      </c>
      <c r="G968" s="180">
        <v>60</v>
      </c>
      <c r="H968">
        <v>1970</v>
      </c>
      <c r="J968" s="1334" t="s">
        <v>475</v>
      </c>
      <c r="K968" s="1335" t="s">
        <v>475</v>
      </c>
      <c r="L968" s="180">
        <v>0</v>
      </c>
      <c r="M968" t="s">
        <v>7818</v>
      </c>
      <c r="N968" t="str">
        <f t="shared" si="62"/>
        <v>COMPRESSOR HSE FRS (2520)</v>
      </c>
      <c r="O968" t="s">
        <v>52</v>
      </c>
      <c r="P968" t="str">
        <f t="shared" si="63"/>
        <v>18000_2520</v>
      </c>
      <c r="Q968" s="180">
        <v>0</v>
      </c>
    </row>
    <row r="969" spans="1:17">
      <c r="A969" t="str">
        <f t="shared" si="60"/>
        <v>UGA_2522</v>
      </c>
      <c r="B969" t="str">
        <f t="shared" si="61"/>
        <v>UGA_FRS QUA BARN 1</v>
      </c>
      <c r="C969" t="s">
        <v>443</v>
      </c>
      <c r="D969" s="180" t="s">
        <v>51</v>
      </c>
      <c r="E969" t="s">
        <v>1533</v>
      </c>
      <c r="F969" t="s">
        <v>1534</v>
      </c>
      <c r="G969" s="180">
        <v>1920</v>
      </c>
      <c r="H969">
        <v>1973</v>
      </c>
      <c r="J969" s="1334" t="s">
        <v>475</v>
      </c>
      <c r="K969" s="1335" t="s">
        <v>475</v>
      </c>
      <c r="L969" s="180">
        <v>0</v>
      </c>
      <c r="M969" t="s">
        <v>7818</v>
      </c>
      <c r="N969" t="str">
        <f t="shared" si="62"/>
        <v>FRS QUA BARN 1 (2522)</v>
      </c>
      <c r="O969" t="s">
        <v>52</v>
      </c>
      <c r="P969" t="str">
        <f t="shared" si="63"/>
        <v>18000_2522</v>
      </c>
      <c r="Q969" s="180">
        <v>0</v>
      </c>
    </row>
    <row r="970" spans="1:17">
      <c r="A970" t="str">
        <f t="shared" si="60"/>
        <v>UGA_2525</v>
      </c>
      <c r="B970" t="str">
        <f t="shared" si="61"/>
        <v>UGA_SILVICULTURAL BLDG</v>
      </c>
      <c r="C970" t="s">
        <v>443</v>
      </c>
      <c r="D970" s="180" t="s">
        <v>51</v>
      </c>
      <c r="E970" t="s">
        <v>2085</v>
      </c>
      <c r="F970" t="s">
        <v>2086</v>
      </c>
      <c r="G970" s="180">
        <v>2520</v>
      </c>
      <c r="H970">
        <v>1975</v>
      </c>
      <c r="J970" s="1334" t="s">
        <v>475</v>
      </c>
      <c r="K970" s="1335" t="s">
        <v>475</v>
      </c>
      <c r="L970" s="180">
        <v>0</v>
      </c>
      <c r="M970" t="s">
        <v>7818</v>
      </c>
      <c r="N970" t="str">
        <f t="shared" si="62"/>
        <v>SILVICULTURAL BLDG (2525)</v>
      </c>
      <c r="O970" t="s">
        <v>52</v>
      </c>
      <c r="P970" t="str">
        <f t="shared" si="63"/>
        <v>18000_2525</v>
      </c>
      <c r="Q970" s="180">
        <v>100</v>
      </c>
    </row>
    <row r="971" spans="1:17">
      <c r="A971" t="str">
        <f t="shared" si="60"/>
        <v>UGA_2526</v>
      </c>
      <c r="B971" t="str">
        <f t="shared" si="61"/>
        <v>UGA_QUONSET HUT 1</v>
      </c>
      <c r="C971" t="s">
        <v>443</v>
      </c>
      <c r="D971" s="180" t="s">
        <v>51</v>
      </c>
      <c r="E971" t="s">
        <v>3524</v>
      </c>
      <c r="F971" t="s">
        <v>3525</v>
      </c>
      <c r="G971" s="180">
        <v>1920</v>
      </c>
      <c r="H971">
        <v>1975</v>
      </c>
      <c r="J971" s="1334" t="s">
        <v>475</v>
      </c>
      <c r="K971" s="1335" t="s">
        <v>475</v>
      </c>
      <c r="L971" s="180">
        <v>0</v>
      </c>
      <c r="M971" t="s">
        <v>7818</v>
      </c>
      <c r="N971" t="str">
        <f t="shared" si="62"/>
        <v>QUONSET HUT 1 (2526)</v>
      </c>
      <c r="O971" t="s">
        <v>52</v>
      </c>
      <c r="P971" t="str">
        <f t="shared" si="63"/>
        <v>18000_2526</v>
      </c>
      <c r="Q971" s="180">
        <v>100</v>
      </c>
    </row>
    <row r="972" spans="1:17">
      <c r="A972" t="str">
        <f t="shared" si="60"/>
        <v>UGA_2527</v>
      </c>
      <c r="B972" t="str">
        <f t="shared" si="61"/>
        <v>UGA_QUONSET HUT SHOP</v>
      </c>
      <c r="C972" t="s">
        <v>443</v>
      </c>
      <c r="D972" s="180" t="s">
        <v>51</v>
      </c>
      <c r="E972" t="s">
        <v>2718</v>
      </c>
      <c r="F972" t="s">
        <v>2719</v>
      </c>
      <c r="G972" s="180">
        <v>960</v>
      </c>
      <c r="H972">
        <v>1975</v>
      </c>
      <c r="J972" s="1334" t="s">
        <v>475</v>
      </c>
      <c r="K972" s="1335" t="s">
        <v>475</v>
      </c>
      <c r="L972" s="180">
        <v>0</v>
      </c>
      <c r="M972" t="s">
        <v>7818</v>
      </c>
      <c r="N972" t="str">
        <f t="shared" si="62"/>
        <v>QUONSET HUT SHOP (2527)</v>
      </c>
      <c r="O972" t="s">
        <v>52</v>
      </c>
      <c r="P972" t="str">
        <f t="shared" si="63"/>
        <v>18000_2527</v>
      </c>
      <c r="Q972" s="180">
        <v>100</v>
      </c>
    </row>
    <row r="973" spans="1:17">
      <c r="A973" t="str">
        <f t="shared" si="60"/>
        <v>UGA_2529</v>
      </c>
      <c r="B973" t="str">
        <f t="shared" si="61"/>
        <v>UGA_BARN</v>
      </c>
      <c r="C973" t="s">
        <v>443</v>
      </c>
      <c r="D973" s="180" t="s">
        <v>51</v>
      </c>
      <c r="E973" t="s">
        <v>3106</v>
      </c>
      <c r="F973" t="s">
        <v>3107</v>
      </c>
      <c r="G973" s="180">
        <v>192</v>
      </c>
      <c r="H973">
        <v>1973</v>
      </c>
      <c r="J973" s="1334" t="s">
        <v>475</v>
      </c>
      <c r="K973" s="1335" t="s">
        <v>475</v>
      </c>
      <c r="L973" s="180">
        <v>0</v>
      </c>
      <c r="M973" t="s">
        <v>7818</v>
      </c>
      <c r="N973" t="str">
        <f t="shared" si="62"/>
        <v>BARN (2529)</v>
      </c>
      <c r="O973" t="s">
        <v>52</v>
      </c>
      <c r="P973" t="str">
        <f t="shared" si="63"/>
        <v>18000_2529</v>
      </c>
      <c r="Q973" s="180">
        <v>100</v>
      </c>
    </row>
    <row r="974" spans="1:17">
      <c r="A974" t="str">
        <f t="shared" si="60"/>
        <v>UGA_2530</v>
      </c>
      <c r="B974" t="str">
        <f t="shared" si="61"/>
        <v>UGA_PUMP HOUSE</v>
      </c>
      <c r="C974" t="s">
        <v>443</v>
      </c>
      <c r="D974" s="180" t="s">
        <v>51</v>
      </c>
      <c r="E974" t="s">
        <v>2201</v>
      </c>
      <c r="F974" t="s">
        <v>1503</v>
      </c>
      <c r="G974" s="180">
        <v>16</v>
      </c>
      <c r="H974">
        <v>1976</v>
      </c>
      <c r="J974" s="1334" t="s">
        <v>475</v>
      </c>
      <c r="K974" s="1335" t="s">
        <v>481</v>
      </c>
      <c r="L974" s="180">
        <v>0</v>
      </c>
      <c r="M974" t="s">
        <v>7818</v>
      </c>
      <c r="N974" t="str">
        <f t="shared" si="62"/>
        <v>PUMP HOUSE (2530)</v>
      </c>
      <c r="O974" t="s">
        <v>52</v>
      </c>
      <c r="P974" t="str">
        <f t="shared" si="63"/>
        <v>18000_2530</v>
      </c>
      <c r="Q974" s="180">
        <v>100</v>
      </c>
    </row>
    <row r="975" spans="1:17">
      <c r="A975" t="str">
        <f t="shared" si="60"/>
        <v>UGA_2531</v>
      </c>
      <c r="B975" t="str">
        <f t="shared" si="61"/>
        <v>UGA_QUONSET HUT 2</v>
      </c>
      <c r="C975" t="s">
        <v>443</v>
      </c>
      <c r="D975" s="180" t="s">
        <v>51</v>
      </c>
      <c r="E975" t="s">
        <v>4045</v>
      </c>
      <c r="F975" t="s">
        <v>4046</v>
      </c>
      <c r="G975" s="180">
        <v>960</v>
      </c>
      <c r="H975">
        <v>1986</v>
      </c>
      <c r="J975" s="1334" t="s">
        <v>475</v>
      </c>
      <c r="K975" s="1335" t="s">
        <v>475</v>
      </c>
      <c r="L975" s="180">
        <v>0</v>
      </c>
      <c r="M975" t="s">
        <v>7818</v>
      </c>
      <c r="N975" t="str">
        <f t="shared" si="62"/>
        <v>QUONSET HUT 2 (2531)</v>
      </c>
      <c r="O975" t="s">
        <v>52</v>
      </c>
      <c r="P975" t="str">
        <f t="shared" si="63"/>
        <v>18000_2531</v>
      </c>
      <c r="Q975" s="180">
        <v>0</v>
      </c>
    </row>
    <row r="976" spans="1:17">
      <c r="A976" t="str">
        <f t="shared" si="60"/>
        <v>UGA_2532</v>
      </c>
      <c r="B976" t="str">
        <f t="shared" si="61"/>
        <v>UGA_WEIR INSTRUMT BLDG</v>
      </c>
      <c r="C976" t="s">
        <v>443</v>
      </c>
      <c r="D976" s="180" t="s">
        <v>51</v>
      </c>
      <c r="E976" t="s">
        <v>3616</v>
      </c>
      <c r="F976" t="s">
        <v>3617</v>
      </c>
      <c r="G976" s="180">
        <v>36</v>
      </c>
      <c r="H976">
        <v>1975</v>
      </c>
      <c r="J976" s="1334" t="s">
        <v>475</v>
      </c>
      <c r="K976" s="1335" t="s">
        <v>1520</v>
      </c>
      <c r="L976" s="180">
        <v>0</v>
      </c>
      <c r="M976" t="s">
        <v>7818</v>
      </c>
      <c r="N976" t="str">
        <f t="shared" si="62"/>
        <v>WEIR INSTRUMT BLDG (2532)</v>
      </c>
      <c r="O976" t="s">
        <v>52</v>
      </c>
      <c r="P976" t="str">
        <f t="shared" si="63"/>
        <v>18000_2532</v>
      </c>
      <c r="Q976" s="180">
        <v>100</v>
      </c>
    </row>
    <row r="977" spans="1:17">
      <c r="A977" t="str">
        <f t="shared" si="60"/>
        <v>UGA_2533</v>
      </c>
      <c r="B977" t="str">
        <f t="shared" si="61"/>
        <v>UGA_FLINCHUMS PHOENIX</v>
      </c>
      <c r="C977" t="s">
        <v>443</v>
      </c>
      <c r="D977" s="180" t="s">
        <v>51</v>
      </c>
      <c r="E977" t="s">
        <v>1894</v>
      </c>
      <c r="F977" t="s">
        <v>1895</v>
      </c>
      <c r="G977" s="180">
        <v>11832</v>
      </c>
      <c r="H977">
        <v>1978</v>
      </c>
      <c r="J977" s="1334" t="s">
        <v>475</v>
      </c>
      <c r="K977" s="1335" t="s">
        <v>481</v>
      </c>
      <c r="L977" s="180">
        <v>0</v>
      </c>
      <c r="M977" t="s">
        <v>7818</v>
      </c>
      <c r="N977" t="str">
        <f t="shared" si="62"/>
        <v>FLINCHUMS PHOENIX (2533)</v>
      </c>
      <c r="O977" t="s">
        <v>52</v>
      </c>
      <c r="P977" t="str">
        <f t="shared" si="63"/>
        <v>18000_2533</v>
      </c>
      <c r="Q977" s="180">
        <v>100</v>
      </c>
    </row>
    <row r="978" spans="1:17">
      <c r="A978" t="str">
        <f t="shared" si="60"/>
        <v>UGA_2534</v>
      </c>
      <c r="B978" t="str">
        <f t="shared" si="61"/>
        <v>UGA_FORESTRY CABIN #1</v>
      </c>
      <c r="C978" t="s">
        <v>443</v>
      </c>
      <c r="D978" s="180" t="s">
        <v>51</v>
      </c>
      <c r="E978" t="s">
        <v>2410</v>
      </c>
      <c r="F978" t="s">
        <v>2411</v>
      </c>
      <c r="G978" s="180">
        <v>1223</v>
      </c>
      <c r="H978">
        <v>1981</v>
      </c>
      <c r="J978" s="1334" t="s">
        <v>475</v>
      </c>
      <c r="K978" s="1335" t="s">
        <v>475</v>
      </c>
      <c r="L978" s="180">
        <v>0</v>
      </c>
      <c r="M978" t="s">
        <v>7818</v>
      </c>
      <c r="N978" t="str">
        <f t="shared" si="62"/>
        <v>FORESTRY CABIN #1 (2534)</v>
      </c>
      <c r="O978" t="s">
        <v>52</v>
      </c>
      <c r="P978" t="str">
        <f t="shared" si="63"/>
        <v>18000_2534</v>
      </c>
      <c r="Q978" s="180">
        <v>100</v>
      </c>
    </row>
    <row r="979" spans="1:17">
      <c r="A979" t="str">
        <f t="shared" si="60"/>
        <v>UGA_2536</v>
      </c>
      <c r="B979" t="str">
        <f t="shared" si="61"/>
        <v>UGA_CABIN NO 3</v>
      </c>
      <c r="C979" t="s">
        <v>443</v>
      </c>
      <c r="D979" s="180" t="s">
        <v>51</v>
      </c>
      <c r="E979" t="s">
        <v>2720</v>
      </c>
      <c r="F979" t="s">
        <v>2721</v>
      </c>
      <c r="G979" s="180">
        <v>1344</v>
      </c>
      <c r="H979">
        <v>1985</v>
      </c>
      <c r="J979" s="1334" t="s">
        <v>475</v>
      </c>
      <c r="K979" s="1335" t="s">
        <v>475</v>
      </c>
      <c r="L979" s="180">
        <v>0</v>
      </c>
      <c r="M979" t="s">
        <v>7818</v>
      </c>
      <c r="N979" t="str">
        <f t="shared" si="62"/>
        <v>CABIN NO 3 (2536)</v>
      </c>
      <c r="O979" t="s">
        <v>52</v>
      </c>
      <c r="P979" t="str">
        <f t="shared" si="63"/>
        <v>18000_2536</v>
      </c>
      <c r="Q979" s="180">
        <v>100</v>
      </c>
    </row>
    <row r="980" spans="1:17">
      <c r="A980" t="str">
        <f t="shared" si="60"/>
        <v>UGA_2537</v>
      </c>
      <c r="B980" t="str">
        <f t="shared" si="61"/>
        <v>UGA_GREENHOUSE A-WH</v>
      </c>
      <c r="C980" t="s">
        <v>443</v>
      </c>
      <c r="D980" s="180" t="s">
        <v>51</v>
      </c>
      <c r="E980" t="s">
        <v>3377</v>
      </c>
      <c r="F980" t="s">
        <v>3378</v>
      </c>
      <c r="G980" s="180">
        <v>1129</v>
      </c>
      <c r="H980">
        <v>1985</v>
      </c>
      <c r="J980" s="1334" t="s">
        <v>475</v>
      </c>
      <c r="K980" s="1335" t="s">
        <v>475</v>
      </c>
      <c r="L980" s="180">
        <v>0</v>
      </c>
      <c r="M980" t="s">
        <v>7818</v>
      </c>
      <c r="N980" t="str">
        <f t="shared" si="62"/>
        <v>GREENHOUSE A-WH (2537)</v>
      </c>
      <c r="O980" t="s">
        <v>52</v>
      </c>
      <c r="P980" t="str">
        <f t="shared" si="63"/>
        <v>18000_2537</v>
      </c>
      <c r="Q980" s="180">
        <v>100</v>
      </c>
    </row>
    <row r="981" spans="1:17">
      <c r="A981" t="str">
        <f t="shared" si="60"/>
        <v>UGA_2538</v>
      </c>
      <c r="B981" t="str">
        <f t="shared" si="61"/>
        <v>UGA_GREENHOUSE B-WH</v>
      </c>
      <c r="C981" t="s">
        <v>443</v>
      </c>
      <c r="D981" s="180" t="s">
        <v>51</v>
      </c>
      <c r="E981" t="s">
        <v>4180</v>
      </c>
      <c r="F981" t="s">
        <v>4181</v>
      </c>
      <c r="G981" s="180">
        <v>1129</v>
      </c>
      <c r="H981">
        <v>1985</v>
      </c>
      <c r="J981" s="1334" t="s">
        <v>475</v>
      </c>
      <c r="K981" s="1335" t="s">
        <v>486</v>
      </c>
      <c r="L981" s="180">
        <v>0</v>
      </c>
      <c r="M981" t="s">
        <v>7818</v>
      </c>
      <c r="N981" t="str">
        <f t="shared" si="62"/>
        <v>GREENHOUSE B-WH (2538)</v>
      </c>
      <c r="O981" t="s">
        <v>52</v>
      </c>
      <c r="P981" t="str">
        <f t="shared" si="63"/>
        <v>18000_2538</v>
      </c>
      <c r="Q981" s="180">
        <v>100</v>
      </c>
    </row>
    <row r="982" spans="1:17">
      <c r="A982" t="str">
        <f t="shared" si="60"/>
        <v>UGA_2539</v>
      </c>
      <c r="B982" t="str">
        <f t="shared" si="61"/>
        <v>UGA_DEER RESEARCH FAC</v>
      </c>
      <c r="C982" t="s">
        <v>443</v>
      </c>
      <c r="D982" s="180" t="s">
        <v>51</v>
      </c>
      <c r="E982" t="s">
        <v>1535</v>
      </c>
      <c r="F982" t="s">
        <v>1536</v>
      </c>
      <c r="G982" s="180">
        <v>3080</v>
      </c>
      <c r="H982">
        <v>1985</v>
      </c>
      <c r="J982" s="1334" t="s">
        <v>475</v>
      </c>
      <c r="K982" s="1335" t="s">
        <v>475</v>
      </c>
      <c r="L982" s="180">
        <v>0</v>
      </c>
      <c r="M982" t="s">
        <v>7818</v>
      </c>
      <c r="N982" t="str">
        <f t="shared" si="62"/>
        <v>DEER RESEARCH FAC (2539)</v>
      </c>
      <c r="O982" t="s">
        <v>52</v>
      </c>
      <c r="P982" t="str">
        <f t="shared" si="63"/>
        <v>18000_2539</v>
      </c>
      <c r="Q982" s="180">
        <v>100</v>
      </c>
    </row>
    <row r="983" spans="1:17">
      <c r="A983" t="str">
        <f t="shared" si="60"/>
        <v>UGA_2540</v>
      </c>
      <c r="B983" t="str">
        <f t="shared" si="61"/>
        <v>UGA_STRAGE HOUSE FRS-2</v>
      </c>
      <c r="C983" t="s">
        <v>443</v>
      </c>
      <c r="D983" s="180" t="s">
        <v>51</v>
      </c>
      <c r="E983" t="s">
        <v>3162</v>
      </c>
      <c r="F983" t="s">
        <v>3163</v>
      </c>
      <c r="G983" s="180">
        <v>120</v>
      </c>
      <c r="H983">
        <v>1975</v>
      </c>
      <c r="J983" s="1334" t="s">
        <v>475</v>
      </c>
      <c r="K983" s="1335" t="s">
        <v>475</v>
      </c>
      <c r="L983" s="180">
        <v>0</v>
      </c>
      <c r="M983" t="s">
        <v>7818</v>
      </c>
      <c r="N983" t="str">
        <f t="shared" si="62"/>
        <v>STRAGE HOUSE FRS-2 (2540)</v>
      </c>
      <c r="O983" t="s">
        <v>52</v>
      </c>
      <c r="P983" t="str">
        <f t="shared" si="63"/>
        <v>18000_2540</v>
      </c>
      <c r="Q983" s="180">
        <v>100</v>
      </c>
    </row>
    <row r="984" spans="1:17">
      <c r="A984" t="str">
        <f t="shared" si="60"/>
        <v>UGA_2541</v>
      </c>
      <c r="B984" t="str">
        <f t="shared" si="61"/>
        <v>UGA_STRAGE HOUSE FRS-3</v>
      </c>
      <c r="C984" t="s">
        <v>443</v>
      </c>
      <c r="D984" s="180" t="s">
        <v>51</v>
      </c>
      <c r="E984" t="s">
        <v>1537</v>
      </c>
      <c r="F984" t="s">
        <v>1538</v>
      </c>
      <c r="G984" s="180">
        <v>120</v>
      </c>
      <c r="H984">
        <v>1986</v>
      </c>
      <c r="J984" s="1334" t="s">
        <v>475</v>
      </c>
      <c r="K984" s="1335" t="s">
        <v>475</v>
      </c>
      <c r="L984" s="180">
        <v>0</v>
      </c>
      <c r="M984" t="s">
        <v>7818</v>
      </c>
      <c r="N984" t="str">
        <f t="shared" si="62"/>
        <v>STRAGE HOUSE FRS-3 (2541)</v>
      </c>
      <c r="O984" t="s">
        <v>52</v>
      </c>
      <c r="P984" t="str">
        <f t="shared" si="63"/>
        <v>18000_2541</v>
      </c>
      <c r="Q984" s="180">
        <v>100</v>
      </c>
    </row>
    <row r="985" spans="1:17">
      <c r="A985" t="str">
        <f t="shared" si="60"/>
        <v>UGA_2542</v>
      </c>
      <c r="B985" t="str">
        <f t="shared" si="61"/>
        <v>UGA_PUMP HOUSE - 2</v>
      </c>
      <c r="C985" t="s">
        <v>443</v>
      </c>
      <c r="D985" s="180" t="s">
        <v>51</v>
      </c>
      <c r="E985" t="s">
        <v>3812</v>
      </c>
      <c r="F985" t="s">
        <v>3813</v>
      </c>
      <c r="G985" s="180">
        <v>46</v>
      </c>
      <c r="H985">
        <v>1986</v>
      </c>
      <c r="J985" s="1334" t="s">
        <v>475</v>
      </c>
      <c r="K985" s="1335" t="s">
        <v>475</v>
      </c>
      <c r="L985" s="180">
        <v>0</v>
      </c>
      <c r="M985" t="s">
        <v>7818</v>
      </c>
      <c r="N985" t="str">
        <f t="shared" si="62"/>
        <v>PUMP HOUSE - 2 (2542)</v>
      </c>
      <c r="O985" t="s">
        <v>52</v>
      </c>
      <c r="P985" t="str">
        <f t="shared" si="63"/>
        <v>18000_2542</v>
      </c>
      <c r="Q985" s="180">
        <v>100</v>
      </c>
    </row>
    <row r="986" spans="1:17">
      <c r="A986" t="str">
        <f t="shared" si="60"/>
        <v>UGA_2543</v>
      </c>
      <c r="B986" t="str">
        <f t="shared" si="61"/>
        <v>UGA_DEER FEEDER</v>
      </c>
      <c r="C986" t="s">
        <v>443</v>
      </c>
      <c r="D986" s="180" t="s">
        <v>51</v>
      </c>
      <c r="E986" t="s">
        <v>2920</v>
      </c>
      <c r="F986" t="s">
        <v>2921</v>
      </c>
      <c r="G986" s="180">
        <v>288</v>
      </c>
      <c r="H986">
        <v>1986</v>
      </c>
      <c r="J986" s="1334" t="s">
        <v>475</v>
      </c>
      <c r="K986" s="1335" t="s">
        <v>475</v>
      </c>
      <c r="L986" s="180">
        <v>0</v>
      </c>
      <c r="M986" t="s">
        <v>7818</v>
      </c>
      <c r="N986" t="str">
        <f t="shared" si="62"/>
        <v>DEER FEEDER (2543)</v>
      </c>
      <c r="O986" t="s">
        <v>52</v>
      </c>
      <c r="P986" t="str">
        <f t="shared" si="63"/>
        <v>18000_2543</v>
      </c>
      <c r="Q986" s="180">
        <v>100</v>
      </c>
    </row>
    <row r="987" spans="1:17">
      <c r="A987" t="str">
        <f t="shared" si="60"/>
        <v>UGA_2544</v>
      </c>
      <c r="B987" t="str">
        <f t="shared" si="61"/>
        <v>UGA_PUMP HOUSE-3 FRS</v>
      </c>
      <c r="C987" t="s">
        <v>443</v>
      </c>
      <c r="D987" s="180" t="s">
        <v>51</v>
      </c>
      <c r="E987" t="s">
        <v>3164</v>
      </c>
      <c r="F987" t="s">
        <v>3165</v>
      </c>
      <c r="G987" s="180">
        <v>100</v>
      </c>
      <c r="H987">
        <v>1988</v>
      </c>
      <c r="J987" s="1334" t="s">
        <v>475</v>
      </c>
      <c r="K987" s="1335" t="s">
        <v>475</v>
      </c>
      <c r="L987" s="180">
        <v>0</v>
      </c>
      <c r="M987" t="s">
        <v>7818</v>
      </c>
      <c r="N987" t="str">
        <f t="shared" si="62"/>
        <v>PUMP HOUSE-3 FRS (2544)</v>
      </c>
      <c r="O987" t="s">
        <v>52</v>
      </c>
      <c r="P987" t="str">
        <f t="shared" si="63"/>
        <v>18000_2544</v>
      </c>
      <c r="Q987" s="180">
        <v>100</v>
      </c>
    </row>
    <row r="988" spans="1:17">
      <c r="A988" t="str">
        <f t="shared" si="60"/>
        <v>UGA_2545</v>
      </c>
      <c r="B988" t="str">
        <f t="shared" si="61"/>
        <v>UGA_SILVICULTURE STRG</v>
      </c>
      <c r="C988" t="s">
        <v>443</v>
      </c>
      <c r="D988" s="180" t="s">
        <v>51</v>
      </c>
      <c r="E988" t="s">
        <v>2001</v>
      </c>
      <c r="F988" t="s">
        <v>2002</v>
      </c>
      <c r="G988" s="180">
        <v>2425</v>
      </c>
      <c r="H988">
        <v>1986</v>
      </c>
      <c r="J988" s="1334" t="s">
        <v>475</v>
      </c>
      <c r="K988" s="1335" t="s">
        <v>475</v>
      </c>
      <c r="L988" s="180">
        <v>0</v>
      </c>
      <c r="M988" t="s">
        <v>7818</v>
      </c>
      <c r="N988" t="str">
        <f t="shared" si="62"/>
        <v>SILVICULTURE STRG (2545)</v>
      </c>
      <c r="O988" t="s">
        <v>52</v>
      </c>
      <c r="P988" t="str">
        <f t="shared" si="63"/>
        <v>18000_2545</v>
      </c>
      <c r="Q988" s="180">
        <v>100</v>
      </c>
    </row>
    <row r="989" spans="1:17">
      <c r="A989" t="str">
        <f t="shared" si="60"/>
        <v>UGA_2546</v>
      </c>
      <c r="B989" t="str">
        <f t="shared" si="61"/>
        <v>UGA_TESTING BLDG FRS</v>
      </c>
      <c r="C989" t="s">
        <v>443</v>
      </c>
      <c r="D989" s="180" t="s">
        <v>51</v>
      </c>
      <c r="E989" t="s">
        <v>3678</v>
      </c>
      <c r="F989" t="s">
        <v>3679</v>
      </c>
      <c r="G989" s="180">
        <v>960</v>
      </c>
      <c r="H989">
        <v>1988</v>
      </c>
      <c r="J989" s="1334" t="s">
        <v>475</v>
      </c>
      <c r="K989" s="1335" t="s">
        <v>475</v>
      </c>
      <c r="L989" s="180">
        <v>0</v>
      </c>
      <c r="M989" t="s">
        <v>7818</v>
      </c>
      <c r="N989" t="str">
        <f t="shared" si="62"/>
        <v>TESTING BLDG FRS (2546)</v>
      </c>
      <c r="O989" t="s">
        <v>52</v>
      </c>
      <c r="P989" t="str">
        <f t="shared" si="63"/>
        <v>18000_2546</v>
      </c>
      <c r="Q989" s="180">
        <v>100</v>
      </c>
    </row>
    <row r="990" spans="1:17">
      <c r="A990" t="str">
        <f t="shared" si="60"/>
        <v>UGA_2547</v>
      </c>
      <c r="B990" t="str">
        <f t="shared" si="61"/>
        <v>UGA_PAVILION</v>
      </c>
      <c r="C990" t="s">
        <v>443</v>
      </c>
      <c r="D990" s="180" t="s">
        <v>51</v>
      </c>
      <c r="E990" t="s">
        <v>1820</v>
      </c>
      <c r="F990" t="s">
        <v>1511</v>
      </c>
      <c r="G990" s="180">
        <v>1612</v>
      </c>
      <c r="H990">
        <v>1986</v>
      </c>
      <c r="J990" s="1334" t="s">
        <v>475</v>
      </c>
      <c r="K990" s="1335" t="s">
        <v>475</v>
      </c>
      <c r="L990" s="180">
        <v>0</v>
      </c>
      <c r="M990" t="s">
        <v>7818</v>
      </c>
      <c r="N990" t="str">
        <f t="shared" si="62"/>
        <v>PAVILION (2547)</v>
      </c>
      <c r="O990" t="s">
        <v>52</v>
      </c>
      <c r="P990" t="str">
        <f t="shared" si="63"/>
        <v>18000_2547</v>
      </c>
      <c r="Q990" s="180">
        <v>100</v>
      </c>
    </row>
    <row r="991" spans="1:17">
      <c r="A991" t="str">
        <f t="shared" si="60"/>
        <v>UGA_2549</v>
      </c>
      <c r="B991" t="str">
        <f t="shared" si="61"/>
        <v>UGA_POWER HOUSE FRS</v>
      </c>
      <c r="C991" t="s">
        <v>443</v>
      </c>
      <c r="D991" s="180" t="s">
        <v>51</v>
      </c>
      <c r="E991" t="s">
        <v>2318</v>
      </c>
      <c r="F991" t="s">
        <v>2319</v>
      </c>
      <c r="G991" s="180">
        <v>1296</v>
      </c>
      <c r="H991">
        <v>1915</v>
      </c>
      <c r="J991" s="1334" t="s">
        <v>475</v>
      </c>
      <c r="K991" s="1335" t="s">
        <v>481</v>
      </c>
      <c r="L991" s="180">
        <v>0</v>
      </c>
      <c r="M991" t="s">
        <v>7818</v>
      </c>
      <c r="N991" t="str">
        <f t="shared" si="62"/>
        <v>POWER HOUSE FRS (2549)</v>
      </c>
      <c r="O991" t="s">
        <v>52</v>
      </c>
      <c r="P991" t="str">
        <f t="shared" si="63"/>
        <v>18000_2549</v>
      </c>
      <c r="Q991" s="180">
        <v>25</v>
      </c>
    </row>
    <row r="992" spans="1:17">
      <c r="A992" t="str">
        <f t="shared" si="60"/>
        <v>UGA_2550</v>
      </c>
      <c r="B992" t="str">
        <f t="shared" si="61"/>
        <v>UGA_FEED HOUSE-2 FRS</v>
      </c>
      <c r="C992" t="s">
        <v>443</v>
      </c>
      <c r="D992" s="180" t="s">
        <v>51</v>
      </c>
      <c r="E992" t="s">
        <v>3590</v>
      </c>
      <c r="F992" t="s">
        <v>3591</v>
      </c>
      <c r="G992" s="180">
        <v>240</v>
      </c>
      <c r="H992">
        <v>1988</v>
      </c>
      <c r="J992" s="1334" t="s">
        <v>475</v>
      </c>
      <c r="K992" s="1335" t="s">
        <v>475</v>
      </c>
      <c r="L992" s="180">
        <v>0</v>
      </c>
      <c r="M992" t="s">
        <v>7818</v>
      </c>
      <c r="N992" t="str">
        <f t="shared" si="62"/>
        <v>FEED HOUSE-2 FRS (2550)</v>
      </c>
      <c r="O992" t="s">
        <v>52</v>
      </c>
      <c r="P992" t="str">
        <f t="shared" si="63"/>
        <v>18000_2550</v>
      </c>
      <c r="Q992" s="180">
        <v>100</v>
      </c>
    </row>
    <row r="993" spans="1:17">
      <c r="A993" t="str">
        <f t="shared" si="60"/>
        <v>UGA_2551</v>
      </c>
      <c r="B993" t="str">
        <f t="shared" si="61"/>
        <v>UGA_PUMP HOUSE-4 FRS</v>
      </c>
      <c r="C993" t="s">
        <v>443</v>
      </c>
      <c r="D993" s="180" t="s">
        <v>51</v>
      </c>
      <c r="E993" t="s">
        <v>3108</v>
      </c>
      <c r="F993" t="s">
        <v>3109</v>
      </c>
      <c r="G993" s="180">
        <v>32</v>
      </c>
      <c r="H993">
        <v>1988</v>
      </c>
      <c r="J993" s="1334" t="s">
        <v>475</v>
      </c>
      <c r="K993" s="1335" t="s">
        <v>475</v>
      </c>
      <c r="L993" s="180">
        <v>0</v>
      </c>
      <c r="M993" t="s">
        <v>7818</v>
      </c>
      <c r="N993" t="str">
        <f t="shared" si="62"/>
        <v>PUMP HOUSE-4 FRS (2551)</v>
      </c>
      <c r="O993" t="s">
        <v>52</v>
      </c>
      <c r="P993" t="str">
        <f t="shared" si="63"/>
        <v>18000_2551</v>
      </c>
      <c r="Q993" s="180">
        <v>100</v>
      </c>
    </row>
    <row r="994" spans="1:17">
      <c r="A994" t="str">
        <f t="shared" si="60"/>
        <v>UGA_2552</v>
      </c>
      <c r="B994" t="str">
        <f t="shared" si="61"/>
        <v>UGA_STORAGE HS FRS 5</v>
      </c>
      <c r="C994" t="s">
        <v>443</v>
      </c>
      <c r="D994" s="180" t="s">
        <v>51</v>
      </c>
      <c r="E994" t="s">
        <v>1796</v>
      </c>
      <c r="F994" t="s">
        <v>1797</v>
      </c>
      <c r="G994" s="180">
        <v>120</v>
      </c>
      <c r="H994">
        <v>1986</v>
      </c>
      <c r="J994" s="1334" t="s">
        <v>475</v>
      </c>
      <c r="K994" s="1335" t="s">
        <v>475</v>
      </c>
      <c r="L994" s="180">
        <v>0</v>
      </c>
      <c r="M994" t="s">
        <v>7818</v>
      </c>
      <c r="N994" t="str">
        <f t="shared" si="62"/>
        <v>STORAGE HS FRS 5 (2552)</v>
      </c>
      <c r="O994" t="s">
        <v>52</v>
      </c>
      <c r="P994" t="str">
        <f t="shared" si="63"/>
        <v>18000_2552</v>
      </c>
      <c r="Q994" s="180">
        <v>100</v>
      </c>
    </row>
    <row r="995" spans="1:17">
      <c r="A995" t="str">
        <f t="shared" si="60"/>
        <v>UGA_2553</v>
      </c>
      <c r="B995" t="str">
        <f t="shared" si="61"/>
        <v>UGA_NURSERY BUILDING</v>
      </c>
      <c r="C995" t="s">
        <v>443</v>
      </c>
      <c r="D995" s="180" t="s">
        <v>51</v>
      </c>
      <c r="E995" t="s">
        <v>4403</v>
      </c>
      <c r="F995" t="s">
        <v>4404</v>
      </c>
      <c r="G995" s="180">
        <v>2304</v>
      </c>
      <c r="H995">
        <v>1979</v>
      </c>
      <c r="J995" s="1334" t="s">
        <v>475</v>
      </c>
      <c r="K995" s="1335" t="s">
        <v>475</v>
      </c>
      <c r="L995" s="180">
        <v>0</v>
      </c>
      <c r="M995" t="s">
        <v>7818</v>
      </c>
      <c r="N995" t="str">
        <f t="shared" si="62"/>
        <v>NURSERY BUILDING (2553)</v>
      </c>
      <c r="O995" t="s">
        <v>52</v>
      </c>
      <c r="P995" t="str">
        <f t="shared" si="63"/>
        <v>18000_2553</v>
      </c>
      <c r="Q995" s="180">
        <v>23</v>
      </c>
    </row>
    <row r="996" spans="1:17">
      <c r="A996" t="str">
        <f t="shared" si="60"/>
        <v>UGA_2555</v>
      </c>
      <c r="B996" t="str">
        <f t="shared" si="61"/>
        <v>UGA_WOOD UTILIZN LAB</v>
      </c>
      <c r="C996" t="s">
        <v>443</v>
      </c>
      <c r="D996" s="180" t="s">
        <v>51</v>
      </c>
      <c r="E996" t="s">
        <v>2961</v>
      </c>
      <c r="F996" t="s">
        <v>2962</v>
      </c>
      <c r="G996" s="180">
        <v>20441</v>
      </c>
      <c r="H996">
        <v>1992</v>
      </c>
      <c r="J996" s="1334" t="s">
        <v>475</v>
      </c>
      <c r="K996" s="1335" t="s">
        <v>475</v>
      </c>
      <c r="L996" s="180">
        <v>100</v>
      </c>
      <c r="M996" t="s">
        <v>7818</v>
      </c>
      <c r="N996" t="str">
        <f t="shared" si="62"/>
        <v>WOOD UTILIZN LAB (2555)</v>
      </c>
      <c r="O996" t="s">
        <v>52</v>
      </c>
      <c r="P996" t="str">
        <f t="shared" si="63"/>
        <v>18000_2555</v>
      </c>
      <c r="Q996" s="180">
        <v>0</v>
      </c>
    </row>
    <row r="997" spans="1:17">
      <c r="A997" t="str">
        <f t="shared" si="60"/>
        <v>UGA_2556</v>
      </c>
      <c r="B997" t="str">
        <f t="shared" si="61"/>
        <v>UGA_FOR UTIL LAB GRN-1</v>
      </c>
      <c r="C997" t="s">
        <v>443</v>
      </c>
      <c r="D997" s="180" t="s">
        <v>51</v>
      </c>
      <c r="E997" t="s">
        <v>4405</v>
      </c>
      <c r="F997" t="s">
        <v>4406</v>
      </c>
      <c r="G997" s="180">
        <v>3565</v>
      </c>
      <c r="H997">
        <v>1992</v>
      </c>
      <c r="J997" s="1334" t="s">
        <v>475</v>
      </c>
      <c r="K997" s="1335" t="s">
        <v>475</v>
      </c>
      <c r="L997" s="180">
        <v>100</v>
      </c>
      <c r="M997" t="s">
        <v>7818</v>
      </c>
      <c r="N997" t="str">
        <f t="shared" si="62"/>
        <v>FOR UTIL LAB GRN-1 (2556)</v>
      </c>
      <c r="O997" t="s">
        <v>52</v>
      </c>
      <c r="P997" t="str">
        <f t="shared" si="63"/>
        <v>18000_2556</v>
      </c>
      <c r="Q997" s="180">
        <v>100</v>
      </c>
    </row>
    <row r="998" spans="1:17">
      <c r="A998" t="str">
        <f t="shared" si="60"/>
        <v>UGA_2557</v>
      </c>
      <c r="B998" t="str">
        <f t="shared" si="61"/>
        <v>UGA_FOR UTIL LAB GRN-2</v>
      </c>
      <c r="C998" t="s">
        <v>443</v>
      </c>
      <c r="D998" s="180" t="s">
        <v>51</v>
      </c>
      <c r="E998" t="s">
        <v>2116</v>
      </c>
      <c r="F998" t="s">
        <v>2117</v>
      </c>
      <c r="G998" s="180">
        <v>3300</v>
      </c>
      <c r="H998">
        <v>2009</v>
      </c>
      <c r="J998" s="1334" t="s">
        <v>475</v>
      </c>
      <c r="K998" s="1335" t="s">
        <v>475</v>
      </c>
      <c r="L998" s="180">
        <v>100</v>
      </c>
      <c r="M998" t="s">
        <v>7818</v>
      </c>
      <c r="N998" t="str">
        <f t="shared" si="62"/>
        <v>FOR UTIL LAB GRN-2 (2557)</v>
      </c>
      <c r="O998" t="s">
        <v>52</v>
      </c>
      <c r="P998" t="str">
        <f t="shared" si="63"/>
        <v>18000_2557</v>
      </c>
      <c r="Q998" s="180">
        <v>100</v>
      </c>
    </row>
    <row r="999" spans="1:17">
      <c r="A999" t="str">
        <f t="shared" si="60"/>
        <v>UGA_2558</v>
      </c>
      <c r="B999" t="str">
        <f t="shared" si="61"/>
        <v>UGA_STORAGE SHED-WHALL</v>
      </c>
      <c r="C999" t="s">
        <v>443</v>
      </c>
      <c r="D999" s="180" t="s">
        <v>51</v>
      </c>
      <c r="E999" t="s">
        <v>4237</v>
      </c>
      <c r="F999" t="s">
        <v>4238</v>
      </c>
      <c r="G999" s="180">
        <v>864</v>
      </c>
      <c r="H999">
        <v>1988</v>
      </c>
      <c r="J999" s="1334" t="s">
        <v>475</v>
      </c>
      <c r="K999" s="1335" t="s">
        <v>475</v>
      </c>
      <c r="L999" s="180">
        <v>0</v>
      </c>
      <c r="M999" t="s">
        <v>7818</v>
      </c>
      <c r="N999" t="str">
        <f t="shared" si="62"/>
        <v>STORAGE SHED-WHALL (2558)</v>
      </c>
      <c r="O999" t="s">
        <v>52</v>
      </c>
      <c r="P999" t="str">
        <f t="shared" si="63"/>
        <v>18000_2558</v>
      </c>
      <c r="Q999" s="180">
        <v>100</v>
      </c>
    </row>
    <row r="1000" spans="1:17">
      <c r="A1000" t="str">
        <f t="shared" si="60"/>
        <v>UGA_2559</v>
      </c>
      <c r="B1000" t="str">
        <f t="shared" si="61"/>
        <v>UGA_PUMPHOUSE-WHITEHAL</v>
      </c>
      <c r="C1000" t="s">
        <v>443</v>
      </c>
      <c r="D1000" s="180" t="s">
        <v>51</v>
      </c>
      <c r="E1000" t="s">
        <v>4004</v>
      </c>
      <c r="F1000" t="s">
        <v>4005</v>
      </c>
      <c r="G1000" s="180">
        <v>16</v>
      </c>
      <c r="H1000">
        <v>1988</v>
      </c>
      <c r="J1000" s="1334" t="s">
        <v>475</v>
      </c>
      <c r="K1000" s="1335" t="s">
        <v>475</v>
      </c>
      <c r="L1000" s="180">
        <v>0</v>
      </c>
      <c r="M1000" t="s">
        <v>7818</v>
      </c>
      <c r="N1000" t="str">
        <f t="shared" si="62"/>
        <v>PUMPHOUSE-WHITEHAL (2559)</v>
      </c>
      <c r="O1000" t="s">
        <v>52</v>
      </c>
      <c r="P1000" t="str">
        <f t="shared" si="63"/>
        <v>18000_2559</v>
      </c>
      <c r="Q1000" s="180">
        <v>100</v>
      </c>
    </row>
    <row r="1001" spans="1:17">
      <c r="A1001" t="str">
        <f t="shared" si="60"/>
        <v>UGA_2560</v>
      </c>
      <c r="B1001" t="str">
        <f t="shared" si="61"/>
        <v>UGA_STORAGE- WHITEHALL</v>
      </c>
      <c r="C1001" t="s">
        <v>443</v>
      </c>
      <c r="D1001" s="180" t="s">
        <v>51</v>
      </c>
      <c r="E1001" t="s">
        <v>2990</v>
      </c>
      <c r="F1001" t="s">
        <v>2991</v>
      </c>
      <c r="G1001" s="180">
        <v>256</v>
      </c>
      <c r="H1001">
        <v>1988</v>
      </c>
      <c r="J1001" s="1334" t="s">
        <v>475</v>
      </c>
      <c r="K1001" s="1335" t="s">
        <v>475</v>
      </c>
      <c r="L1001" s="180">
        <v>0</v>
      </c>
      <c r="M1001" t="s">
        <v>7818</v>
      </c>
      <c r="N1001" t="str">
        <f t="shared" si="62"/>
        <v>STORAGE- WHITEHALL (2560)</v>
      </c>
      <c r="O1001" t="s">
        <v>52</v>
      </c>
      <c r="P1001" t="str">
        <f t="shared" si="63"/>
        <v>18000_2560</v>
      </c>
      <c r="Q1001" s="180">
        <v>100</v>
      </c>
    </row>
    <row r="1002" spans="1:17">
      <c r="A1002" t="str">
        <f t="shared" si="60"/>
        <v>UGA_2561</v>
      </c>
      <c r="B1002" t="str">
        <f t="shared" si="61"/>
        <v>UGA_ACID RAIN HQ BLDG</v>
      </c>
      <c r="C1002" t="s">
        <v>443</v>
      </c>
      <c r="D1002" s="180" t="s">
        <v>51</v>
      </c>
      <c r="E1002" t="s">
        <v>2814</v>
      </c>
      <c r="F1002" t="s">
        <v>2815</v>
      </c>
      <c r="G1002" s="180">
        <v>280</v>
      </c>
      <c r="H1002">
        <v>1988</v>
      </c>
      <c r="J1002" s="1334" t="s">
        <v>475</v>
      </c>
      <c r="K1002" s="1335" t="s">
        <v>475</v>
      </c>
      <c r="L1002" s="180">
        <v>0</v>
      </c>
      <c r="M1002" t="s">
        <v>7818</v>
      </c>
      <c r="N1002" t="str">
        <f t="shared" si="62"/>
        <v>ACID RAIN HQ BLDG (2561)</v>
      </c>
      <c r="O1002" t="s">
        <v>52</v>
      </c>
      <c r="P1002" t="str">
        <f t="shared" si="63"/>
        <v>18000_2561</v>
      </c>
      <c r="Q1002" s="180">
        <v>100</v>
      </c>
    </row>
    <row r="1003" spans="1:17">
      <c r="A1003" t="str">
        <f t="shared" si="60"/>
        <v>UGA_2562</v>
      </c>
      <c r="B1003" t="str">
        <f t="shared" si="61"/>
        <v>UGA_FLINCHUMS GAZEBO</v>
      </c>
      <c r="C1003" t="s">
        <v>443</v>
      </c>
      <c r="D1003" s="180" t="s">
        <v>51</v>
      </c>
      <c r="E1003" t="s">
        <v>2118</v>
      </c>
      <c r="F1003" t="s">
        <v>2119</v>
      </c>
      <c r="G1003" s="180">
        <v>1400</v>
      </c>
      <c r="H1003">
        <v>1988</v>
      </c>
      <c r="J1003" s="1334" t="s">
        <v>475</v>
      </c>
      <c r="K1003" s="1335" t="s">
        <v>475</v>
      </c>
      <c r="L1003" s="180">
        <v>0</v>
      </c>
      <c r="M1003" t="s">
        <v>7818</v>
      </c>
      <c r="N1003" t="str">
        <f t="shared" si="62"/>
        <v>FLINCHUMS GAZEBO (2562)</v>
      </c>
      <c r="O1003" t="s">
        <v>52</v>
      </c>
      <c r="P1003" t="str">
        <f t="shared" si="63"/>
        <v>18000_2562</v>
      </c>
      <c r="Q1003" s="180">
        <v>100</v>
      </c>
    </row>
    <row r="1004" spans="1:17">
      <c r="A1004" t="str">
        <f t="shared" si="60"/>
        <v>UGA_2566</v>
      </c>
      <c r="B1004" t="str">
        <f t="shared" si="61"/>
        <v>UGA_RHIZOTRON BLDG FRS</v>
      </c>
      <c r="C1004" t="s">
        <v>443</v>
      </c>
      <c r="D1004" s="180" t="s">
        <v>51</v>
      </c>
      <c r="E1004" t="s">
        <v>2360</v>
      </c>
      <c r="F1004" t="s">
        <v>2361</v>
      </c>
      <c r="G1004" s="180">
        <v>450</v>
      </c>
      <c r="H1004">
        <v>1988</v>
      </c>
      <c r="J1004" s="1334" t="s">
        <v>475</v>
      </c>
      <c r="K1004" s="1335" t="s">
        <v>475</v>
      </c>
      <c r="L1004" s="180">
        <v>0</v>
      </c>
      <c r="M1004" t="s">
        <v>7818</v>
      </c>
      <c r="N1004" t="str">
        <f t="shared" si="62"/>
        <v>RHIZOTRON BLDG FRS (2566)</v>
      </c>
      <c r="O1004" t="s">
        <v>52</v>
      </c>
      <c r="P1004" t="str">
        <f t="shared" si="63"/>
        <v>18000_2566</v>
      </c>
      <c r="Q1004" s="180">
        <v>100</v>
      </c>
    </row>
    <row r="1005" spans="1:17">
      <c r="A1005" t="str">
        <f t="shared" si="60"/>
        <v>UGA_2567</v>
      </c>
      <c r="B1005" t="str">
        <f t="shared" si="61"/>
        <v>UGA_BOAT SHED 2</v>
      </c>
      <c r="C1005" t="s">
        <v>443</v>
      </c>
      <c r="D1005" s="180" t="s">
        <v>51</v>
      </c>
      <c r="E1005" t="s">
        <v>3496</v>
      </c>
      <c r="F1005" t="s">
        <v>3497</v>
      </c>
      <c r="G1005" s="180">
        <v>1056</v>
      </c>
      <c r="H1005">
        <v>1988</v>
      </c>
      <c r="J1005" s="1334" t="s">
        <v>475</v>
      </c>
      <c r="K1005" s="1335" t="s">
        <v>475</v>
      </c>
      <c r="L1005" s="180">
        <v>0</v>
      </c>
      <c r="M1005" t="s">
        <v>7818</v>
      </c>
      <c r="N1005" t="str">
        <f t="shared" si="62"/>
        <v>BOAT SHED 2 (2567)</v>
      </c>
      <c r="O1005" t="s">
        <v>52</v>
      </c>
      <c r="P1005" t="str">
        <f t="shared" si="63"/>
        <v>18000_2567</v>
      </c>
      <c r="Q1005" s="180">
        <v>100</v>
      </c>
    </row>
    <row r="1006" spans="1:17">
      <c r="A1006" t="str">
        <f t="shared" si="60"/>
        <v>UGA_2568</v>
      </c>
      <c r="B1006" t="str">
        <f t="shared" si="61"/>
        <v>UGA_TRACTOR SHED FRS</v>
      </c>
      <c r="C1006" t="s">
        <v>443</v>
      </c>
      <c r="D1006" s="180" t="s">
        <v>51</v>
      </c>
      <c r="E1006" t="s">
        <v>3899</v>
      </c>
      <c r="F1006" t="s">
        <v>3900</v>
      </c>
      <c r="G1006" s="180">
        <v>2304</v>
      </c>
      <c r="H1006">
        <v>1989</v>
      </c>
      <c r="J1006" s="1334" t="s">
        <v>475</v>
      </c>
      <c r="K1006" s="1335" t="s">
        <v>475</v>
      </c>
      <c r="L1006" s="180">
        <v>0</v>
      </c>
      <c r="M1006" t="s">
        <v>7818</v>
      </c>
      <c r="N1006" t="str">
        <f t="shared" si="62"/>
        <v>TRACTOR SHED FRS (2568)</v>
      </c>
      <c r="O1006" t="s">
        <v>52</v>
      </c>
      <c r="P1006" t="str">
        <f t="shared" si="63"/>
        <v>18000_2568</v>
      </c>
      <c r="Q1006" s="180">
        <v>100</v>
      </c>
    </row>
    <row r="1007" spans="1:17">
      <c r="A1007" t="str">
        <f t="shared" si="60"/>
        <v>UGA_2569</v>
      </c>
      <c r="B1007" t="str">
        <f t="shared" si="61"/>
        <v>UGA_POLE SHED FRS</v>
      </c>
      <c r="C1007" t="s">
        <v>443</v>
      </c>
      <c r="D1007" s="180" t="s">
        <v>51</v>
      </c>
      <c r="E1007" t="s">
        <v>4407</v>
      </c>
      <c r="F1007" t="s">
        <v>2572</v>
      </c>
      <c r="G1007" s="180">
        <v>576</v>
      </c>
      <c r="H1007">
        <v>1990</v>
      </c>
      <c r="J1007" s="1334" t="s">
        <v>475</v>
      </c>
      <c r="K1007" s="1335" t="s">
        <v>475</v>
      </c>
      <c r="L1007" s="180">
        <v>0</v>
      </c>
      <c r="M1007" t="s">
        <v>7818</v>
      </c>
      <c r="N1007" t="str">
        <f t="shared" si="62"/>
        <v>POLE SHED FRS (2569)</v>
      </c>
      <c r="O1007" t="s">
        <v>52</v>
      </c>
      <c r="P1007" t="str">
        <f t="shared" si="63"/>
        <v>18000_2569</v>
      </c>
      <c r="Q1007" s="180">
        <v>0</v>
      </c>
    </row>
    <row r="1008" spans="1:17">
      <c r="A1008" t="str">
        <f t="shared" si="60"/>
        <v>UGA_2570</v>
      </c>
      <c r="B1008" t="str">
        <f t="shared" si="61"/>
        <v>UGA_GREENHOUSE C WH</v>
      </c>
      <c r="C1008" t="s">
        <v>443</v>
      </c>
      <c r="D1008" s="180" t="s">
        <v>51</v>
      </c>
      <c r="E1008" t="s">
        <v>3814</v>
      </c>
      <c r="F1008" t="s">
        <v>3815</v>
      </c>
      <c r="G1008" s="180">
        <v>371</v>
      </c>
      <c r="H1008">
        <v>1990</v>
      </c>
      <c r="J1008" s="1334" t="s">
        <v>475</v>
      </c>
      <c r="K1008" s="1335" t="s">
        <v>475</v>
      </c>
      <c r="L1008" s="180">
        <v>0</v>
      </c>
      <c r="M1008" t="s">
        <v>7818</v>
      </c>
      <c r="N1008" t="str">
        <f t="shared" si="62"/>
        <v>GREENHOUSE C WH (2570)</v>
      </c>
      <c r="O1008" t="s">
        <v>52</v>
      </c>
      <c r="P1008" t="str">
        <f t="shared" si="63"/>
        <v>18000_2570</v>
      </c>
      <c r="Q1008" s="180">
        <v>100</v>
      </c>
    </row>
    <row r="1009" spans="1:17">
      <c r="A1009" t="str">
        <f t="shared" si="60"/>
        <v>UGA_2571</v>
      </c>
      <c r="B1009" t="str">
        <f t="shared" si="61"/>
        <v>UGA_GREENHOUSE D WH</v>
      </c>
      <c r="C1009" t="s">
        <v>443</v>
      </c>
      <c r="D1009" s="180" t="s">
        <v>51</v>
      </c>
      <c r="E1009" t="s">
        <v>2202</v>
      </c>
      <c r="F1009" t="s">
        <v>2203</v>
      </c>
      <c r="G1009" s="180">
        <v>371</v>
      </c>
      <c r="H1009">
        <v>1990</v>
      </c>
      <c r="J1009" s="1334" t="s">
        <v>475</v>
      </c>
      <c r="K1009" s="1335" t="s">
        <v>475</v>
      </c>
      <c r="L1009" s="180">
        <v>0</v>
      </c>
      <c r="M1009" t="s">
        <v>7818</v>
      </c>
      <c r="N1009" t="str">
        <f t="shared" si="62"/>
        <v>GREENHOUSE D WH (2571)</v>
      </c>
      <c r="O1009" t="s">
        <v>52</v>
      </c>
      <c r="P1009" t="str">
        <f t="shared" si="63"/>
        <v>18000_2571</v>
      </c>
      <c r="Q1009" s="180">
        <v>100</v>
      </c>
    </row>
    <row r="1010" spans="1:17">
      <c r="A1010" t="str">
        <f t="shared" si="60"/>
        <v>UGA_2572</v>
      </c>
      <c r="B1010" t="str">
        <f t="shared" si="61"/>
        <v>UGA_GREENHOUSE E WH</v>
      </c>
      <c r="C1010" t="s">
        <v>443</v>
      </c>
      <c r="D1010" s="180" t="s">
        <v>51</v>
      </c>
      <c r="E1010" t="s">
        <v>2722</v>
      </c>
      <c r="F1010" t="s">
        <v>2723</v>
      </c>
      <c r="G1010" s="180">
        <v>875</v>
      </c>
      <c r="H1010">
        <v>1990</v>
      </c>
      <c r="J1010" s="1334" t="s">
        <v>475</v>
      </c>
      <c r="K1010" s="1335" t="s">
        <v>475</v>
      </c>
      <c r="L1010" s="180">
        <v>0</v>
      </c>
      <c r="M1010" t="s">
        <v>7818</v>
      </c>
      <c r="N1010" t="str">
        <f t="shared" si="62"/>
        <v>GREENHOUSE E WH (2572)</v>
      </c>
      <c r="O1010" t="s">
        <v>52</v>
      </c>
      <c r="P1010" t="str">
        <f t="shared" si="63"/>
        <v>18000_2572</v>
      </c>
      <c r="Q1010" s="180">
        <v>100</v>
      </c>
    </row>
    <row r="1011" spans="1:17">
      <c r="A1011" t="str">
        <f t="shared" si="60"/>
        <v>UGA_2573</v>
      </c>
      <c r="B1011" t="str">
        <f t="shared" si="61"/>
        <v>UGA_CABIN NO 4</v>
      </c>
      <c r="C1011" t="s">
        <v>443</v>
      </c>
      <c r="D1011" s="180" t="s">
        <v>51</v>
      </c>
      <c r="E1011" t="s">
        <v>2573</v>
      </c>
      <c r="F1011" t="s">
        <v>2574</v>
      </c>
      <c r="G1011" s="180">
        <v>1932</v>
      </c>
      <c r="H1011">
        <v>1990</v>
      </c>
      <c r="J1011" s="1334" t="s">
        <v>475</v>
      </c>
      <c r="K1011" s="1335" t="s">
        <v>475</v>
      </c>
      <c r="L1011" s="180">
        <v>0</v>
      </c>
      <c r="M1011" t="s">
        <v>7818</v>
      </c>
      <c r="N1011" t="str">
        <f t="shared" si="62"/>
        <v>CABIN NO 4 (2573)</v>
      </c>
      <c r="O1011" t="s">
        <v>52</v>
      </c>
      <c r="P1011" t="str">
        <f t="shared" si="63"/>
        <v>18000_2573</v>
      </c>
      <c r="Q1011" s="180">
        <v>100</v>
      </c>
    </row>
    <row r="1012" spans="1:17">
      <c r="A1012" t="str">
        <f t="shared" si="60"/>
        <v>UGA_2574</v>
      </c>
      <c r="B1012" t="str">
        <f t="shared" si="61"/>
        <v>UGA_STRG BLDG FRS</v>
      </c>
      <c r="C1012" t="s">
        <v>443</v>
      </c>
      <c r="D1012" s="180" t="s">
        <v>51</v>
      </c>
      <c r="E1012" t="s">
        <v>2204</v>
      </c>
      <c r="F1012" t="s">
        <v>2205</v>
      </c>
      <c r="G1012" s="180">
        <v>3260</v>
      </c>
      <c r="H1012">
        <v>1990</v>
      </c>
      <c r="J1012" s="1334" t="s">
        <v>475</v>
      </c>
      <c r="K1012" s="1335" t="s">
        <v>475</v>
      </c>
      <c r="L1012" s="180">
        <v>0</v>
      </c>
      <c r="M1012" t="s">
        <v>7818</v>
      </c>
      <c r="N1012" t="str">
        <f t="shared" si="62"/>
        <v>STRG BLDG FRS (2574)</v>
      </c>
      <c r="O1012" t="s">
        <v>52</v>
      </c>
      <c r="P1012" t="str">
        <f t="shared" si="63"/>
        <v>18000_2574</v>
      </c>
      <c r="Q1012" s="180">
        <v>81</v>
      </c>
    </row>
    <row r="1013" spans="1:17">
      <c r="A1013" t="str">
        <f t="shared" si="60"/>
        <v>UGA_2575</v>
      </c>
      <c r="B1013" t="str">
        <f t="shared" si="61"/>
        <v>UGA_PUMP HOUSE 6 FRS</v>
      </c>
      <c r="C1013" t="s">
        <v>443</v>
      </c>
      <c r="D1013" s="180" t="s">
        <v>51</v>
      </c>
      <c r="E1013" t="s">
        <v>4285</v>
      </c>
      <c r="F1013" t="s">
        <v>4286</v>
      </c>
      <c r="G1013" s="180">
        <v>12</v>
      </c>
      <c r="H1013">
        <v>1978</v>
      </c>
      <c r="J1013" s="1334" t="s">
        <v>475</v>
      </c>
      <c r="K1013" s="1335" t="s">
        <v>475</v>
      </c>
      <c r="L1013" s="180">
        <v>0</v>
      </c>
      <c r="M1013" t="s">
        <v>7818</v>
      </c>
      <c r="N1013" t="str">
        <f t="shared" si="62"/>
        <v>PUMP HOUSE 6 FRS (2575)</v>
      </c>
      <c r="O1013" t="s">
        <v>52</v>
      </c>
      <c r="P1013" t="str">
        <f t="shared" si="63"/>
        <v>18000_2575</v>
      </c>
      <c r="Q1013" s="180">
        <v>91</v>
      </c>
    </row>
    <row r="1014" spans="1:17">
      <c r="A1014" t="str">
        <f t="shared" si="60"/>
        <v>UGA_2576</v>
      </c>
      <c r="B1014" t="str">
        <f t="shared" si="61"/>
        <v>UGA_TANK HOUSE</v>
      </c>
      <c r="C1014" t="s">
        <v>443</v>
      </c>
      <c r="D1014" s="180" t="s">
        <v>51</v>
      </c>
      <c r="E1014" t="s">
        <v>3295</v>
      </c>
      <c r="F1014" t="s">
        <v>3296</v>
      </c>
      <c r="G1014" s="180">
        <v>196</v>
      </c>
      <c r="H1014">
        <v>1991</v>
      </c>
      <c r="J1014" s="1334" t="s">
        <v>475</v>
      </c>
      <c r="K1014" s="1335" t="s">
        <v>475</v>
      </c>
      <c r="L1014" s="180">
        <v>0</v>
      </c>
      <c r="M1014" t="s">
        <v>7818</v>
      </c>
      <c r="N1014" t="str">
        <f t="shared" si="62"/>
        <v>TANK HOUSE (2576)</v>
      </c>
      <c r="O1014" t="s">
        <v>52</v>
      </c>
      <c r="P1014" t="str">
        <f t="shared" si="63"/>
        <v>18000_2576</v>
      </c>
      <c r="Q1014" s="180">
        <v>100</v>
      </c>
    </row>
    <row r="1015" spans="1:17">
      <c r="A1015" t="str">
        <f t="shared" si="60"/>
        <v>UGA_2577</v>
      </c>
      <c r="B1015" t="str">
        <f t="shared" si="61"/>
        <v>UGA_FRS FISH WLIFE STG</v>
      </c>
      <c r="C1015" t="s">
        <v>443</v>
      </c>
      <c r="D1015" s="180" t="s">
        <v>51</v>
      </c>
      <c r="E1015" t="s">
        <v>2764</v>
      </c>
      <c r="F1015" t="s">
        <v>2765</v>
      </c>
      <c r="G1015" s="180">
        <v>288</v>
      </c>
      <c r="H1015">
        <v>1997</v>
      </c>
      <c r="J1015" s="1334" t="s">
        <v>475</v>
      </c>
      <c r="K1015" s="1335" t="s">
        <v>475</v>
      </c>
      <c r="L1015" s="180">
        <v>0</v>
      </c>
      <c r="M1015" t="s">
        <v>7818</v>
      </c>
      <c r="N1015" t="str">
        <f t="shared" si="62"/>
        <v>FRS FISH WLIFE STG (2577)</v>
      </c>
      <c r="O1015" t="s">
        <v>52</v>
      </c>
      <c r="P1015" t="str">
        <f t="shared" si="63"/>
        <v>18000_2577</v>
      </c>
      <c r="Q1015" s="180">
        <v>100</v>
      </c>
    </row>
    <row r="1016" spans="1:17">
      <c r="A1016" t="str">
        <f t="shared" si="60"/>
        <v>UGA_2578</v>
      </c>
      <c r="B1016" t="str">
        <f t="shared" si="61"/>
        <v>UGA_METAL STOR BLDG 2</v>
      </c>
      <c r="C1016" t="s">
        <v>443</v>
      </c>
      <c r="D1016" s="180" t="s">
        <v>51</v>
      </c>
      <c r="E1016" t="s">
        <v>3526</v>
      </c>
      <c r="F1016" t="s">
        <v>3527</v>
      </c>
      <c r="G1016" s="180">
        <v>1500</v>
      </c>
      <c r="H1016">
        <v>1997</v>
      </c>
      <c r="J1016" s="1334" t="s">
        <v>475</v>
      </c>
      <c r="K1016" s="1335" t="s">
        <v>475</v>
      </c>
      <c r="L1016" s="180">
        <v>0</v>
      </c>
      <c r="M1016" t="s">
        <v>7818</v>
      </c>
      <c r="N1016" t="str">
        <f t="shared" si="62"/>
        <v>METAL STOR BLDG 2 (2578)</v>
      </c>
      <c r="O1016" t="s">
        <v>52</v>
      </c>
      <c r="P1016" t="str">
        <f t="shared" si="63"/>
        <v>18000_2578</v>
      </c>
      <c r="Q1016" s="180">
        <v>100</v>
      </c>
    </row>
    <row r="1017" spans="1:17">
      <c r="A1017" t="str">
        <f t="shared" si="60"/>
        <v>UGA_2580</v>
      </c>
      <c r="B1017" t="str">
        <f t="shared" si="61"/>
        <v>UGA_A B E L</v>
      </c>
      <c r="C1017" t="s">
        <v>443</v>
      </c>
      <c r="D1017" s="180" t="s">
        <v>51</v>
      </c>
      <c r="E1017" t="s">
        <v>1798</v>
      </c>
      <c r="F1017" t="s">
        <v>1799</v>
      </c>
      <c r="G1017" s="180">
        <v>8966</v>
      </c>
      <c r="H1017">
        <v>2001</v>
      </c>
      <c r="J1017" s="1334" t="s">
        <v>475</v>
      </c>
      <c r="K1017" s="1335" t="s">
        <v>475</v>
      </c>
      <c r="L1017" s="180">
        <v>100</v>
      </c>
      <c r="M1017" t="s">
        <v>7818</v>
      </c>
      <c r="N1017" t="str">
        <f t="shared" si="62"/>
        <v>A B E L (2580)</v>
      </c>
      <c r="O1017" t="s">
        <v>52</v>
      </c>
      <c r="P1017" t="str">
        <f t="shared" si="63"/>
        <v>18000_2580</v>
      </c>
      <c r="Q1017" s="180">
        <v>100</v>
      </c>
    </row>
    <row r="1018" spans="1:17">
      <c r="A1018" t="str">
        <f t="shared" si="60"/>
        <v>UGA_2582</v>
      </c>
      <c r="B1018" t="str">
        <f t="shared" si="61"/>
        <v>UGA_ABEL GREENHOUSE</v>
      </c>
      <c r="C1018" t="s">
        <v>443</v>
      </c>
      <c r="D1018" s="180" t="s">
        <v>51</v>
      </c>
      <c r="E1018" t="s">
        <v>2087</v>
      </c>
      <c r="F1018" t="s">
        <v>2088</v>
      </c>
      <c r="G1018" s="180">
        <v>480</v>
      </c>
      <c r="H1018">
        <v>2015</v>
      </c>
      <c r="J1018" s="1334" t="s">
        <v>475</v>
      </c>
      <c r="K1018" s="1335" t="s">
        <v>475</v>
      </c>
      <c r="L1018" s="180">
        <v>100</v>
      </c>
      <c r="M1018" t="s">
        <v>7818</v>
      </c>
      <c r="N1018" t="str">
        <f t="shared" si="62"/>
        <v>ABEL GREENHOUSE (2582)</v>
      </c>
      <c r="O1018" t="s">
        <v>52</v>
      </c>
      <c r="P1018" t="str">
        <f t="shared" si="63"/>
        <v>18000_2582</v>
      </c>
      <c r="Q1018" s="180">
        <v>100</v>
      </c>
    </row>
    <row r="1019" spans="1:17">
      <c r="A1019" t="str">
        <f t="shared" si="60"/>
        <v>UGA_2585</v>
      </c>
      <c r="B1019" t="str">
        <f t="shared" si="61"/>
        <v>UGA_WHITEHALL OFF COMPLEX</v>
      </c>
      <c r="C1019" t="s">
        <v>443</v>
      </c>
      <c r="D1019" s="180" t="s">
        <v>51</v>
      </c>
      <c r="E1019" t="s">
        <v>3854</v>
      </c>
      <c r="F1019" t="s">
        <v>3855</v>
      </c>
      <c r="G1019" s="180">
        <v>10002</v>
      </c>
      <c r="H1019">
        <v>2013</v>
      </c>
      <c r="J1019" s="1334" t="s">
        <v>475</v>
      </c>
      <c r="K1019" s="1335" t="s">
        <v>475</v>
      </c>
      <c r="L1019" s="180">
        <v>0</v>
      </c>
      <c r="M1019" t="s">
        <v>7818</v>
      </c>
      <c r="N1019" t="str">
        <f t="shared" si="62"/>
        <v>WHITEHALL OFF COMPLEX (2585)</v>
      </c>
      <c r="O1019" t="s">
        <v>52</v>
      </c>
      <c r="P1019" t="str">
        <f t="shared" si="63"/>
        <v>18000_2585</v>
      </c>
      <c r="Q1019" s="180">
        <v>93</v>
      </c>
    </row>
    <row r="1020" spans="1:17">
      <c r="A1020" t="str">
        <f t="shared" si="60"/>
        <v>UGA_2586</v>
      </c>
      <c r="B1020" t="str">
        <f t="shared" si="61"/>
        <v>UGA_WHITEHALL EQ SHLTR</v>
      </c>
      <c r="C1020" t="s">
        <v>443</v>
      </c>
      <c r="D1020" s="180" t="s">
        <v>51</v>
      </c>
      <c r="E1020" t="s">
        <v>4006</v>
      </c>
      <c r="F1020" t="s">
        <v>4007</v>
      </c>
      <c r="G1020" s="180">
        <v>256</v>
      </c>
      <c r="H1020">
        <v>2017</v>
      </c>
      <c r="J1020" s="1334" t="s">
        <v>475</v>
      </c>
      <c r="K1020" s="1335" t="s">
        <v>475</v>
      </c>
      <c r="L1020" s="180">
        <v>0</v>
      </c>
      <c r="M1020" t="s">
        <v>7818</v>
      </c>
      <c r="N1020" t="str">
        <f t="shared" si="62"/>
        <v>WHITEHALL EQ SHLTR (2586)</v>
      </c>
      <c r="O1020" t="s">
        <v>52</v>
      </c>
      <c r="P1020" t="str">
        <f t="shared" si="63"/>
        <v>18000_2586</v>
      </c>
      <c r="Q1020" s="180">
        <v>100</v>
      </c>
    </row>
    <row r="1021" spans="1:17">
      <c r="A1021" t="str">
        <f t="shared" si="60"/>
        <v>UGA_2600</v>
      </c>
      <c r="B1021" t="str">
        <f t="shared" si="61"/>
        <v>UGA_THOMAS ST., SOUTH</v>
      </c>
      <c r="C1021" t="s">
        <v>443</v>
      </c>
      <c r="D1021" s="180" t="s">
        <v>51</v>
      </c>
      <c r="E1021" t="s">
        <v>4408</v>
      </c>
      <c r="F1021" t="s">
        <v>4409</v>
      </c>
      <c r="G1021" s="180">
        <v>10779</v>
      </c>
      <c r="H1021">
        <v>1890</v>
      </c>
      <c r="J1021" s="1334" t="s">
        <v>475</v>
      </c>
      <c r="K1021" s="1335" t="s">
        <v>475</v>
      </c>
      <c r="L1021" s="180">
        <v>100</v>
      </c>
      <c r="M1021" t="s">
        <v>7818</v>
      </c>
      <c r="N1021" t="str">
        <f t="shared" si="62"/>
        <v>THOMAS ST., SOUTH (2600)</v>
      </c>
      <c r="O1021" t="s">
        <v>52</v>
      </c>
      <c r="P1021" t="str">
        <f t="shared" si="63"/>
        <v>18000_2600</v>
      </c>
      <c r="Q1021" s="180">
        <v>100</v>
      </c>
    </row>
    <row r="1022" spans="1:17">
      <c r="A1022" t="str">
        <f t="shared" si="60"/>
        <v>UGA_2604</v>
      </c>
      <c r="B1022" t="str">
        <f t="shared" si="61"/>
        <v>UGA_LEGION POOL</v>
      </c>
      <c r="C1022" t="s">
        <v>443</v>
      </c>
      <c r="D1022" s="180" t="s">
        <v>51</v>
      </c>
      <c r="E1022" t="s">
        <v>2177</v>
      </c>
      <c r="F1022" t="s">
        <v>2178</v>
      </c>
      <c r="G1022" s="180">
        <v>11250</v>
      </c>
      <c r="H1022">
        <v>1936</v>
      </c>
      <c r="J1022" s="1334" t="s">
        <v>475</v>
      </c>
      <c r="K1022" s="1335" t="s">
        <v>481</v>
      </c>
      <c r="L1022" s="180">
        <v>100</v>
      </c>
      <c r="M1022" t="s">
        <v>7818</v>
      </c>
      <c r="N1022" t="str">
        <f t="shared" si="62"/>
        <v>LEGION POOL (2604)</v>
      </c>
      <c r="O1022" t="s">
        <v>52</v>
      </c>
      <c r="P1022" t="str">
        <f t="shared" si="63"/>
        <v>18000_2604</v>
      </c>
      <c r="Q1022" s="180">
        <v>100</v>
      </c>
    </row>
    <row r="1023" spans="1:17">
      <c r="A1023" t="str">
        <f t="shared" si="60"/>
        <v>UGA_2605</v>
      </c>
      <c r="B1023" t="str">
        <f t="shared" si="61"/>
        <v>UGA_LEGION POOL SRVC-1</v>
      </c>
      <c r="C1023" t="s">
        <v>443</v>
      </c>
      <c r="D1023" s="180" t="s">
        <v>51</v>
      </c>
      <c r="E1023" t="s">
        <v>1592</v>
      </c>
      <c r="F1023" t="s">
        <v>1593</v>
      </c>
      <c r="G1023" s="180">
        <v>9751</v>
      </c>
      <c r="H1023">
        <v>1936</v>
      </c>
      <c r="J1023" s="1334" t="s">
        <v>475</v>
      </c>
      <c r="K1023" s="1335" t="s">
        <v>481</v>
      </c>
      <c r="L1023" s="180">
        <v>100</v>
      </c>
      <c r="M1023" t="s">
        <v>7818</v>
      </c>
      <c r="N1023" t="str">
        <f t="shared" si="62"/>
        <v>LEGION POOL SRVC-1 (2605)</v>
      </c>
      <c r="O1023" t="s">
        <v>52</v>
      </c>
      <c r="P1023" t="str">
        <f t="shared" si="63"/>
        <v>18000_2605</v>
      </c>
      <c r="Q1023" s="180">
        <v>100</v>
      </c>
    </row>
    <row r="1024" spans="1:17">
      <c r="A1024" t="str">
        <f t="shared" si="60"/>
        <v>UGA_2606</v>
      </c>
      <c r="B1024" t="str">
        <f t="shared" si="61"/>
        <v>UGA_THOMAS ST STUDIO</v>
      </c>
      <c r="C1024" t="s">
        <v>443</v>
      </c>
      <c r="D1024" s="180" t="s">
        <v>51</v>
      </c>
      <c r="E1024" t="s">
        <v>3110</v>
      </c>
      <c r="F1024" t="s">
        <v>3111</v>
      </c>
      <c r="G1024" s="180">
        <v>6996</v>
      </c>
      <c r="H1024">
        <v>1976</v>
      </c>
      <c r="J1024" s="1334" t="s">
        <v>475</v>
      </c>
      <c r="K1024" s="1335" t="s">
        <v>481</v>
      </c>
      <c r="L1024" s="180">
        <v>100</v>
      </c>
      <c r="M1024" t="s">
        <v>7818</v>
      </c>
      <c r="N1024" t="str">
        <f t="shared" si="62"/>
        <v>THOMAS ST STUDIO (2606)</v>
      </c>
      <c r="O1024" t="s">
        <v>52</v>
      </c>
      <c r="P1024" t="str">
        <f t="shared" si="63"/>
        <v>18000_2606</v>
      </c>
      <c r="Q1024" s="180">
        <v>0</v>
      </c>
    </row>
    <row r="1025" spans="1:17">
      <c r="A1025" t="str">
        <f t="shared" si="60"/>
        <v>UGA_2615</v>
      </c>
      <c r="B1025" t="str">
        <f t="shared" si="61"/>
        <v>UGA_PRACTICE FIELD SHD</v>
      </c>
      <c r="C1025" t="s">
        <v>443</v>
      </c>
      <c r="D1025" s="180" t="s">
        <v>51</v>
      </c>
      <c r="E1025" t="s">
        <v>2412</v>
      </c>
      <c r="F1025" t="s">
        <v>2413</v>
      </c>
      <c r="G1025" s="180">
        <v>851</v>
      </c>
      <c r="H1025">
        <v>1958</v>
      </c>
      <c r="J1025" s="1334" t="s">
        <v>475</v>
      </c>
      <c r="K1025" s="1335" t="s">
        <v>475</v>
      </c>
      <c r="L1025" s="180">
        <v>0</v>
      </c>
      <c r="M1025" t="s">
        <v>7818</v>
      </c>
      <c r="N1025" t="str">
        <f t="shared" si="62"/>
        <v>PRACTICE FIELD SHD (2615)</v>
      </c>
      <c r="O1025" t="s">
        <v>52</v>
      </c>
      <c r="P1025" t="str">
        <f t="shared" si="63"/>
        <v>18000_2615</v>
      </c>
      <c r="Q1025" s="180">
        <v>0</v>
      </c>
    </row>
    <row r="1026" spans="1:17">
      <c r="A1026" t="str">
        <f t="shared" si="60"/>
        <v>UGA_2617</v>
      </c>
      <c r="B1026" t="str">
        <f t="shared" si="61"/>
        <v>UGA_LUCY COBB CHAPEL</v>
      </c>
      <c r="C1026" t="s">
        <v>443</v>
      </c>
      <c r="D1026" s="180" t="s">
        <v>51</v>
      </c>
      <c r="E1026" t="s">
        <v>3269</v>
      </c>
      <c r="F1026" t="s">
        <v>3270</v>
      </c>
      <c r="G1026" s="180">
        <v>10702</v>
      </c>
      <c r="H1026">
        <v>1882</v>
      </c>
      <c r="J1026" s="1334" t="s">
        <v>475</v>
      </c>
      <c r="K1026" s="1335" t="s">
        <v>475</v>
      </c>
      <c r="L1026" s="180">
        <v>100</v>
      </c>
      <c r="M1026" t="s">
        <v>7818</v>
      </c>
      <c r="N1026" t="str">
        <f t="shared" si="62"/>
        <v>LUCY COBB CHAPEL (2617)</v>
      </c>
      <c r="O1026" t="s">
        <v>52</v>
      </c>
      <c r="P1026" t="str">
        <f t="shared" si="63"/>
        <v>18000_2617</v>
      </c>
      <c r="Q1026" s="180">
        <v>0</v>
      </c>
    </row>
    <row r="1027" spans="1:17">
      <c r="A1027" t="str">
        <f t="shared" ref="A1027:A1090" si="64">_xlfn.CONCAT(D1027,"_",E1027)</f>
        <v>UGA_2620</v>
      </c>
      <c r="B1027" t="str">
        <f t="shared" ref="B1027:B1090" si="65">_xlfn.CONCAT(D1027,"_",F1027)</f>
        <v>UGA_SOIL TESTING LAB</v>
      </c>
      <c r="C1027" t="s">
        <v>443</v>
      </c>
      <c r="D1027" s="180" t="s">
        <v>51</v>
      </c>
      <c r="E1027" t="s">
        <v>3297</v>
      </c>
      <c r="F1027" t="s">
        <v>3298</v>
      </c>
      <c r="G1027" s="180">
        <v>11586</v>
      </c>
      <c r="H1027">
        <v>1970</v>
      </c>
      <c r="J1027" s="1334" t="s">
        <v>475</v>
      </c>
      <c r="K1027" s="1335" t="s">
        <v>475</v>
      </c>
      <c r="L1027" s="180">
        <v>0</v>
      </c>
      <c r="M1027" t="s">
        <v>7818</v>
      </c>
      <c r="N1027" t="str">
        <f t="shared" ref="N1027:N1090" si="66">_xlfn.CONCAT(F1027," (",E1027,")")</f>
        <v>SOIL TESTING LAB (2620)</v>
      </c>
      <c r="O1027" t="s">
        <v>52</v>
      </c>
      <c r="P1027" t="str">
        <f t="shared" ref="P1027:P1090" si="67">_xlfn.CONCAT(C1027,"_",E1027)</f>
        <v>18000_2620</v>
      </c>
      <c r="Q1027" s="180">
        <v>100</v>
      </c>
    </row>
    <row r="1028" spans="1:17">
      <c r="A1028" t="str">
        <f t="shared" si="64"/>
        <v>UGA_2622</v>
      </c>
      <c r="B1028" t="str">
        <f t="shared" si="65"/>
        <v>UGA_HENRY FIELD TEN ST</v>
      </c>
      <c r="C1028" t="s">
        <v>443</v>
      </c>
      <c r="D1028" s="180" t="s">
        <v>51</v>
      </c>
      <c r="E1028" t="s">
        <v>1639</v>
      </c>
      <c r="F1028" t="s">
        <v>1640</v>
      </c>
      <c r="G1028" s="180">
        <v>14199</v>
      </c>
      <c r="H1028">
        <v>1958</v>
      </c>
      <c r="J1028" s="1334" t="s">
        <v>475</v>
      </c>
      <c r="K1028" s="1335" t="s">
        <v>1520</v>
      </c>
      <c r="L1028" s="180">
        <v>0</v>
      </c>
      <c r="M1028" t="s">
        <v>7818</v>
      </c>
      <c r="N1028" t="str">
        <f t="shared" si="66"/>
        <v>HENRY FIELD TEN ST (2622)</v>
      </c>
      <c r="O1028" t="s">
        <v>52</v>
      </c>
      <c r="P1028" t="str">
        <f t="shared" si="67"/>
        <v>18000_2622</v>
      </c>
      <c r="Q1028" s="180">
        <v>100</v>
      </c>
    </row>
    <row r="1029" spans="1:17">
      <c r="A1029" t="str">
        <f t="shared" si="64"/>
        <v>UGA_2623</v>
      </c>
      <c r="B1029" t="str">
        <f t="shared" si="65"/>
        <v>UGA_LINDSEY HOPKINS IN</v>
      </c>
      <c r="C1029" t="s">
        <v>443</v>
      </c>
      <c r="D1029" s="180" t="s">
        <v>51</v>
      </c>
      <c r="E1029" t="s">
        <v>3618</v>
      </c>
      <c r="F1029" t="s">
        <v>3619</v>
      </c>
      <c r="G1029" s="180">
        <v>62406</v>
      </c>
      <c r="H1029">
        <v>1979</v>
      </c>
      <c r="J1029" s="1334" t="s">
        <v>475</v>
      </c>
      <c r="K1029" s="1335" t="s">
        <v>475</v>
      </c>
      <c r="L1029" s="180">
        <v>0</v>
      </c>
      <c r="M1029" t="s">
        <v>7818</v>
      </c>
      <c r="N1029" t="str">
        <f t="shared" si="66"/>
        <v>LINDSEY HOPKINS IN (2623)</v>
      </c>
      <c r="O1029" t="s">
        <v>52</v>
      </c>
      <c r="P1029" t="str">
        <f t="shared" si="67"/>
        <v>18000_2623</v>
      </c>
      <c r="Q1029" s="180">
        <v>90</v>
      </c>
    </row>
    <row r="1030" spans="1:17">
      <c r="A1030" t="str">
        <f t="shared" si="64"/>
        <v>UGA_2627</v>
      </c>
      <c r="B1030" t="str">
        <f t="shared" si="65"/>
        <v>UGA_LMPKN ST 1242 1/2S</v>
      </c>
      <c r="C1030" t="s">
        <v>443</v>
      </c>
      <c r="D1030" s="180" t="s">
        <v>51</v>
      </c>
      <c r="E1030" t="s">
        <v>1920</v>
      </c>
      <c r="F1030" t="s">
        <v>1921</v>
      </c>
      <c r="G1030" s="180">
        <v>4399</v>
      </c>
      <c r="H1030">
        <v>1965</v>
      </c>
      <c r="J1030" s="1334" t="s">
        <v>475</v>
      </c>
      <c r="K1030" s="1335" t="s">
        <v>481</v>
      </c>
      <c r="L1030" s="180">
        <v>100</v>
      </c>
      <c r="M1030" t="s">
        <v>7818</v>
      </c>
      <c r="N1030" t="str">
        <f t="shared" si="66"/>
        <v>LMPKN ST 1242 1/2S (2627)</v>
      </c>
      <c r="O1030" t="s">
        <v>52</v>
      </c>
      <c r="P1030" t="str">
        <f t="shared" si="67"/>
        <v>18000_2627</v>
      </c>
      <c r="Q1030" s="180">
        <v>100</v>
      </c>
    </row>
    <row r="1031" spans="1:17">
      <c r="A1031" t="str">
        <f t="shared" si="64"/>
        <v>UGA_2630</v>
      </c>
      <c r="B1031" t="str">
        <f t="shared" si="65"/>
        <v>UGA_RIVER'S CROSS # 2</v>
      </c>
      <c r="C1031" t="s">
        <v>443</v>
      </c>
      <c r="D1031" s="180" t="s">
        <v>51</v>
      </c>
      <c r="E1031" t="s">
        <v>3112</v>
      </c>
      <c r="F1031" t="s">
        <v>3113</v>
      </c>
      <c r="G1031" s="180">
        <v>4465</v>
      </c>
      <c r="H1031">
        <v>1973</v>
      </c>
      <c r="J1031" s="1334" t="s">
        <v>475</v>
      </c>
      <c r="K1031" s="1335" t="s">
        <v>475</v>
      </c>
      <c r="L1031" s="180">
        <v>100</v>
      </c>
      <c r="M1031" t="s">
        <v>7818</v>
      </c>
      <c r="N1031" t="str">
        <f t="shared" si="66"/>
        <v>RIVER'S CROSS # 2 (2630)</v>
      </c>
      <c r="O1031" t="s">
        <v>52</v>
      </c>
      <c r="P1031" t="str">
        <f t="shared" si="67"/>
        <v>18000_2630</v>
      </c>
      <c r="Q1031" s="180">
        <v>0</v>
      </c>
    </row>
    <row r="1032" spans="1:17">
      <c r="A1032" t="str">
        <f t="shared" si="64"/>
        <v>UGA_2632</v>
      </c>
      <c r="B1032" t="str">
        <f t="shared" si="65"/>
        <v>UGA_INTRAMURAL FLD RR</v>
      </c>
      <c r="C1032" t="s">
        <v>443</v>
      </c>
      <c r="D1032" s="180" t="s">
        <v>51</v>
      </c>
      <c r="E1032" t="s">
        <v>4287</v>
      </c>
      <c r="F1032" t="s">
        <v>4288</v>
      </c>
      <c r="G1032" s="180">
        <v>653</v>
      </c>
      <c r="H1032">
        <v>1977</v>
      </c>
      <c r="J1032" s="1334" t="s">
        <v>475</v>
      </c>
      <c r="K1032" s="1335" t="s">
        <v>475</v>
      </c>
      <c r="L1032" s="180">
        <v>100</v>
      </c>
      <c r="M1032" t="s">
        <v>7818</v>
      </c>
      <c r="N1032" t="str">
        <f t="shared" si="66"/>
        <v>INTRAMURAL FLD RR (2632)</v>
      </c>
      <c r="O1032" t="s">
        <v>52</v>
      </c>
      <c r="P1032" t="str">
        <f t="shared" si="67"/>
        <v>18000_2632</v>
      </c>
      <c r="Q1032" s="180">
        <v>87</v>
      </c>
    </row>
    <row r="1033" spans="1:17">
      <c r="A1033" t="str">
        <f t="shared" si="64"/>
        <v>UGA_2633</v>
      </c>
      <c r="B1033" t="str">
        <f t="shared" si="65"/>
        <v>UGA_TENNIS CT REST RM</v>
      </c>
      <c r="C1033" t="s">
        <v>443</v>
      </c>
      <c r="D1033" s="180" t="s">
        <v>51</v>
      </c>
      <c r="E1033" t="s">
        <v>4410</v>
      </c>
      <c r="F1033" t="s">
        <v>4411</v>
      </c>
      <c r="G1033" s="180">
        <v>1066</v>
      </c>
      <c r="H1033">
        <v>1977</v>
      </c>
      <c r="J1033" s="1334" t="s">
        <v>475</v>
      </c>
      <c r="K1033" s="1335" t="s">
        <v>475</v>
      </c>
      <c r="L1033" s="180">
        <v>0</v>
      </c>
      <c r="M1033" t="s">
        <v>7818</v>
      </c>
      <c r="N1033" t="str">
        <f t="shared" si="66"/>
        <v>TENNIS CT REST RM (2633)</v>
      </c>
      <c r="O1033" t="s">
        <v>52</v>
      </c>
      <c r="P1033" t="str">
        <f t="shared" si="67"/>
        <v>18000_2633</v>
      </c>
      <c r="Q1033" s="180">
        <v>0</v>
      </c>
    </row>
    <row r="1034" spans="1:17">
      <c r="A1034" t="str">
        <f t="shared" si="64"/>
        <v>UGA_2634</v>
      </c>
      <c r="B1034" t="str">
        <f t="shared" si="65"/>
        <v>UGA_INTRMURL EQPMT SHD</v>
      </c>
      <c r="C1034" t="s">
        <v>443</v>
      </c>
      <c r="D1034" s="180" t="s">
        <v>51</v>
      </c>
      <c r="E1034" t="s">
        <v>3680</v>
      </c>
      <c r="F1034" t="s">
        <v>3681</v>
      </c>
      <c r="G1034" s="180">
        <v>2400</v>
      </c>
      <c r="H1034">
        <v>1977</v>
      </c>
      <c r="J1034" s="1334" t="s">
        <v>475</v>
      </c>
      <c r="K1034" s="1335" t="s">
        <v>475</v>
      </c>
      <c r="L1034" s="180">
        <v>100</v>
      </c>
      <c r="M1034" t="s">
        <v>7818</v>
      </c>
      <c r="N1034" t="str">
        <f t="shared" si="66"/>
        <v>INTRMURL EQPMT SHD (2634)</v>
      </c>
      <c r="O1034" t="s">
        <v>52</v>
      </c>
      <c r="P1034" t="str">
        <f t="shared" si="67"/>
        <v>18000_2634</v>
      </c>
      <c r="Q1034" s="180">
        <v>60</v>
      </c>
    </row>
    <row r="1035" spans="1:17">
      <c r="A1035" t="str">
        <f t="shared" si="64"/>
        <v>UGA_2635</v>
      </c>
      <c r="B1035" t="str">
        <f t="shared" si="65"/>
        <v>UGA_LUMPKIN ST 1260 S</v>
      </c>
      <c r="C1035" t="s">
        <v>443</v>
      </c>
      <c r="D1035" s="180" t="s">
        <v>51</v>
      </c>
      <c r="E1035" t="s">
        <v>3682</v>
      </c>
      <c r="F1035" t="s">
        <v>3683</v>
      </c>
      <c r="G1035" s="180">
        <v>4716</v>
      </c>
      <c r="H1035">
        <v>1952</v>
      </c>
      <c r="J1035" s="1334" t="s">
        <v>475</v>
      </c>
      <c r="K1035" s="1335" t="s">
        <v>481</v>
      </c>
      <c r="L1035" s="180">
        <v>100</v>
      </c>
      <c r="M1035" t="s">
        <v>7818</v>
      </c>
      <c r="N1035" t="str">
        <f t="shared" si="66"/>
        <v>LUMPKIN ST 1260 S (2635)</v>
      </c>
      <c r="O1035" t="s">
        <v>52</v>
      </c>
      <c r="P1035" t="str">
        <f t="shared" si="67"/>
        <v>18000_2635</v>
      </c>
      <c r="Q1035" s="180">
        <v>100</v>
      </c>
    </row>
    <row r="1036" spans="1:17">
      <c r="A1036" t="str">
        <f t="shared" si="64"/>
        <v>UGA_2636</v>
      </c>
      <c r="B1036" t="str">
        <f t="shared" si="65"/>
        <v>UGA_LUMPKIN ST 1280 S</v>
      </c>
      <c r="C1036" t="s">
        <v>443</v>
      </c>
      <c r="D1036" s="180" t="s">
        <v>51</v>
      </c>
      <c r="E1036" t="s">
        <v>3783</v>
      </c>
      <c r="F1036" t="s">
        <v>3784</v>
      </c>
      <c r="G1036" s="180">
        <v>2117</v>
      </c>
      <c r="H1036">
        <v>1952</v>
      </c>
      <c r="J1036" s="1334" t="s">
        <v>475</v>
      </c>
      <c r="K1036" s="1335" t="s">
        <v>481</v>
      </c>
      <c r="L1036" s="180">
        <v>100</v>
      </c>
      <c r="M1036" t="s">
        <v>7818</v>
      </c>
      <c r="N1036" t="str">
        <f t="shared" si="66"/>
        <v>LUMPKIN ST 1280 S (2636)</v>
      </c>
      <c r="O1036" t="s">
        <v>52</v>
      </c>
      <c r="P1036" t="str">
        <f t="shared" si="67"/>
        <v>18000_2636</v>
      </c>
      <c r="Q1036" s="180">
        <v>100</v>
      </c>
    </row>
    <row r="1037" spans="1:17">
      <c r="A1037" t="str">
        <f t="shared" si="64"/>
        <v>UGA_2638</v>
      </c>
      <c r="B1037" t="str">
        <f t="shared" si="65"/>
        <v>UGA_LEGION FLD CONCERT</v>
      </c>
      <c r="C1037" t="s">
        <v>443</v>
      </c>
      <c r="D1037" s="180" t="s">
        <v>51</v>
      </c>
      <c r="E1037" t="s">
        <v>3166</v>
      </c>
      <c r="F1037" t="s">
        <v>3167</v>
      </c>
      <c r="G1037" s="180">
        <v>1281</v>
      </c>
      <c r="H1037">
        <v>1983</v>
      </c>
      <c r="J1037" s="1334" t="s">
        <v>475</v>
      </c>
      <c r="K1037" s="1335" t="s">
        <v>475</v>
      </c>
      <c r="L1037" s="180">
        <v>100</v>
      </c>
      <c r="M1037" t="s">
        <v>7818</v>
      </c>
      <c r="N1037" t="str">
        <f t="shared" si="66"/>
        <v>LEGION FLD CONCERT (2638)</v>
      </c>
      <c r="O1037" t="s">
        <v>52</v>
      </c>
      <c r="P1037" t="str">
        <f t="shared" si="67"/>
        <v>18000_2638</v>
      </c>
      <c r="Q1037" s="180">
        <v>57</v>
      </c>
    </row>
    <row r="1038" spans="1:17">
      <c r="A1038" t="str">
        <f t="shared" si="64"/>
        <v>UGA_2639</v>
      </c>
      <c r="B1038" t="str">
        <f t="shared" si="65"/>
        <v>UGA_RIVER'S CROSSING</v>
      </c>
      <c r="C1038" t="s">
        <v>443</v>
      </c>
      <c r="D1038" s="180" t="s">
        <v>51</v>
      </c>
      <c r="E1038" t="s">
        <v>2362</v>
      </c>
      <c r="F1038" t="s">
        <v>2363</v>
      </c>
      <c r="G1038" s="180">
        <v>78735</v>
      </c>
      <c r="H1038">
        <v>1972</v>
      </c>
      <c r="J1038" s="1334" t="s">
        <v>475</v>
      </c>
      <c r="K1038" s="1335" t="s">
        <v>475</v>
      </c>
      <c r="L1038" s="180">
        <v>100</v>
      </c>
      <c r="M1038" t="s">
        <v>7818</v>
      </c>
      <c r="N1038" t="str">
        <f t="shared" si="66"/>
        <v>RIVER'S CROSSING (2639)</v>
      </c>
      <c r="O1038" t="s">
        <v>52</v>
      </c>
      <c r="P1038" t="str">
        <f t="shared" si="67"/>
        <v>18000_2639</v>
      </c>
      <c r="Q1038" s="180">
        <v>0</v>
      </c>
    </row>
    <row r="1039" spans="1:17">
      <c r="A1039" t="str">
        <f t="shared" si="64"/>
        <v>UGA_2649</v>
      </c>
      <c r="B1039" t="str">
        <f t="shared" si="65"/>
        <v>UGA_GOLF COURSE STOR</v>
      </c>
      <c r="C1039" t="s">
        <v>443</v>
      </c>
      <c r="D1039" s="180" t="s">
        <v>51</v>
      </c>
      <c r="E1039" t="s">
        <v>2206</v>
      </c>
      <c r="F1039" t="s">
        <v>2207</v>
      </c>
      <c r="G1039" s="180">
        <v>1231</v>
      </c>
      <c r="H1039">
        <v>1968</v>
      </c>
      <c r="J1039" s="1334" t="s">
        <v>475</v>
      </c>
      <c r="K1039" s="1335" t="s">
        <v>486</v>
      </c>
      <c r="L1039" s="180">
        <v>0</v>
      </c>
      <c r="M1039" t="s">
        <v>7818</v>
      </c>
      <c r="N1039" t="str">
        <f t="shared" si="66"/>
        <v>GOLF COURSE STOR (2649)</v>
      </c>
      <c r="O1039" t="s">
        <v>52</v>
      </c>
      <c r="P1039" t="str">
        <f t="shared" si="67"/>
        <v>18000_2649</v>
      </c>
      <c r="Q1039" s="180">
        <v>80</v>
      </c>
    </row>
    <row r="1040" spans="1:17">
      <c r="A1040" t="str">
        <f t="shared" si="64"/>
        <v>UGA_2650</v>
      </c>
      <c r="B1040" t="str">
        <f t="shared" si="65"/>
        <v>UGA_E B SMITH CLUBHSE</v>
      </c>
      <c r="C1040" t="s">
        <v>443</v>
      </c>
      <c r="D1040" s="180" t="s">
        <v>51</v>
      </c>
      <c r="E1040" t="s">
        <v>2320</v>
      </c>
      <c r="F1040" t="s">
        <v>2321</v>
      </c>
      <c r="G1040" s="180">
        <v>4769</v>
      </c>
      <c r="H1040">
        <v>1968</v>
      </c>
      <c r="J1040" s="1334" t="s">
        <v>475</v>
      </c>
      <c r="K1040" s="1335" t="s">
        <v>486</v>
      </c>
      <c r="L1040" s="180">
        <v>0</v>
      </c>
      <c r="M1040" t="s">
        <v>7818</v>
      </c>
      <c r="N1040" t="str">
        <f t="shared" si="66"/>
        <v>E B SMITH CLUBHSE (2650)</v>
      </c>
      <c r="O1040" t="s">
        <v>52</v>
      </c>
      <c r="P1040" t="str">
        <f t="shared" si="67"/>
        <v>18000_2650</v>
      </c>
      <c r="Q1040" s="180">
        <v>90</v>
      </c>
    </row>
    <row r="1041" spans="1:17">
      <c r="A1041" t="str">
        <f t="shared" si="64"/>
        <v>UGA_2651</v>
      </c>
      <c r="B1041" t="str">
        <f t="shared" si="65"/>
        <v>UGA_GOLF CART MAINT.</v>
      </c>
      <c r="C1041" t="s">
        <v>443</v>
      </c>
      <c r="D1041" s="180" t="s">
        <v>51</v>
      </c>
      <c r="E1041" t="s">
        <v>4072</v>
      </c>
      <c r="F1041" t="s">
        <v>4073</v>
      </c>
      <c r="G1041" s="180">
        <v>2015</v>
      </c>
      <c r="H1041">
        <v>1968</v>
      </c>
      <c r="J1041" s="1334" t="s">
        <v>475</v>
      </c>
      <c r="K1041" s="1335" t="s">
        <v>475</v>
      </c>
      <c r="L1041" s="180">
        <v>0</v>
      </c>
      <c r="M1041" t="s">
        <v>7818</v>
      </c>
      <c r="N1041" t="str">
        <f t="shared" si="66"/>
        <v>GOLF CART MAINT. (2651)</v>
      </c>
      <c r="O1041" t="s">
        <v>52</v>
      </c>
      <c r="P1041" t="str">
        <f t="shared" si="67"/>
        <v>18000_2651</v>
      </c>
      <c r="Q1041" s="180">
        <v>98</v>
      </c>
    </row>
    <row r="1042" spans="1:17">
      <c r="A1042" t="str">
        <f t="shared" si="64"/>
        <v>UGA_2652</v>
      </c>
      <c r="B1042" t="str">
        <f t="shared" si="65"/>
        <v>UGA_GOLF MAINTENANCE</v>
      </c>
      <c r="C1042" t="s">
        <v>443</v>
      </c>
      <c r="D1042" s="180" t="s">
        <v>51</v>
      </c>
      <c r="E1042" t="s">
        <v>2292</v>
      </c>
      <c r="F1042" t="s">
        <v>2293</v>
      </c>
      <c r="G1042" s="180">
        <v>3280</v>
      </c>
      <c r="H1042">
        <v>1968</v>
      </c>
      <c r="J1042" s="1334" t="s">
        <v>475</v>
      </c>
      <c r="K1042" s="1335" t="s">
        <v>486</v>
      </c>
      <c r="L1042" s="180">
        <v>0</v>
      </c>
      <c r="M1042" t="s">
        <v>7818</v>
      </c>
      <c r="N1042" t="str">
        <f t="shared" si="66"/>
        <v>GOLF MAINTENANCE (2652)</v>
      </c>
      <c r="O1042" t="s">
        <v>52</v>
      </c>
      <c r="P1042" t="str">
        <f t="shared" si="67"/>
        <v>18000_2652</v>
      </c>
      <c r="Q1042" s="180">
        <v>100</v>
      </c>
    </row>
    <row r="1043" spans="1:17">
      <c r="A1043" t="str">
        <f t="shared" si="64"/>
        <v>UGA_2653</v>
      </c>
      <c r="B1043" t="str">
        <f t="shared" si="65"/>
        <v>UGA_GOLF RIVER PUMP PD</v>
      </c>
      <c r="C1043" t="s">
        <v>443</v>
      </c>
      <c r="D1043" s="180" t="s">
        <v>51</v>
      </c>
      <c r="E1043" t="s">
        <v>3066</v>
      </c>
      <c r="F1043" t="s">
        <v>3067</v>
      </c>
      <c r="G1043" s="180">
        <v>42</v>
      </c>
      <c r="H1043">
        <v>1968</v>
      </c>
      <c r="J1043" s="1334" t="s">
        <v>475</v>
      </c>
      <c r="K1043" s="1335" t="s">
        <v>481</v>
      </c>
      <c r="L1043" s="180">
        <v>0</v>
      </c>
      <c r="M1043" t="s">
        <v>7818</v>
      </c>
      <c r="N1043" t="str">
        <f t="shared" si="66"/>
        <v>GOLF RIVER PUMP PD (2653)</v>
      </c>
      <c r="O1043" t="s">
        <v>52</v>
      </c>
      <c r="P1043" t="str">
        <f t="shared" si="67"/>
        <v>18000_2653</v>
      </c>
      <c r="Q1043" s="180">
        <v>0</v>
      </c>
    </row>
    <row r="1044" spans="1:17">
      <c r="A1044" t="str">
        <f t="shared" si="64"/>
        <v>UGA_2654</v>
      </c>
      <c r="B1044" t="str">
        <f t="shared" si="65"/>
        <v>UGA_GOLF AIR COMP/PEST</v>
      </c>
      <c r="C1044" t="s">
        <v>443</v>
      </c>
      <c r="D1044" s="180" t="s">
        <v>51</v>
      </c>
      <c r="E1044" t="s">
        <v>2322</v>
      </c>
      <c r="F1044" t="s">
        <v>2323</v>
      </c>
      <c r="G1044" s="180">
        <v>123</v>
      </c>
      <c r="H1044">
        <v>1968</v>
      </c>
      <c r="J1044" s="1334" t="s">
        <v>475</v>
      </c>
      <c r="K1044" s="1335" t="s">
        <v>475</v>
      </c>
      <c r="L1044" s="180">
        <v>0</v>
      </c>
      <c r="M1044" t="s">
        <v>7818</v>
      </c>
      <c r="N1044" t="str">
        <f t="shared" si="66"/>
        <v>GOLF AIR COMP/PEST (2654)</v>
      </c>
      <c r="O1044" t="s">
        <v>52</v>
      </c>
      <c r="P1044" t="str">
        <f t="shared" si="67"/>
        <v>18000_2654</v>
      </c>
      <c r="Q1044" s="180">
        <v>91</v>
      </c>
    </row>
    <row r="1045" spans="1:17">
      <c r="A1045" t="str">
        <f t="shared" si="64"/>
        <v>UGA_2657</v>
      </c>
      <c r="B1045" t="str">
        <f t="shared" si="65"/>
        <v>UGA_GOLF RAIN SHEL 1</v>
      </c>
      <c r="C1045" t="s">
        <v>443</v>
      </c>
      <c r="D1045" s="180" t="s">
        <v>51</v>
      </c>
      <c r="E1045" t="s">
        <v>4412</v>
      </c>
      <c r="F1045" t="s">
        <v>4413</v>
      </c>
      <c r="G1045" s="180">
        <v>248</v>
      </c>
      <c r="H1045">
        <v>1981</v>
      </c>
      <c r="J1045" s="1334" t="s">
        <v>475</v>
      </c>
      <c r="K1045" s="1335" t="s">
        <v>475</v>
      </c>
      <c r="L1045" s="180">
        <v>0</v>
      </c>
      <c r="M1045" t="s">
        <v>7818</v>
      </c>
      <c r="N1045" t="str">
        <f t="shared" si="66"/>
        <v>GOLF RAIN SHEL 1 (2657)</v>
      </c>
      <c r="O1045" t="s">
        <v>52</v>
      </c>
      <c r="P1045" t="str">
        <f t="shared" si="67"/>
        <v>18000_2657</v>
      </c>
      <c r="Q1045" s="180">
        <v>11</v>
      </c>
    </row>
    <row r="1046" spans="1:17">
      <c r="A1046" t="str">
        <f t="shared" si="64"/>
        <v>UGA_2658</v>
      </c>
      <c r="B1046" t="str">
        <f t="shared" si="65"/>
        <v>UGA_GOLF RESTROOM 2</v>
      </c>
      <c r="C1046" t="s">
        <v>443</v>
      </c>
      <c r="D1046" s="180" t="s">
        <v>51</v>
      </c>
      <c r="E1046" t="s">
        <v>2575</v>
      </c>
      <c r="F1046" t="s">
        <v>2576</v>
      </c>
      <c r="G1046" s="180">
        <v>1107</v>
      </c>
      <c r="H1046">
        <v>1981</v>
      </c>
      <c r="J1046" s="1334" t="s">
        <v>475</v>
      </c>
      <c r="K1046" s="1335" t="s">
        <v>475</v>
      </c>
      <c r="L1046" s="180">
        <v>0</v>
      </c>
      <c r="M1046" t="s">
        <v>7818</v>
      </c>
      <c r="N1046" t="str">
        <f t="shared" si="66"/>
        <v>GOLF RESTROOM 2 (2658)</v>
      </c>
      <c r="O1046" t="s">
        <v>52</v>
      </c>
      <c r="P1046" t="str">
        <f t="shared" si="67"/>
        <v>18000_2658</v>
      </c>
      <c r="Q1046" s="180">
        <v>25</v>
      </c>
    </row>
    <row r="1047" spans="1:17">
      <c r="A1047" t="str">
        <f t="shared" si="64"/>
        <v>UGA_2659</v>
      </c>
      <c r="B1047" t="str">
        <f t="shared" si="65"/>
        <v>UGA_GOLF RAIN SHEL 3</v>
      </c>
      <c r="C1047" t="s">
        <v>443</v>
      </c>
      <c r="D1047" s="180" t="s">
        <v>51</v>
      </c>
      <c r="E1047" t="s">
        <v>2120</v>
      </c>
      <c r="F1047" t="s">
        <v>2121</v>
      </c>
      <c r="G1047" s="180">
        <v>247</v>
      </c>
      <c r="H1047">
        <v>1981</v>
      </c>
      <c r="J1047" s="1334" t="s">
        <v>475</v>
      </c>
      <c r="K1047" s="1335" t="s">
        <v>475</v>
      </c>
      <c r="L1047" s="180">
        <v>0</v>
      </c>
      <c r="M1047" t="s">
        <v>7818</v>
      </c>
      <c r="N1047" t="str">
        <f t="shared" si="66"/>
        <v>GOLF RAIN SHEL 3 (2659)</v>
      </c>
      <c r="O1047" t="s">
        <v>52</v>
      </c>
      <c r="P1047" t="str">
        <f t="shared" si="67"/>
        <v>18000_2659</v>
      </c>
      <c r="Q1047" s="180">
        <v>100</v>
      </c>
    </row>
    <row r="1048" spans="1:17">
      <c r="A1048" t="str">
        <f t="shared" si="64"/>
        <v>UGA_2660</v>
      </c>
      <c r="B1048" t="str">
        <f t="shared" si="65"/>
        <v>UGA_GOLF RAIN SHEL 4</v>
      </c>
      <c r="C1048" t="s">
        <v>443</v>
      </c>
      <c r="D1048" s="180" t="s">
        <v>51</v>
      </c>
      <c r="E1048" t="s">
        <v>3711</v>
      </c>
      <c r="F1048" t="s">
        <v>3712</v>
      </c>
      <c r="G1048" s="180">
        <v>342</v>
      </c>
      <c r="H1048">
        <v>1981</v>
      </c>
      <c r="J1048" s="1334" t="s">
        <v>475</v>
      </c>
      <c r="K1048" s="1335" t="s">
        <v>475</v>
      </c>
      <c r="L1048" s="180">
        <v>0</v>
      </c>
      <c r="M1048" t="s">
        <v>7818</v>
      </c>
      <c r="N1048" t="str">
        <f t="shared" si="66"/>
        <v>GOLF RAIN SHEL 4 (2660)</v>
      </c>
      <c r="O1048" t="s">
        <v>52</v>
      </c>
      <c r="P1048" t="str">
        <f t="shared" si="67"/>
        <v>18000_2660</v>
      </c>
      <c r="Q1048" s="180">
        <v>0</v>
      </c>
    </row>
    <row r="1049" spans="1:17">
      <c r="A1049" t="str">
        <f t="shared" si="64"/>
        <v>UGA_2670</v>
      </c>
      <c r="B1049" t="str">
        <f t="shared" si="65"/>
        <v>UGA_GOLF MACH STOR</v>
      </c>
      <c r="C1049" t="s">
        <v>443</v>
      </c>
      <c r="D1049" s="180" t="s">
        <v>51</v>
      </c>
      <c r="E1049" t="s">
        <v>3620</v>
      </c>
      <c r="F1049" t="s">
        <v>3621</v>
      </c>
      <c r="G1049" s="180">
        <v>2880</v>
      </c>
      <c r="H1049">
        <v>1968</v>
      </c>
      <c r="J1049" s="1334" t="s">
        <v>475</v>
      </c>
      <c r="K1049" s="1335" t="s">
        <v>486</v>
      </c>
      <c r="L1049" s="180">
        <v>0</v>
      </c>
      <c r="M1049" t="s">
        <v>7818</v>
      </c>
      <c r="N1049" t="str">
        <f t="shared" si="66"/>
        <v>GOLF MACH STOR (2670)</v>
      </c>
      <c r="O1049" t="s">
        <v>52</v>
      </c>
      <c r="P1049" t="str">
        <f t="shared" si="67"/>
        <v>18000_2670</v>
      </c>
      <c r="Q1049" s="180">
        <v>0</v>
      </c>
    </row>
    <row r="1050" spans="1:17">
      <c r="A1050" t="str">
        <f t="shared" si="64"/>
        <v>UGA_2672</v>
      </c>
      <c r="B1050" t="str">
        <f t="shared" si="65"/>
        <v>UGA_GOLF RAIN SHEL 2</v>
      </c>
      <c r="C1050" t="s">
        <v>443</v>
      </c>
      <c r="D1050" s="180" t="s">
        <v>51</v>
      </c>
      <c r="E1050" t="s">
        <v>4414</v>
      </c>
      <c r="F1050" t="s">
        <v>4415</v>
      </c>
      <c r="G1050" s="180">
        <v>248</v>
      </c>
      <c r="H1050">
        <v>1981</v>
      </c>
      <c r="J1050" s="1334" t="s">
        <v>475</v>
      </c>
      <c r="K1050" s="1335" t="s">
        <v>475</v>
      </c>
      <c r="L1050" s="180">
        <v>0</v>
      </c>
      <c r="M1050" t="s">
        <v>7818</v>
      </c>
      <c r="N1050" t="str">
        <f t="shared" si="66"/>
        <v>GOLF RAIN SHEL 2 (2672)</v>
      </c>
      <c r="O1050" t="s">
        <v>52</v>
      </c>
      <c r="P1050" t="str">
        <f t="shared" si="67"/>
        <v>18000_2672</v>
      </c>
      <c r="Q1050" s="180">
        <v>92</v>
      </c>
    </row>
    <row r="1051" spans="1:17">
      <c r="A1051" t="str">
        <f t="shared" si="64"/>
        <v>UGA_2674</v>
      </c>
      <c r="B1051" t="str">
        <f t="shared" si="65"/>
        <v>UGA_GOLF CART STORAGE</v>
      </c>
      <c r="C1051" t="s">
        <v>443</v>
      </c>
      <c r="D1051" s="180" t="s">
        <v>51</v>
      </c>
      <c r="E1051" t="s">
        <v>2089</v>
      </c>
      <c r="F1051" t="s">
        <v>2090</v>
      </c>
      <c r="G1051" s="180">
        <v>7805</v>
      </c>
      <c r="H1051">
        <v>1988</v>
      </c>
      <c r="J1051" s="1334" t="s">
        <v>475</v>
      </c>
      <c r="K1051" s="1335" t="s">
        <v>475</v>
      </c>
      <c r="L1051" s="180">
        <v>0</v>
      </c>
      <c r="M1051" t="s">
        <v>7818</v>
      </c>
      <c r="N1051" t="str">
        <f t="shared" si="66"/>
        <v>GOLF CART STORAGE (2674)</v>
      </c>
      <c r="O1051" t="s">
        <v>52</v>
      </c>
      <c r="P1051" t="str">
        <f t="shared" si="67"/>
        <v>18000_2674</v>
      </c>
      <c r="Q1051" s="180">
        <v>100</v>
      </c>
    </row>
    <row r="1052" spans="1:17">
      <c r="A1052" t="str">
        <f t="shared" si="64"/>
        <v>UGA_2677</v>
      </c>
      <c r="B1052" t="str">
        <f t="shared" si="65"/>
        <v>UGA_SOIL SAMPLE STOR.</v>
      </c>
      <c r="C1052" t="s">
        <v>443</v>
      </c>
      <c r="D1052" s="180" t="s">
        <v>51</v>
      </c>
      <c r="E1052" t="s">
        <v>3633</v>
      </c>
      <c r="F1052" t="s">
        <v>3634</v>
      </c>
      <c r="G1052" s="180">
        <v>720</v>
      </c>
      <c r="H1052">
        <v>1981</v>
      </c>
      <c r="J1052" s="1334" t="s">
        <v>475</v>
      </c>
      <c r="K1052" s="1335" t="s">
        <v>475</v>
      </c>
      <c r="L1052" s="180">
        <v>0</v>
      </c>
      <c r="M1052" t="s">
        <v>7818</v>
      </c>
      <c r="N1052" t="str">
        <f t="shared" si="66"/>
        <v>SOIL SAMPLE STOR. (2677)</v>
      </c>
      <c r="O1052" t="s">
        <v>52</v>
      </c>
      <c r="P1052" t="str">
        <f t="shared" si="67"/>
        <v>18000_2677</v>
      </c>
      <c r="Q1052" s="180">
        <v>100</v>
      </c>
    </row>
    <row r="1053" spans="1:17">
      <c r="A1053" t="str">
        <f t="shared" si="64"/>
        <v>UGA_2678</v>
      </c>
      <c r="B1053" t="str">
        <f t="shared" si="65"/>
        <v>UGA_GOLF RESTROOM 1</v>
      </c>
      <c r="C1053" t="s">
        <v>443</v>
      </c>
      <c r="D1053" s="180" t="s">
        <v>51</v>
      </c>
      <c r="E1053" t="s">
        <v>3271</v>
      </c>
      <c r="F1053" t="s">
        <v>3272</v>
      </c>
      <c r="G1053" s="180">
        <v>1057</v>
      </c>
      <c r="H1053">
        <v>1988</v>
      </c>
      <c r="J1053" s="1334" t="s">
        <v>475</v>
      </c>
      <c r="K1053" s="1335" t="s">
        <v>475</v>
      </c>
      <c r="L1053" s="180">
        <v>0</v>
      </c>
      <c r="M1053" t="s">
        <v>7818</v>
      </c>
      <c r="N1053" t="str">
        <f t="shared" si="66"/>
        <v>GOLF RESTROOM 1 (2678)</v>
      </c>
      <c r="O1053" t="s">
        <v>52</v>
      </c>
      <c r="P1053" t="str">
        <f t="shared" si="67"/>
        <v>18000_2678</v>
      </c>
      <c r="Q1053" s="180">
        <v>0</v>
      </c>
    </row>
    <row r="1054" spans="1:17">
      <c r="A1054" t="str">
        <f t="shared" si="64"/>
        <v>UGA_2680</v>
      </c>
      <c r="B1054" t="str">
        <f t="shared" si="65"/>
        <v>UGA_JEWELRY&amp;METALWORK</v>
      </c>
      <c r="C1054" t="s">
        <v>443</v>
      </c>
      <c r="D1054" s="180" t="s">
        <v>51</v>
      </c>
      <c r="E1054" t="s">
        <v>1563</v>
      </c>
      <c r="F1054" t="s">
        <v>1564</v>
      </c>
      <c r="G1054" s="180">
        <v>5825</v>
      </c>
      <c r="H1054">
        <v>1982</v>
      </c>
      <c r="J1054" s="1334" t="s">
        <v>475</v>
      </c>
      <c r="K1054" s="1335" t="s">
        <v>1520</v>
      </c>
      <c r="L1054" s="180">
        <v>100</v>
      </c>
      <c r="M1054" t="s">
        <v>7818</v>
      </c>
      <c r="N1054" t="str">
        <f t="shared" si="66"/>
        <v>JEWELRY&amp;METALWORK (2680)</v>
      </c>
      <c r="O1054" t="s">
        <v>52</v>
      </c>
      <c r="P1054" t="str">
        <f t="shared" si="67"/>
        <v>18000_2680</v>
      </c>
      <c r="Q1054" s="180">
        <v>0</v>
      </c>
    </row>
    <row r="1055" spans="1:17">
      <c r="A1055" t="str">
        <f t="shared" si="64"/>
        <v>UGA_2685</v>
      </c>
      <c r="B1055" t="str">
        <f t="shared" si="65"/>
        <v>UGA_LEARNING &amp; DEVELOPMENT CENTER</v>
      </c>
      <c r="C1055" t="s">
        <v>443</v>
      </c>
      <c r="D1055" s="180" t="s">
        <v>51</v>
      </c>
      <c r="E1055" t="s">
        <v>2414</v>
      </c>
      <c r="F1055" t="s">
        <v>7140</v>
      </c>
      <c r="G1055" s="180">
        <v>15243</v>
      </c>
      <c r="H1055">
        <v>1984</v>
      </c>
      <c r="J1055" s="1334" t="s">
        <v>475</v>
      </c>
      <c r="K1055" s="1335" t="s">
        <v>475</v>
      </c>
      <c r="L1055" s="180">
        <v>100</v>
      </c>
      <c r="M1055" t="s">
        <v>7818</v>
      </c>
      <c r="N1055" t="str">
        <f t="shared" si="66"/>
        <v>LEARNING &amp; DEVELOPMENT CENTER (2685)</v>
      </c>
      <c r="O1055" t="s">
        <v>52</v>
      </c>
      <c r="P1055" t="str">
        <f t="shared" si="67"/>
        <v>18000_2685</v>
      </c>
      <c r="Q1055" s="180">
        <v>100</v>
      </c>
    </row>
    <row r="1056" spans="1:17">
      <c r="A1056" t="str">
        <f t="shared" si="64"/>
        <v>UGA_2690</v>
      </c>
      <c r="B1056" t="str">
        <f t="shared" si="65"/>
        <v>UGA_TOWNS RES 2</v>
      </c>
      <c r="C1056" t="s">
        <v>443</v>
      </c>
      <c r="D1056" s="180" t="s">
        <v>51</v>
      </c>
      <c r="E1056" t="s">
        <v>3212</v>
      </c>
      <c r="F1056" t="s">
        <v>3213</v>
      </c>
      <c r="G1056" s="180">
        <v>1590</v>
      </c>
      <c r="H1056">
        <v>1889</v>
      </c>
      <c r="J1056" s="1334" t="s">
        <v>475</v>
      </c>
      <c r="K1056" s="1335" t="s">
        <v>475</v>
      </c>
      <c r="L1056" s="180">
        <v>100</v>
      </c>
      <c r="M1056" t="s">
        <v>7818</v>
      </c>
      <c r="N1056" t="str">
        <f t="shared" si="66"/>
        <v>TOWNS RES 2 (2690)</v>
      </c>
      <c r="O1056" t="s">
        <v>52</v>
      </c>
      <c r="P1056" t="str">
        <f t="shared" si="67"/>
        <v>18000_2690</v>
      </c>
      <c r="Q1056" s="180">
        <v>90</v>
      </c>
    </row>
    <row r="1057" spans="1:17">
      <c r="A1057" t="str">
        <f t="shared" si="64"/>
        <v>UGA_2691</v>
      </c>
      <c r="B1057" t="str">
        <f t="shared" si="65"/>
        <v>UGA_THOMAS ST SCULP</v>
      </c>
      <c r="C1057" t="s">
        <v>443</v>
      </c>
      <c r="D1057" s="180" t="s">
        <v>51</v>
      </c>
      <c r="E1057" t="s">
        <v>3444</v>
      </c>
      <c r="F1057" t="s">
        <v>3445</v>
      </c>
      <c r="G1057" s="180">
        <v>12142</v>
      </c>
      <c r="H1057">
        <v>1992</v>
      </c>
      <c r="J1057" s="1334" t="s">
        <v>475</v>
      </c>
      <c r="K1057" s="1335" t="s">
        <v>475</v>
      </c>
      <c r="L1057" s="180">
        <v>100</v>
      </c>
      <c r="M1057" t="s">
        <v>7818</v>
      </c>
      <c r="N1057" t="str">
        <f t="shared" si="66"/>
        <v>THOMAS ST SCULP (2691)</v>
      </c>
      <c r="O1057" t="s">
        <v>52</v>
      </c>
      <c r="P1057" t="str">
        <f t="shared" si="67"/>
        <v>18000_2691</v>
      </c>
      <c r="Q1057" s="180">
        <v>0</v>
      </c>
    </row>
    <row r="1058" spans="1:17">
      <c r="A1058" t="str">
        <f t="shared" si="64"/>
        <v>UGA_2692</v>
      </c>
      <c r="B1058" t="str">
        <f t="shared" si="65"/>
        <v>UGA_GOLF DRIV RNG BLD</v>
      </c>
      <c r="C1058" t="s">
        <v>443</v>
      </c>
      <c r="D1058" s="180" t="s">
        <v>51</v>
      </c>
      <c r="E1058" t="s">
        <v>2724</v>
      </c>
      <c r="F1058" t="s">
        <v>2725</v>
      </c>
      <c r="G1058" s="180">
        <v>1487</v>
      </c>
      <c r="H1058">
        <v>1993</v>
      </c>
      <c r="J1058" s="1334" t="s">
        <v>475</v>
      </c>
      <c r="K1058" s="1335" t="s">
        <v>475</v>
      </c>
      <c r="L1058" s="180">
        <v>0</v>
      </c>
      <c r="M1058" t="s">
        <v>7818</v>
      </c>
      <c r="N1058" t="str">
        <f t="shared" si="66"/>
        <v>GOLF DRIV RNG BLD (2692)</v>
      </c>
      <c r="O1058" t="s">
        <v>52</v>
      </c>
      <c r="P1058" t="str">
        <f t="shared" si="67"/>
        <v>18000_2692</v>
      </c>
      <c r="Q1058" s="180">
        <v>0</v>
      </c>
    </row>
    <row r="1059" spans="1:17">
      <c r="A1059" t="str">
        <f t="shared" si="64"/>
        <v>UGA_2694</v>
      </c>
      <c r="B1059" t="str">
        <f t="shared" si="65"/>
        <v>UGA_BOYD GOLF CENTER</v>
      </c>
      <c r="C1059" t="s">
        <v>443</v>
      </c>
      <c r="D1059" s="180" t="s">
        <v>51</v>
      </c>
      <c r="E1059" t="s">
        <v>2766</v>
      </c>
      <c r="F1059" t="s">
        <v>2767</v>
      </c>
      <c r="G1059" s="180">
        <v>9983</v>
      </c>
      <c r="H1059">
        <v>1999</v>
      </c>
      <c r="J1059" s="1334" t="s">
        <v>475</v>
      </c>
      <c r="K1059" s="1335" t="s">
        <v>475</v>
      </c>
      <c r="L1059" s="180">
        <v>0</v>
      </c>
      <c r="M1059" t="s">
        <v>7818</v>
      </c>
      <c r="N1059" t="str">
        <f t="shared" si="66"/>
        <v>BOYD GOLF CENTER (2694)</v>
      </c>
      <c r="O1059" t="s">
        <v>52</v>
      </c>
      <c r="P1059" t="str">
        <f t="shared" si="67"/>
        <v>18000_2694</v>
      </c>
      <c r="Q1059" s="180">
        <v>0</v>
      </c>
    </row>
    <row r="1060" spans="1:17">
      <c r="A1060" t="str">
        <f t="shared" si="64"/>
        <v>UGA_2695</v>
      </c>
      <c r="B1060" t="str">
        <f t="shared" si="65"/>
        <v>UGA_GOLF MAINT FAC</v>
      </c>
      <c r="C1060" t="s">
        <v>443</v>
      </c>
      <c r="D1060" s="180" t="s">
        <v>51</v>
      </c>
      <c r="E1060" t="s">
        <v>2597</v>
      </c>
      <c r="F1060" t="s">
        <v>2598</v>
      </c>
      <c r="G1060" s="180">
        <v>1823</v>
      </c>
      <c r="H1060">
        <v>2002</v>
      </c>
      <c r="J1060" s="1334" t="s">
        <v>475</v>
      </c>
      <c r="K1060" s="1335" t="s">
        <v>475</v>
      </c>
      <c r="L1060" s="180">
        <v>0</v>
      </c>
      <c r="M1060" t="s">
        <v>7818</v>
      </c>
      <c r="N1060" t="str">
        <f t="shared" si="66"/>
        <v>GOLF MAINT FAC (2695)</v>
      </c>
      <c r="O1060" t="s">
        <v>52</v>
      </c>
      <c r="P1060" t="str">
        <f t="shared" si="67"/>
        <v>18000_2695</v>
      </c>
      <c r="Q1060" s="180">
        <v>2</v>
      </c>
    </row>
    <row r="1061" spans="1:17">
      <c r="A1061" t="str">
        <f t="shared" si="64"/>
        <v>UGA_2696</v>
      </c>
      <c r="B1061" t="str">
        <f t="shared" si="65"/>
        <v>UGA_BOYD GOLF TEE BOX</v>
      </c>
      <c r="C1061" t="s">
        <v>443</v>
      </c>
      <c r="D1061" s="180" t="s">
        <v>51</v>
      </c>
      <c r="E1061" t="s">
        <v>1956</v>
      </c>
      <c r="F1061" t="s">
        <v>1957</v>
      </c>
      <c r="G1061" s="180">
        <v>1131</v>
      </c>
      <c r="H1061">
        <v>2002</v>
      </c>
      <c r="J1061" s="1334" t="s">
        <v>475</v>
      </c>
      <c r="K1061" s="1335" t="s">
        <v>475</v>
      </c>
      <c r="L1061" s="180">
        <v>0</v>
      </c>
      <c r="M1061" t="s">
        <v>7818</v>
      </c>
      <c r="N1061" t="str">
        <f t="shared" si="66"/>
        <v>BOYD GOLF TEE BOX (2696)</v>
      </c>
      <c r="O1061" t="s">
        <v>52</v>
      </c>
      <c r="P1061" t="str">
        <f t="shared" si="67"/>
        <v>18000_2696</v>
      </c>
      <c r="Q1061" s="180">
        <v>0</v>
      </c>
    </row>
    <row r="1062" spans="1:17">
      <c r="A1062" t="str">
        <f t="shared" si="64"/>
        <v>UGA_2763</v>
      </c>
      <c r="B1062" t="str">
        <f t="shared" si="65"/>
        <v>UGA_RS CH CRS EQ SHED</v>
      </c>
      <c r="C1062" t="s">
        <v>443</v>
      </c>
      <c r="D1062" s="180" t="s">
        <v>51</v>
      </c>
      <c r="E1062" t="s">
        <v>3114</v>
      </c>
      <c r="F1062" t="s">
        <v>3115</v>
      </c>
      <c r="G1062" s="180">
        <v>140</v>
      </c>
      <c r="H1062">
        <v>2015</v>
      </c>
      <c r="J1062" s="1334" t="s">
        <v>475</v>
      </c>
      <c r="K1062" s="1335" t="s">
        <v>475</v>
      </c>
      <c r="L1062" s="180">
        <v>100</v>
      </c>
      <c r="M1062" t="s">
        <v>7818</v>
      </c>
      <c r="N1062" t="str">
        <f t="shared" si="66"/>
        <v>RS CH CRS EQ SHED (2763)</v>
      </c>
      <c r="O1062" t="s">
        <v>52</v>
      </c>
      <c r="P1062" t="str">
        <f t="shared" si="67"/>
        <v>18000_2763</v>
      </c>
      <c r="Q1062" s="180">
        <v>70</v>
      </c>
    </row>
    <row r="1063" spans="1:17">
      <c r="A1063" t="str">
        <f t="shared" si="64"/>
        <v>UGA_2811</v>
      </c>
      <c r="B1063" t="str">
        <f t="shared" si="65"/>
        <v>UGA_BROILER HSE WHITEH</v>
      </c>
      <c r="C1063" t="s">
        <v>443</v>
      </c>
      <c r="D1063" s="180" t="s">
        <v>51</v>
      </c>
      <c r="E1063" t="s">
        <v>2324</v>
      </c>
      <c r="F1063" t="s">
        <v>2325</v>
      </c>
      <c r="G1063" s="180">
        <v>5580</v>
      </c>
      <c r="H1063">
        <v>1935</v>
      </c>
      <c r="J1063" s="1334" t="s">
        <v>475</v>
      </c>
      <c r="K1063" s="1335" t="s">
        <v>481</v>
      </c>
      <c r="L1063" s="180">
        <v>0</v>
      </c>
      <c r="M1063" t="s">
        <v>7818</v>
      </c>
      <c r="N1063" t="str">
        <f t="shared" si="66"/>
        <v>BROILER HSE WHITEH (2811)</v>
      </c>
      <c r="O1063" t="s">
        <v>52</v>
      </c>
      <c r="P1063" t="str">
        <f t="shared" si="67"/>
        <v>18000_2811</v>
      </c>
      <c r="Q1063" s="180">
        <v>100</v>
      </c>
    </row>
    <row r="1064" spans="1:17">
      <c r="A1064" t="str">
        <f t="shared" si="64"/>
        <v>UGA_2812</v>
      </c>
      <c r="B1064" t="str">
        <f t="shared" si="65"/>
        <v>UGA_BROILER HSE STORAG</v>
      </c>
      <c r="C1064" t="s">
        <v>443</v>
      </c>
      <c r="D1064" s="180" t="s">
        <v>51</v>
      </c>
      <c r="E1064" t="s">
        <v>2816</v>
      </c>
      <c r="F1064" t="s">
        <v>2817</v>
      </c>
      <c r="G1064" s="180">
        <v>5580</v>
      </c>
      <c r="H1064">
        <v>1935</v>
      </c>
      <c r="J1064" s="1334" t="s">
        <v>475</v>
      </c>
      <c r="K1064" s="1335" t="s">
        <v>481</v>
      </c>
      <c r="L1064" s="180">
        <v>0</v>
      </c>
      <c r="M1064" t="s">
        <v>7818</v>
      </c>
      <c r="N1064" t="str">
        <f t="shared" si="66"/>
        <v>BROILER HSE STORAG (2812)</v>
      </c>
      <c r="O1064" t="s">
        <v>52</v>
      </c>
      <c r="P1064" t="str">
        <f t="shared" si="67"/>
        <v>18000_2812</v>
      </c>
      <c r="Q1064" s="180">
        <v>100</v>
      </c>
    </row>
    <row r="1065" spans="1:17">
      <c r="A1065" t="str">
        <f t="shared" si="64"/>
        <v>UGA_2815</v>
      </c>
      <c r="B1065" t="str">
        <f t="shared" si="65"/>
        <v>UGA_STOR SHED WHITEHAL</v>
      </c>
      <c r="C1065" t="s">
        <v>443</v>
      </c>
      <c r="D1065" s="180" t="s">
        <v>51</v>
      </c>
      <c r="E1065" t="s">
        <v>3214</v>
      </c>
      <c r="F1065" t="s">
        <v>3215</v>
      </c>
      <c r="G1065" s="180">
        <v>2031</v>
      </c>
      <c r="H1065">
        <v>1945</v>
      </c>
      <c r="J1065" s="1334" t="s">
        <v>475</v>
      </c>
      <c r="K1065" s="1335" t="s">
        <v>475</v>
      </c>
      <c r="L1065" s="180">
        <v>0</v>
      </c>
      <c r="M1065" t="s">
        <v>7818</v>
      </c>
      <c r="N1065" t="str">
        <f t="shared" si="66"/>
        <v>STOR SHED WHITEHAL (2815)</v>
      </c>
      <c r="O1065" t="s">
        <v>52</v>
      </c>
      <c r="P1065" t="str">
        <f t="shared" si="67"/>
        <v>18000_2815</v>
      </c>
      <c r="Q1065" s="180">
        <v>100</v>
      </c>
    </row>
    <row r="1066" spans="1:17">
      <c r="A1066" t="str">
        <f t="shared" si="64"/>
        <v>UGA_2817</v>
      </c>
      <c r="B1066" t="str">
        <f t="shared" si="65"/>
        <v>UGA_BROILER HS WHITEH</v>
      </c>
      <c r="C1066" t="s">
        <v>443</v>
      </c>
      <c r="D1066" s="180" t="s">
        <v>51</v>
      </c>
      <c r="E1066" t="s">
        <v>1821</v>
      </c>
      <c r="F1066" t="s">
        <v>1822</v>
      </c>
      <c r="G1066" s="180">
        <v>2391</v>
      </c>
      <c r="H1066">
        <v>1930</v>
      </c>
      <c r="J1066" s="1334" t="s">
        <v>475</v>
      </c>
      <c r="K1066" s="1335" t="s">
        <v>1520</v>
      </c>
      <c r="L1066" s="180">
        <v>0</v>
      </c>
      <c r="M1066" t="s">
        <v>7818</v>
      </c>
      <c r="N1066" t="str">
        <f t="shared" si="66"/>
        <v>BROILER HS WHITEH (2817)</v>
      </c>
      <c r="O1066" t="s">
        <v>52</v>
      </c>
      <c r="P1066" t="str">
        <f t="shared" si="67"/>
        <v>18000_2817</v>
      </c>
      <c r="Q1066" s="180">
        <v>100</v>
      </c>
    </row>
    <row r="1067" spans="1:17">
      <c r="A1067" t="str">
        <f t="shared" si="64"/>
        <v>UGA_2819</v>
      </c>
      <c r="B1067" t="str">
        <f t="shared" si="65"/>
        <v>UGA_FEED MILL WHITEHAL</v>
      </c>
      <c r="C1067" t="s">
        <v>443</v>
      </c>
      <c r="D1067" s="180" t="s">
        <v>51</v>
      </c>
      <c r="E1067" t="s">
        <v>2964</v>
      </c>
      <c r="F1067" t="s">
        <v>2965</v>
      </c>
      <c r="G1067" s="180">
        <v>4954</v>
      </c>
      <c r="H1067">
        <v>1964</v>
      </c>
      <c r="J1067" s="1334" t="s">
        <v>475</v>
      </c>
      <c r="K1067" s="1335" t="s">
        <v>486</v>
      </c>
      <c r="L1067" s="180">
        <v>0</v>
      </c>
      <c r="M1067" t="s">
        <v>7818</v>
      </c>
      <c r="N1067" t="str">
        <f t="shared" si="66"/>
        <v>FEED MILL WHITEHAL (2819)</v>
      </c>
      <c r="O1067" t="s">
        <v>52</v>
      </c>
      <c r="P1067" t="str">
        <f t="shared" si="67"/>
        <v>18000_2819</v>
      </c>
      <c r="Q1067" s="180">
        <v>100</v>
      </c>
    </row>
    <row r="1068" spans="1:17">
      <c r="A1068" t="str">
        <f t="shared" si="64"/>
        <v>UGA_2835</v>
      </c>
      <c r="B1068" t="str">
        <f t="shared" si="65"/>
        <v>UGA_FOUR TOWERS</v>
      </c>
      <c r="C1068" t="s">
        <v>443</v>
      </c>
      <c r="D1068" s="180" t="s">
        <v>51</v>
      </c>
      <c r="E1068" t="s">
        <v>3068</v>
      </c>
      <c r="F1068" t="s">
        <v>3069</v>
      </c>
      <c r="G1068" s="180">
        <v>26618</v>
      </c>
      <c r="H1068">
        <v>1937</v>
      </c>
      <c r="J1068" s="1334" t="s">
        <v>475</v>
      </c>
      <c r="K1068" s="1335" t="s">
        <v>475</v>
      </c>
      <c r="L1068" s="180">
        <v>100</v>
      </c>
      <c r="M1068" t="s">
        <v>7818</v>
      </c>
      <c r="N1068" t="str">
        <f t="shared" si="66"/>
        <v>FOUR TOWERS (2835)</v>
      </c>
      <c r="O1068" t="s">
        <v>52</v>
      </c>
      <c r="P1068" t="str">
        <f t="shared" si="67"/>
        <v>18000_2835</v>
      </c>
      <c r="Q1068" s="180">
        <v>100</v>
      </c>
    </row>
    <row r="1069" spans="1:17">
      <c r="A1069" t="str">
        <f t="shared" si="64"/>
        <v>UGA_2842</v>
      </c>
      <c r="B1069" t="str">
        <f t="shared" si="65"/>
        <v>UGA_AGRL SERVICES LAB</v>
      </c>
      <c r="C1069" t="s">
        <v>443</v>
      </c>
      <c r="D1069" s="180" t="s">
        <v>51</v>
      </c>
      <c r="E1069" t="s">
        <v>2364</v>
      </c>
      <c r="F1069" t="s">
        <v>2365</v>
      </c>
      <c r="G1069" s="180">
        <v>16284</v>
      </c>
      <c r="H1069">
        <v>1997</v>
      </c>
      <c r="J1069" s="1334" t="s">
        <v>475</v>
      </c>
      <c r="K1069" s="1335" t="s">
        <v>475</v>
      </c>
      <c r="L1069" s="180">
        <v>0</v>
      </c>
      <c r="M1069" t="s">
        <v>7818</v>
      </c>
      <c r="N1069" t="str">
        <f t="shared" si="66"/>
        <v>AGRL SERVICES LAB (2842)</v>
      </c>
      <c r="O1069" t="s">
        <v>52</v>
      </c>
      <c r="P1069" t="str">
        <f t="shared" si="67"/>
        <v>18000_2842</v>
      </c>
      <c r="Q1069" s="180">
        <v>100</v>
      </c>
    </row>
    <row r="1070" spans="1:17">
      <c r="A1070" t="str">
        <f t="shared" si="64"/>
        <v>UGA_2850</v>
      </c>
      <c r="B1070" t="str">
        <f t="shared" si="65"/>
        <v>UGA_PS SERVICE BLDG A</v>
      </c>
      <c r="C1070" t="s">
        <v>443</v>
      </c>
      <c r="D1070" s="180" t="s">
        <v>51</v>
      </c>
      <c r="E1070" t="s">
        <v>3356</v>
      </c>
      <c r="F1070" t="s">
        <v>3357</v>
      </c>
      <c r="G1070" s="180">
        <v>8771</v>
      </c>
      <c r="H1070">
        <v>1975</v>
      </c>
      <c r="J1070" s="1334" t="s">
        <v>475</v>
      </c>
      <c r="K1070" s="1335" t="s">
        <v>475</v>
      </c>
      <c r="L1070" s="180">
        <v>0</v>
      </c>
      <c r="M1070" t="s">
        <v>7818</v>
      </c>
      <c r="N1070" t="str">
        <f t="shared" si="66"/>
        <v>PS SERVICE BLDG A (2850)</v>
      </c>
      <c r="O1070" t="s">
        <v>52</v>
      </c>
      <c r="P1070" t="str">
        <f t="shared" si="67"/>
        <v>18000_2850</v>
      </c>
      <c r="Q1070" s="180">
        <v>100</v>
      </c>
    </row>
    <row r="1071" spans="1:17">
      <c r="A1071" t="str">
        <f t="shared" si="64"/>
        <v>UGA_2851</v>
      </c>
      <c r="B1071" t="str">
        <f t="shared" si="65"/>
        <v>UGA_PS CAGE LAY HSE B</v>
      </c>
      <c r="C1071" t="s">
        <v>443</v>
      </c>
      <c r="D1071" s="180" t="s">
        <v>51</v>
      </c>
      <c r="E1071" t="s">
        <v>2966</v>
      </c>
      <c r="F1071" t="s">
        <v>2967</v>
      </c>
      <c r="G1071" s="180">
        <v>7244</v>
      </c>
      <c r="H1071">
        <v>1975</v>
      </c>
      <c r="J1071" s="1334" t="s">
        <v>475</v>
      </c>
      <c r="K1071" s="1335" t="s">
        <v>486</v>
      </c>
      <c r="L1071" s="180">
        <v>0</v>
      </c>
      <c r="M1071" t="s">
        <v>7818</v>
      </c>
      <c r="N1071" t="str">
        <f t="shared" si="66"/>
        <v>PS CAGE LAY HSE B (2851)</v>
      </c>
      <c r="O1071" t="s">
        <v>52</v>
      </c>
      <c r="P1071" t="str">
        <f t="shared" si="67"/>
        <v>18000_2851</v>
      </c>
      <c r="Q1071" s="180">
        <v>100</v>
      </c>
    </row>
    <row r="1072" spans="1:17">
      <c r="A1072" t="str">
        <f t="shared" si="64"/>
        <v>UGA_2852</v>
      </c>
      <c r="B1072" t="str">
        <f t="shared" si="65"/>
        <v>UGA_PS BATTERY HSE C</v>
      </c>
      <c r="C1072" t="s">
        <v>443</v>
      </c>
      <c r="D1072" s="180" t="s">
        <v>51</v>
      </c>
      <c r="E1072" t="s">
        <v>4368</v>
      </c>
      <c r="F1072" t="s">
        <v>4369</v>
      </c>
      <c r="G1072" s="180">
        <v>8239</v>
      </c>
      <c r="H1072">
        <v>1975</v>
      </c>
      <c r="J1072" s="1334" t="s">
        <v>475</v>
      </c>
      <c r="K1072" s="1335" t="s">
        <v>1520</v>
      </c>
      <c r="L1072" s="180">
        <v>0</v>
      </c>
      <c r="M1072" t="s">
        <v>7818</v>
      </c>
      <c r="N1072" t="str">
        <f t="shared" si="66"/>
        <v>PS BATTERY HSE C (2852)</v>
      </c>
      <c r="O1072" t="s">
        <v>52</v>
      </c>
      <c r="P1072" t="str">
        <f t="shared" si="67"/>
        <v>18000_2852</v>
      </c>
      <c r="Q1072" s="180">
        <v>100</v>
      </c>
    </row>
    <row r="1073" spans="1:17">
      <c r="A1073" t="str">
        <f t="shared" si="64"/>
        <v>UGA_2853</v>
      </c>
      <c r="B1073" t="str">
        <f t="shared" si="65"/>
        <v>UGA_POULTRY SCIENCE ENVIRONMENTAL</v>
      </c>
      <c r="C1073" t="s">
        <v>443</v>
      </c>
      <c r="D1073" s="180" t="s">
        <v>51</v>
      </c>
      <c r="E1073" t="s">
        <v>2208</v>
      </c>
      <c r="F1073" t="s">
        <v>2209</v>
      </c>
      <c r="G1073" s="180">
        <v>8497</v>
      </c>
      <c r="H1073">
        <v>1975</v>
      </c>
      <c r="J1073" s="1334" t="s">
        <v>475</v>
      </c>
      <c r="K1073" s="1335" t="s">
        <v>1520</v>
      </c>
      <c r="L1073" s="180">
        <v>0</v>
      </c>
      <c r="M1073" t="s">
        <v>7818</v>
      </c>
      <c r="N1073" t="str">
        <f t="shared" si="66"/>
        <v>POULTRY SCIENCE ENVIRONMENTAL (2853)</v>
      </c>
      <c r="O1073" t="s">
        <v>52</v>
      </c>
      <c r="P1073" t="str">
        <f t="shared" si="67"/>
        <v>18000_2853</v>
      </c>
      <c r="Q1073" s="180">
        <v>100</v>
      </c>
    </row>
    <row r="1074" spans="1:17">
      <c r="A1074" t="str">
        <f t="shared" si="64"/>
        <v>UGA_2854</v>
      </c>
      <c r="B1074" t="str">
        <f t="shared" si="65"/>
        <v>UGA_PS LAYING-BREED E</v>
      </c>
      <c r="C1074" t="s">
        <v>443</v>
      </c>
      <c r="D1074" s="180" t="s">
        <v>51</v>
      </c>
      <c r="E1074" t="s">
        <v>4289</v>
      </c>
      <c r="F1074" t="s">
        <v>4290</v>
      </c>
      <c r="G1074" s="180">
        <v>8377</v>
      </c>
      <c r="H1074">
        <v>1975</v>
      </c>
      <c r="J1074" s="1334" t="s">
        <v>475</v>
      </c>
      <c r="K1074" s="1335" t="s">
        <v>1520</v>
      </c>
      <c r="L1074" s="180">
        <v>0</v>
      </c>
      <c r="M1074" t="s">
        <v>7818</v>
      </c>
      <c r="N1074" t="str">
        <f t="shared" si="66"/>
        <v>PS LAYING-BREED E (2854)</v>
      </c>
      <c r="O1074" t="s">
        <v>52</v>
      </c>
      <c r="P1074" t="str">
        <f t="shared" si="67"/>
        <v>18000_2854</v>
      </c>
      <c r="Q1074" s="180">
        <v>100</v>
      </c>
    </row>
    <row r="1075" spans="1:17">
      <c r="A1075" t="str">
        <f t="shared" si="64"/>
        <v>UGA_2855</v>
      </c>
      <c r="B1075" t="str">
        <f t="shared" si="65"/>
        <v>UGA_PS LAYING-BREED F</v>
      </c>
      <c r="C1075" t="s">
        <v>443</v>
      </c>
      <c r="D1075" s="180" t="s">
        <v>51</v>
      </c>
      <c r="E1075" t="s">
        <v>4462</v>
      </c>
      <c r="F1075" t="s">
        <v>4463</v>
      </c>
      <c r="G1075" s="180">
        <v>7117</v>
      </c>
      <c r="H1075">
        <v>1975</v>
      </c>
      <c r="J1075" s="1334" t="s">
        <v>475</v>
      </c>
      <c r="K1075" s="1335" t="s">
        <v>486</v>
      </c>
      <c r="L1075" s="180">
        <v>0</v>
      </c>
      <c r="M1075" t="s">
        <v>7818</v>
      </c>
      <c r="N1075" t="str">
        <f t="shared" si="66"/>
        <v>PS LAYING-BREED F (2855)</v>
      </c>
      <c r="O1075" t="s">
        <v>52</v>
      </c>
      <c r="P1075" t="str">
        <f t="shared" si="67"/>
        <v>18000_2855</v>
      </c>
      <c r="Q1075" s="180">
        <v>82</v>
      </c>
    </row>
    <row r="1076" spans="1:17">
      <c r="A1076" t="str">
        <f t="shared" si="64"/>
        <v>UGA_2856</v>
      </c>
      <c r="B1076" t="str">
        <f t="shared" si="65"/>
        <v>UGA_PS LAYING-BREED G</v>
      </c>
      <c r="C1076" t="s">
        <v>443</v>
      </c>
      <c r="D1076" s="180" t="s">
        <v>51</v>
      </c>
      <c r="E1076" t="s">
        <v>4048</v>
      </c>
      <c r="F1076" t="s">
        <v>4049</v>
      </c>
      <c r="G1076" s="180">
        <v>7117</v>
      </c>
      <c r="H1076">
        <v>1975</v>
      </c>
      <c r="J1076" s="1334" t="s">
        <v>475</v>
      </c>
      <c r="K1076" s="1335" t="s">
        <v>486</v>
      </c>
      <c r="L1076" s="180">
        <v>0</v>
      </c>
      <c r="M1076" t="s">
        <v>7818</v>
      </c>
      <c r="N1076" t="str">
        <f t="shared" si="66"/>
        <v>PS LAYING-BREED G (2856)</v>
      </c>
      <c r="O1076" t="s">
        <v>52</v>
      </c>
      <c r="P1076" t="str">
        <f t="shared" si="67"/>
        <v>18000_2856</v>
      </c>
      <c r="Q1076" s="180">
        <v>50</v>
      </c>
    </row>
    <row r="1077" spans="1:17">
      <c r="A1077" t="str">
        <f t="shared" si="64"/>
        <v>UGA_2857</v>
      </c>
      <c r="B1077" t="str">
        <f t="shared" si="65"/>
        <v>UGA_PS BROODING H</v>
      </c>
      <c r="C1077" t="s">
        <v>443</v>
      </c>
      <c r="D1077" s="180" t="s">
        <v>51</v>
      </c>
      <c r="E1077" t="s">
        <v>3635</v>
      </c>
      <c r="F1077" t="s">
        <v>3636</v>
      </c>
      <c r="G1077" s="180">
        <v>7137</v>
      </c>
      <c r="H1077">
        <v>1975</v>
      </c>
      <c r="J1077" s="1334" t="s">
        <v>475</v>
      </c>
      <c r="K1077" s="1335" t="s">
        <v>475</v>
      </c>
      <c r="L1077" s="180">
        <v>0</v>
      </c>
      <c r="M1077" t="s">
        <v>7818</v>
      </c>
      <c r="N1077" t="str">
        <f t="shared" si="66"/>
        <v>PS BROODING H (2857)</v>
      </c>
      <c r="O1077" t="s">
        <v>52</v>
      </c>
      <c r="P1077" t="str">
        <f t="shared" si="67"/>
        <v>18000_2857</v>
      </c>
      <c r="Q1077" s="180">
        <v>95</v>
      </c>
    </row>
    <row r="1078" spans="1:17">
      <c r="A1078" t="str">
        <f t="shared" si="64"/>
        <v>UGA_2858</v>
      </c>
      <c r="B1078" t="str">
        <f t="shared" si="65"/>
        <v>UGA_PS ISOLATION I</v>
      </c>
      <c r="C1078" t="s">
        <v>443</v>
      </c>
      <c r="D1078" s="180" t="s">
        <v>51</v>
      </c>
      <c r="E1078" t="s">
        <v>1896</v>
      </c>
      <c r="F1078" t="s">
        <v>1897</v>
      </c>
      <c r="G1078" s="180">
        <v>2341</v>
      </c>
      <c r="H1078">
        <v>1975</v>
      </c>
      <c r="J1078" s="1334" t="s">
        <v>475</v>
      </c>
      <c r="K1078" s="1335" t="s">
        <v>1520</v>
      </c>
      <c r="L1078" s="180">
        <v>0</v>
      </c>
      <c r="M1078" t="s">
        <v>7818</v>
      </c>
      <c r="N1078" t="str">
        <f t="shared" si="66"/>
        <v>PS ISOLATION I (2858)</v>
      </c>
      <c r="O1078" t="s">
        <v>52</v>
      </c>
      <c r="P1078" t="str">
        <f t="shared" si="67"/>
        <v>18000_2858</v>
      </c>
      <c r="Q1078" s="180">
        <v>100</v>
      </c>
    </row>
    <row r="1079" spans="1:17">
      <c r="A1079" t="str">
        <f t="shared" si="64"/>
        <v>UGA_2859</v>
      </c>
      <c r="B1079" t="str">
        <f t="shared" si="65"/>
        <v>UGA_POUL PROC HATC FAC</v>
      </c>
      <c r="C1079" t="s">
        <v>443</v>
      </c>
      <c r="D1079" s="180" t="s">
        <v>51</v>
      </c>
      <c r="E1079" t="s">
        <v>1823</v>
      </c>
      <c r="F1079" t="s">
        <v>1824</v>
      </c>
      <c r="G1079" s="180">
        <v>16642</v>
      </c>
      <c r="H1079">
        <v>1998</v>
      </c>
      <c r="J1079" s="1334" t="s">
        <v>475</v>
      </c>
      <c r="K1079" s="1335" t="s">
        <v>475</v>
      </c>
      <c r="L1079" s="180">
        <v>0</v>
      </c>
      <c r="M1079" t="s">
        <v>7818</v>
      </c>
      <c r="N1079" t="str">
        <f t="shared" si="66"/>
        <v>POUL PROC HATC FAC (2859)</v>
      </c>
      <c r="O1079" t="s">
        <v>52</v>
      </c>
      <c r="P1079" t="str">
        <f t="shared" si="67"/>
        <v>18000_2859</v>
      </c>
      <c r="Q1079" s="180">
        <v>100</v>
      </c>
    </row>
    <row r="1080" spans="1:17">
      <c r="A1080" t="str">
        <f t="shared" si="64"/>
        <v>UGA_2860</v>
      </c>
      <c r="B1080" t="str">
        <f t="shared" si="65"/>
        <v>UGA_STORAGE SHOP BLDG</v>
      </c>
      <c r="C1080" t="s">
        <v>443</v>
      </c>
      <c r="D1080" s="180" t="s">
        <v>51</v>
      </c>
      <c r="E1080" t="s">
        <v>2726</v>
      </c>
      <c r="F1080" t="s">
        <v>2727</v>
      </c>
      <c r="G1080" s="180">
        <v>5200</v>
      </c>
      <c r="H1080">
        <v>1998</v>
      </c>
      <c r="J1080" s="1334" t="s">
        <v>475</v>
      </c>
      <c r="K1080" s="1335" t="s">
        <v>475</v>
      </c>
      <c r="L1080" s="180">
        <v>0</v>
      </c>
      <c r="M1080" t="s">
        <v>7818</v>
      </c>
      <c r="N1080" t="str">
        <f t="shared" si="66"/>
        <v>STORAGE SHOP BLDG (2860)</v>
      </c>
      <c r="O1080" t="s">
        <v>52</v>
      </c>
      <c r="P1080" t="str">
        <f t="shared" si="67"/>
        <v>18000_2860</v>
      </c>
      <c r="Q1080" s="180">
        <v>100</v>
      </c>
    </row>
    <row r="1081" spans="1:17">
      <c r="A1081" t="str">
        <f t="shared" si="64"/>
        <v>UGA_2862</v>
      </c>
      <c r="B1081" t="str">
        <f t="shared" si="65"/>
        <v>UGA_MULTI PURP HSE M</v>
      </c>
      <c r="C1081" t="s">
        <v>443</v>
      </c>
      <c r="D1081" s="180" t="s">
        <v>51</v>
      </c>
      <c r="E1081" t="s">
        <v>3116</v>
      </c>
      <c r="F1081" t="s">
        <v>3117</v>
      </c>
      <c r="G1081" s="180">
        <v>20105</v>
      </c>
      <c r="H1081">
        <v>1998</v>
      </c>
      <c r="J1081" s="1334" t="s">
        <v>475</v>
      </c>
      <c r="K1081" s="1335" t="s">
        <v>475</v>
      </c>
      <c r="L1081" s="180">
        <v>0</v>
      </c>
      <c r="M1081" t="s">
        <v>7818</v>
      </c>
      <c r="N1081" t="str">
        <f t="shared" si="66"/>
        <v>MULTI PURP HSE M (2862)</v>
      </c>
      <c r="O1081" t="s">
        <v>52</v>
      </c>
      <c r="P1081" t="str">
        <f t="shared" si="67"/>
        <v>18000_2862</v>
      </c>
      <c r="Q1081" s="180">
        <v>100</v>
      </c>
    </row>
    <row r="1082" spans="1:17">
      <c r="A1082" t="str">
        <f t="shared" si="64"/>
        <v>UGA_2863</v>
      </c>
      <c r="B1082" t="str">
        <f t="shared" si="65"/>
        <v>UGA_MULTI PURP HSE N</v>
      </c>
      <c r="C1082" t="s">
        <v>443</v>
      </c>
      <c r="D1082" s="180" t="s">
        <v>51</v>
      </c>
      <c r="E1082" t="s">
        <v>2326</v>
      </c>
      <c r="F1082" t="s">
        <v>2327</v>
      </c>
      <c r="G1082" s="180">
        <v>14466</v>
      </c>
      <c r="H1082">
        <v>1998</v>
      </c>
      <c r="J1082" s="1334" t="s">
        <v>475</v>
      </c>
      <c r="K1082" s="1335" t="s">
        <v>475</v>
      </c>
      <c r="L1082" s="180">
        <v>0</v>
      </c>
      <c r="M1082" t="s">
        <v>7818</v>
      </c>
      <c r="N1082" t="str">
        <f t="shared" si="66"/>
        <v>MULTI PURP HSE N (2863)</v>
      </c>
      <c r="O1082" t="s">
        <v>52</v>
      </c>
      <c r="P1082" t="str">
        <f t="shared" si="67"/>
        <v>18000_2863</v>
      </c>
      <c r="Q1082" s="180">
        <v>100</v>
      </c>
    </row>
    <row r="1083" spans="1:17">
      <c r="A1083" t="str">
        <f t="shared" si="64"/>
        <v>UGA_2864</v>
      </c>
      <c r="B1083" t="str">
        <f t="shared" si="65"/>
        <v>UGA_PS BROILER HSE J</v>
      </c>
      <c r="C1083" t="s">
        <v>443</v>
      </c>
      <c r="D1083" s="180" t="s">
        <v>51</v>
      </c>
      <c r="E1083" t="s">
        <v>2126</v>
      </c>
      <c r="F1083" t="s">
        <v>2127</v>
      </c>
      <c r="G1083" s="180">
        <v>12015</v>
      </c>
      <c r="H1083">
        <v>1998</v>
      </c>
      <c r="J1083" s="1334" t="s">
        <v>475</v>
      </c>
      <c r="K1083" s="1335" t="s">
        <v>475</v>
      </c>
      <c r="L1083" s="180">
        <v>0</v>
      </c>
      <c r="M1083" t="s">
        <v>7818</v>
      </c>
      <c r="N1083" t="str">
        <f t="shared" si="66"/>
        <v>PS BROILER HSE J (2864)</v>
      </c>
      <c r="O1083" t="s">
        <v>52</v>
      </c>
      <c r="P1083" t="str">
        <f t="shared" si="67"/>
        <v>18000_2864</v>
      </c>
      <c r="Q1083" s="180">
        <v>100</v>
      </c>
    </row>
    <row r="1084" spans="1:17">
      <c r="A1084" t="str">
        <f t="shared" si="64"/>
        <v>UGA_2870</v>
      </c>
      <c r="B1084" t="str">
        <f t="shared" si="65"/>
        <v>UGA_TRANSGENIC POUL</v>
      </c>
      <c r="C1084" t="s">
        <v>443</v>
      </c>
      <c r="D1084" s="180" t="s">
        <v>51</v>
      </c>
      <c r="E1084" t="s">
        <v>2818</v>
      </c>
      <c r="F1084" t="s">
        <v>2819</v>
      </c>
      <c r="G1084" s="180">
        <v>19274</v>
      </c>
      <c r="H1084">
        <v>2002</v>
      </c>
      <c r="J1084" s="1334" t="s">
        <v>475</v>
      </c>
      <c r="K1084" s="1335" t="s">
        <v>475</v>
      </c>
      <c r="L1084" s="180">
        <v>0</v>
      </c>
      <c r="M1084" t="s">
        <v>7818</v>
      </c>
      <c r="N1084" t="str">
        <f t="shared" si="66"/>
        <v>TRANSGENIC POUL (2870)</v>
      </c>
      <c r="O1084" t="s">
        <v>52</v>
      </c>
      <c r="P1084" t="str">
        <f t="shared" si="67"/>
        <v>18000_2870</v>
      </c>
      <c r="Q1084" s="180">
        <v>100</v>
      </c>
    </row>
    <row r="1085" spans="1:17">
      <c r="A1085" t="str">
        <f t="shared" si="64"/>
        <v>UGA_2890</v>
      </c>
      <c r="B1085" t="str">
        <f t="shared" si="65"/>
        <v>UGA_CES POUL FEED LAB</v>
      </c>
      <c r="C1085" t="s">
        <v>443</v>
      </c>
      <c r="D1085" s="180" t="s">
        <v>51</v>
      </c>
      <c r="E1085" t="s">
        <v>1641</v>
      </c>
      <c r="F1085" t="s">
        <v>1642</v>
      </c>
      <c r="G1085" s="180">
        <v>1017</v>
      </c>
      <c r="H1085">
        <v>1997</v>
      </c>
      <c r="J1085" s="1334" t="s">
        <v>475</v>
      </c>
      <c r="K1085" s="1335" t="s">
        <v>475</v>
      </c>
      <c r="L1085" s="180">
        <v>0</v>
      </c>
      <c r="M1085" t="s">
        <v>7818</v>
      </c>
      <c r="N1085" t="str">
        <f t="shared" si="66"/>
        <v>CES POUL FEED LAB (2890)</v>
      </c>
      <c r="O1085" t="s">
        <v>52</v>
      </c>
      <c r="P1085" t="str">
        <f t="shared" si="67"/>
        <v>18000_2890</v>
      </c>
      <c r="Q1085" s="180">
        <v>100</v>
      </c>
    </row>
    <row r="1086" spans="1:17">
      <c r="A1086" t="str">
        <f t="shared" si="64"/>
        <v>UGA_2898</v>
      </c>
      <c r="B1086" t="str">
        <f t="shared" si="65"/>
        <v>UGA_TURF GRASS WELL</v>
      </c>
      <c r="C1086" t="s">
        <v>443</v>
      </c>
      <c r="D1086" s="180" t="s">
        <v>51</v>
      </c>
      <c r="E1086" t="s">
        <v>2728</v>
      </c>
      <c r="F1086" t="s">
        <v>2729</v>
      </c>
      <c r="G1086" s="180">
        <v>129</v>
      </c>
      <c r="H1086">
        <v>2014</v>
      </c>
      <c r="J1086" s="1334" t="s">
        <v>475</v>
      </c>
      <c r="K1086" s="1335" t="s">
        <v>475</v>
      </c>
      <c r="L1086" s="180">
        <v>100</v>
      </c>
      <c r="M1086" t="s">
        <v>7818</v>
      </c>
      <c r="N1086" t="str">
        <f t="shared" si="66"/>
        <v>TURF GRASS WELL (2898)</v>
      </c>
      <c r="O1086" t="s">
        <v>52</v>
      </c>
      <c r="P1086" t="str">
        <f t="shared" si="67"/>
        <v>18000_2898</v>
      </c>
      <c r="Q1086" s="180">
        <v>100</v>
      </c>
    </row>
    <row r="1087" spans="1:17">
      <c r="A1087" t="str">
        <f t="shared" si="64"/>
        <v>UGA_2900</v>
      </c>
      <c r="B1087" t="str">
        <f t="shared" si="65"/>
        <v>UGA_CLUB SPORT RESTRMS</v>
      </c>
      <c r="C1087" t="s">
        <v>443</v>
      </c>
      <c r="D1087" s="180" t="s">
        <v>51</v>
      </c>
      <c r="E1087" t="s">
        <v>2992</v>
      </c>
      <c r="F1087" t="s">
        <v>2993</v>
      </c>
      <c r="G1087" s="180">
        <v>1033</v>
      </c>
      <c r="H1087">
        <v>2009</v>
      </c>
      <c r="J1087" s="1334" t="s">
        <v>475</v>
      </c>
      <c r="K1087" s="1335" t="s">
        <v>475</v>
      </c>
      <c r="L1087" s="180">
        <v>100</v>
      </c>
      <c r="M1087" t="s">
        <v>7818</v>
      </c>
      <c r="N1087" t="str">
        <f t="shared" si="66"/>
        <v>CLUB SPORT RESTRMS (2900)</v>
      </c>
      <c r="O1087" t="s">
        <v>52</v>
      </c>
      <c r="P1087" t="str">
        <f t="shared" si="67"/>
        <v>18000_2900</v>
      </c>
      <c r="Q1087" s="180">
        <v>100</v>
      </c>
    </row>
    <row r="1088" spans="1:17">
      <c r="A1088" t="str">
        <f t="shared" si="64"/>
        <v>UGA_2907</v>
      </c>
      <c r="B1088" t="str">
        <f t="shared" si="65"/>
        <v>UGA_TURF GRASS R&amp;E CTR GH</v>
      </c>
      <c r="C1088" t="s">
        <v>443</v>
      </c>
      <c r="D1088" s="180" t="s">
        <v>51</v>
      </c>
      <c r="E1088" t="s">
        <v>2681</v>
      </c>
      <c r="F1088" t="s">
        <v>2682</v>
      </c>
      <c r="G1088" s="180">
        <v>3840</v>
      </c>
      <c r="H1088">
        <v>1971</v>
      </c>
      <c r="J1088" s="1334" t="s">
        <v>475</v>
      </c>
      <c r="K1088" s="1335" t="s">
        <v>1520</v>
      </c>
      <c r="L1088" s="180">
        <v>100</v>
      </c>
      <c r="M1088" t="s">
        <v>7818</v>
      </c>
      <c r="N1088" t="str">
        <f t="shared" si="66"/>
        <v>TURF GRASS R&amp;E CTR GH (2907)</v>
      </c>
      <c r="O1088" t="s">
        <v>52</v>
      </c>
      <c r="P1088" t="str">
        <f t="shared" si="67"/>
        <v>18000_2907</v>
      </c>
      <c r="Q1088" s="180">
        <v>100</v>
      </c>
    </row>
    <row r="1089" spans="1:17">
      <c r="A1089" t="str">
        <f t="shared" si="64"/>
        <v>UGA_2908</v>
      </c>
      <c r="B1089" t="str">
        <f t="shared" si="65"/>
        <v>UGA_SUS ED CLASS BARN</v>
      </c>
      <c r="C1089" t="s">
        <v>443</v>
      </c>
      <c r="D1089" s="180" t="s">
        <v>51</v>
      </c>
      <c r="E1089" t="s">
        <v>3684</v>
      </c>
      <c r="F1089" t="s">
        <v>3685</v>
      </c>
      <c r="G1089" s="180">
        <v>3417</v>
      </c>
      <c r="H1089">
        <v>1964</v>
      </c>
      <c r="J1089" s="1334" t="s">
        <v>475</v>
      </c>
      <c r="K1089" s="1335" t="s">
        <v>475</v>
      </c>
      <c r="L1089" s="180">
        <v>100</v>
      </c>
      <c r="M1089" t="s">
        <v>7818</v>
      </c>
      <c r="N1089" t="str">
        <f t="shared" si="66"/>
        <v>SUS ED CLASS BARN (2908)</v>
      </c>
      <c r="O1089" t="s">
        <v>52</v>
      </c>
      <c r="P1089" t="str">
        <f t="shared" si="67"/>
        <v>18000_2908</v>
      </c>
      <c r="Q1089" s="180">
        <v>100</v>
      </c>
    </row>
    <row r="1090" spans="1:17">
      <c r="A1090" t="str">
        <f t="shared" si="64"/>
        <v>UGA_2909</v>
      </c>
      <c r="B1090" t="str">
        <f t="shared" si="65"/>
        <v>UGA_AS FARROWING B WH</v>
      </c>
      <c r="C1090" t="s">
        <v>443</v>
      </c>
      <c r="D1090" s="180" t="s">
        <v>51</v>
      </c>
      <c r="E1090" t="s">
        <v>3498</v>
      </c>
      <c r="F1090" t="s">
        <v>3499</v>
      </c>
      <c r="G1090" s="180">
        <v>1872</v>
      </c>
      <c r="H1090">
        <v>1959</v>
      </c>
      <c r="J1090" s="1334" t="s">
        <v>475</v>
      </c>
      <c r="K1090" s="1335" t="s">
        <v>486</v>
      </c>
      <c r="L1090" s="180">
        <v>100</v>
      </c>
      <c r="M1090" t="s">
        <v>7818</v>
      </c>
      <c r="N1090" t="str">
        <f t="shared" si="66"/>
        <v>AS FARROWING B WH (2909)</v>
      </c>
      <c r="O1090" t="s">
        <v>52</v>
      </c>
      <c r="P1090" t="str">
        <f t="shared" si="67"/>
        <v>18000_2909</v>
      </c>
      <c r="Q1090" s="180">
        <v>100</v>
      </c>
    </row>
    <row r="1091" spans="1:17">
      <c r="A1091" t="str">
        <f t="shared" ref="A1091:A1154" si="68">_xlfn.CONCAT(D1091,"_",E1091)</f>
        <v>UGA_2910</v>
      </c>
      <c r="B1091" t="str">
        <f t="shared" ref="B1091:B1154" si="69">_xlfn.CONCAT(D1091,"_",F1091)</f>
        <v>UGA_AS WELLHSE WH</v>
      </c>
      <c r="C1091" t="s">
        <v>443</v>
      </c>
      <c r="D1091" s="180" t="s">
        <v>51</v>
      </c>
      <c r="E1091" t="s">
        <v>4014</v>
      </c>
      <c r="F1091" t="s">
        <v>4015</v>
      </c>
      <c r="G1091" s="180">
        <v>70</v>
      </c>
      <c r="H1091">
        <v>1953</v>
      </c>
      <c r="J1091" s="1334" t="s">
        <v>475</v>
      </c>
      <c r="K1091" s="1335" t="s">
        <v>475</v>
      </c>
      <c r="L1091" s="180">
        <v>100</v>
      </c>
      <c r="M1091" t="s">
        <v>7818</v>
      </c>
      <c r="N1091" t="str">
        <f t="shared" ref="N1091:N1154" si="70">_xlfn.CONCAT(F1091," (",E1091,")")</f>
        <v>AS WELLHSE WH (2910)</v>
      </c>
      <c r="O1091" t="s">
        <v>52</v>
      </c>
      <c r="P1091" t="str">
        <f t="shared" ref="P1091:P1154" si="71">_xlfn.CONCAT(C1091,"_",E1091)</f>
        <v>18000_2910</v>
      </c>
      <c r="Q1091" s="180">
        <v>100</v>
      </c>
    </row>
    <row r="1092" spans="1:17">
      <c r="A1092" t="str">
        <f t="shared" si="68"/>
        <v>UGA_2911</v>
      </c>
      <c r="B1092" t="str">
        <f t="shared" si="69"/>
        <v>UGA_SUS ED MAINT BARN</v>
      </c>
      <c r="C1092" t="s">
        <v>443</v>
      </c>
      <c r="D1092" s="180" t="s">
        <v>51</v>
      </c>
      <c r="E1092" t="s">
        <v>3358</v>
      </c>
      <c r="F1092" t="s">
        <v>3359</v>
      </c>
      <c r="G1092" s="180">
        <v>5808</v>
      </c>
      <c r="H1092">
        <v>1928</v>
      </c>
      <c r="J1092" s="1334" t="s">
        <v>475</v>
      </c>
      <c r="K1092" s="1335" t="s">
        <v>475</v>
      </c>
      <c r="L1092" s="180">
        <v>100</v>
      </c>
      <c r="M1092" t="s">
        <v>7818</v>
      </c>
      <c r="N1092" t="str">
        <f t="shared" si="70"/>
        <v>SUS ED MAINT BARN (2911)</v>
      </c>
      <c r="O1092" t="s">
        <v>52</v>
      </c>
      <c r="P1092" t="str">
        <f t="shared" si="71"/>
        <v>18000_2911</v>
      </c>
      <c r="Q1092" s="180">
        <v>100</v>
      </c>
    </row>
    <row r="1093" spans="1:17">
      <c r="A1093" t="str">
        <f t="shared" si="68"/>
        <v>UGA_2920</v>
      </c>
      <c r="B1093" t="str">
        <f t="shared" si="69"/>
        <v>UGA_AS FARROWING BLDG</v>
      </c>
      <c r="C1093" t="s">
        <v>443</v>
      </c>
      <c r="D1093" s="180" t="s">
        <v>51</v>
      </c>
      <c r="E1093" t="s">
        <v>2599</v>
      </c>
      <c r="F1093" t="s">
        <v>2600</v>
      </c>
      <c r="G1093" s="180">
        <v>3449</v>
      </c>
      <c r="H1093">
        <v>1974</v>
      </c>
      <c r="J1093" s="1334" t="s">
        <v>475</v>
      </c>
      <c r="K1093" s="1335" t="s">
        <v>475</v>
      </c>
      <c r="L1093" s="180">
        <v>100</v>
      </c>
      <c r="M1093" t="s">
        <v>7818</v>
      </c>
      <c r="N1093" t="str">
        <f t="shared" si="70"/>
        <v>AS FARROWING BLDG (2920)</v>
      </c>
      <c r="O1093" t="s">
        <v>52</v>
      </c>
      <c r="P1093" t="str">
        <f t="shared" si="71"/>
        <v>18000_2920</v>
      </c>
      <c r="Q1093" s="180">
        <v>100</v>
      </c>
    </row>
    <row r="1094" spans="1:17">
      <c r="A1094" t="str">
        <f t="shared" si="68"/>
        <v>UGA_2921</v>
      </c>
      <c r="B1094" t="str">
        <f t="shared" si="69"/>
        <v>UGA_SOUTH MILLEDGE GH2</v>
      </c>
      <c r="C1094" t="s">
        <v>443</v>
      </c>
      <c r="D1094" s="180" t="s">
        <v>51</v>
      </c>
      <c r="E1094" t="s">
        <v>2730</v>
      </c>
      <c r="F1094" t="s">
        <v>2731</v>
      </c>
      <c r="G1094" s="180">
        <v>19177</v>
      </c>
      <c r="H1094">
        <v>1974</v>
      </c>
      <c r="J1094" s="1334" t="s">
        <v>475</v>
      </c>
      <c r="K1094" s="1335" t="s">
        <v>475</v>
      </c>
      <c r="L1094" s="180">
        <v>100</v>
      </c>
      <c r="M1094" t="s">
        <v>7818</v>
      </c>
      <c r="N1094" t="str">
        <f t="shared" si="70"/>
        <v>SOUTH MILLEDGE GH2 (2921)</v>
      </c>
      <c r="O1094" t="s">
        <v>52</v>
      </c>
      <c r="P1094" t="str">
        <f t="shared" si="71"/>
        <v>18000_2921</v>
      </c>
      <c r="Q1094" s="180">
        <v>91</v>
      </c>
    </row>
    <row r="1095" spans="1:17">
      <c r="A1095" t="str">
        <f t="shared" si="68"/>
        <v>UGA_2922</v>
      </c>
      <c r="B1095" t="str">
        <f t="shared" si="69"/>
        <v>UGA_AS BOAR TEST 1</v>
      </c>
      <c r="C1095" t="s">
        <v>443</v>
      </c>
      <c r="D1095" s="180" t="s">
        <v>51</v>
      </c>
      <c r="E1095" t="s">
        <v>2415</v>
      </c>
      <c r="F1095" t="s">
        <v>2416</v>
      </c>
      <c r="G1095" s="180">
        <v>4723</v>
      </c>
      <c r="H1095">
        <v>1982</v>
      </c>
      <c r="J1095" s="1334" t="s">
        <v>475</v>
      </c>
      <c r="K1095" s="1335" t="s">
        <v>475</v>
      </c>
      <c r="L1095" s="180">
        <v>100</v>
      </c>
      <c r="M1095" t="s">
        <v>7818</v>
      </c>
      <c r="N1095" t="str">
        <f t="shared" si="70"/>
        <v>AS BOAR TEST 1 (2922)</v>
      </c>
      <c r="O1095" t="s">
        <v>52</v>
      </c>
      <c r="P1095" t="str">
        <f t="shared" si="71"/>
        <v>18000_2922</v>
      </c>
      <c r="Q1095" s="180">
        <v>100</v>
      </c>
    </row>
    <row r="1096" spans="1:17">
      <c r="A1096" t="str">
        <f t="shared" si="68"/>
        <v>UGA_2923</v>
      </c>
      <c r="B1096" t="str">
        <f t="shared" si="69"/>
        <v>UGA_AS BOAR TEST 2</v>
      </c>
      <c r="C1096" t="s">
        <v>443</v>
      </c>
      <c r="D1096" s="180" t="s">
        <v>51</v>
      </c>
      <c r="E1096" t="s">
        <v>2128</v>
      </c>
      <c r="F1096" t="s">
        <v>2129</v>
      </c>
      <c r="G1096" s="180">
        <v>4725</v>
      </c>
      <c r="H1096">
        <v>1982</v>
      </c>
      <c r="J1096" s="1334" t="s">
        <v>475</v>
      </c>
      <c r="K1096" s="1335" t="s">
        <v>475</v>
      </c>
      <c r="L1096" s="180">
        <v>100</v>
      </c>
      <c r="M1096" t="s">
        <v>7818</v>
      </c>
      <c r="N1096" t="str">
        <f t="shared" si="70"/>
        <v>AS BOAR TEST 2 (2923)</v>
      </c>
      <c r="O1096" t="s">
        <v>52</v>
      </c>
      <c r="P1096" t="str">
        <f t="shared" si="71"/>
        <v>18000_2923</v>
      </c>
      <c r="Q1096" s="180">
        <v>100</v>
      </c>
    </row>
    <row r="1097" spans="1:17">
      <c r="A1097" t="str">
        <f t="shared" si="68"/>
        <v>UGA_2925</v>
      </c>
      <c r="B1097" t="str">
        <f t="shared" si="69"/>
        <v>UGA_MERCK SWINE BARN</v>
      </c>
      <c r="C1097" t="s">
        <v>443</v>
      </c>
      <c r="D1097" s="180" t="s">
        <v>51</v>
      </c>
      <c r="E1097" t="s">
        <v>1734</v>
      </c>
      <c r="F1097" t="s">
        <v>1735</v>
      </c>
      <c r="G1097" s="180">
        <v>1320</v>
      </c>
      <c r="H1097">
        <v>1982</v>
      </c>
      <c r="J1097" s="1334" t="s">
        <v>475</v>
      </c>
      <c r="K1097" s="1335" t="s">
        <v>475</v>
      </c>
      <c r="L1097" s="180">
        <v>100</v>
      </c>
      <c r="M1097" t="s">
        <v>7818</v>
      </c>
      <c r="N1097" t="str">
        <f t="shared" si="70"/>
        <v>MERCK SWINE BARN (2925)</v>
      </c>
      <c r="O1097" t="s">
        <v>52</v>
      </c>
      <c r="P1097" t="str">
        <f t="shared" si="71"/>
        <v>18000_2925</v>
      </c>
      <c r="Q1097" s="180">
        <v>100</v>
      </c>
    </row>
    <row r="1098" spans="1:17">
      <c r="A1098" t="str">
        <f t="shared" si="68"/>
        <v>UGA_2926</v>
      </c>
      <c r="B1098" t="str">
        <f t="shared" si="69"/>
        <v>UGA_TURFGRASS RES &amp; ED</v>
      </c>
      <c r="C1098" t="s">
        <v>443</v>
      </c>
      <c r="D1098" s="180" t="s">
        <v>51</v>
      </c>
      <c r="E1098" t="s">
        <v>2820</v>
      </c>
      <c r="F1098" t="s">
        <v>2821</v>
      </c>
      <c r="G1098" s="180">
        <v>3966</v>
      </c>
      <c r="H1098">
        <v>2014</v>
      </c>
      <c r="J1098" s="1334" t="s">
        <v>475</v>
      </c>
      <c r="K1098" s="1335" t="s">
        <v>475</v>
      </c>
      <c r="L1098" s="180">
        <v>100</v>
      </c>
      <c r="M1098" t="s">
        <v>7818</v>
      </c>
      <c r="N1098" t="str">
        <f t="shared" si="70"/>
        <v>TURFGRASS RES &amp; ED (2926)</v>
      </c>
      <c r="O1098" t="s">
        <v>52</v>
      </c>
      <c r="P1098" t="str">
        <f t="shared" si="71"/>
        <v>18000_2926</v>
      </c>
      <c r="Q1098" s="180">
        <v>100</v>
      </c>
    </row>
    <row r="1099" spans="1:17">
      <c r="A1099" t="str">
        <f t="shared" si="68"/>
        <v>UGA_2928</v>
      </c>
      <c r="B1099" t="str">
        <f t="shared" si="69"/>
        <v>UGA_AS SWINE GESTN</v>
      </c>
      <c r="C1099" t="s">
        <v>443</v>
      </c>
      <c r="D1099" s="180" t="s">
        <v>51</v>
      </c>
      <c r="E1099" t="s">
        <v>4423</v>
      </c>
      <c r="F1099" t="s">
        <v>4424</v>
      </c>
      <c r="G1099" s="180">
        <v>2400</v>
      </c>
      <c r="H1099">
        <v>1986</v>
      </c>
      <c r="J1099" s="1334" t="s">
        <v>475</v>
      </c>
      <c r="K1099" s="1335" t="s">
        <v>475</v>
      </c>
      <c r="L1099" s="180">
        <v>100</v>
      </c>
      <c r="M1099" t="s">
        <v>7818</v>
      </c>
      <c r="N1099" t="str">
        <f t="shared" si="70"/>
        <v>AS SWINE GESTN (2928)</v>
      </c>
      <c r="O1099" t="s">
        <v>52</v>
      </c>
      <c r="P1099" t="str">
        <f t="shared" si="71"/>
        <v>18000_2928</v>
      </c>
      <c r="Q1099" s="180">
        <v>100</v>
      </c>
    </row>
    <row r="1100" spans="1:17">
      <c r="A1100" t="str">
        <f t="shared" si="68"/>
        <v>UGA_2959</v>
      </c>
      <c r="B1100" t="str">
        <f t="shared" si="69"/>
        <v>UGA_AS B&amp;B C PAVILION</v>
      </c>
      <c r="C1100" t="s">
        <v>443</v>
      </c>
      <c r="D1100" s="180" t="s">
        <v>51</v>
      </c>
      <c r="E1100" t="s">
        <v>3637</v>
      </c>
      <c r="F1100" t="s">
        <v>3638</v>
      </c>
      <c r="G1100" s="180">
        <v>3240</v>
      </c>
      <c r="H1100">
        <v>1991</v>
      </c>
      <c r="J1100" s="1334" t="s">
        <v>475</v>
      </c>
      <c r="K1100" s="1335" t="s">
        <v>475</v>
      </c>
      <c r="L1100" s="180">
        <v>100</v>
      </c>
      <c r="M1100" t="s">
        <v>7818</v>
      </c>
      <c r="N1100" t="str">
        <f t="shared" si="70"/>
        <v>AS B&amp;B C PAVILION (2959)</v>
      </c>
      <c r="O1100" t="s">
        <v>52</v>
      </c>
      <c r="P1100" t="str">
        <f t="shared" si="71"/>
        <v>18000_2959</v>
      </c>
      <c r="Q1100" s="180">
        <v>100</v>
      </c>
    </row>
    <row r="1101" spans="1:17">
      <c r="A1101" t="str">
        <f t="shared" si="68"/>
        <v>UGA_2960</v>
      </c>
      <c r="B1101" t="str">
        <f t="shared" si="69"/>
        <v>UGA_EQUESTRIAN POLE BN</v>
      </c>
      <c r="C1101" t="s">
        <v>443</v>
      </c>
      <c r="D1101" s="180" t="s">
        <v>51</v>
      </c>
      <c r="E1101" t="s">
        <v>2601</v>
      </c>
      <c r="F1101" t="s">
        <v>2602</v>
      </c>
      <c r="G1101" s="180">
        <v>3168</v>
      </c>
      <c r="H1101">
        <v>2002</v>
      </c>
      <c r="J1101" s="1334" t="s">
        <v>475</v>
      </c>
      <c r="K1101" s="1335" t="s">
        <v>475</v>
      </c>
      <c r="L1101" s="180">
        <v>0</v>
      </c>
      <c r="M1101" t="s">
        <v>7818</v>
      </c>
      <c r="N1101" t="str">
        <f t="shared" si="70"/>
        <v>EQUESTRIAN POLE BN (2960)</v>
      </c>
      <c r="O1101" t="s">
        <v>52</v>
      </c>
      <c r="P1101" t="str">
        <f t="shared" si="71"/>
        <v>18000_2960</v>
      </c>
      <c r="Q1101" s="180">
        <v>100</v>
      </c>
    </row>
    <row r="1102" spans="1:17">
      <c r="A1102" t="str">
        <f t="shared" si="68"/>
        <v>UGA_2964</v>
      </c>
      <c r="B1102" t="str">
        <f t="shared" si="69"/>
        <v>UGA_GOLF BOOSTER PUMP</v>
      </c>
      <c r="C1102" t="s">
        <v>443</v>
      </c>
      <c r="D1102" s="180" t="s">
        <v>51</v>
      </c>
      <c r="E1102" t="s">
        <v>3500</v>
      </c>
      <c r="F1102" t="s">
        <v>3501</v>
      </c>
      <c r="G1102" s="180">
        <v>182</v>
      </c>
      <c r="H1102">
        <v>2002</v>
      </c>
      <c r="J1102" s="1334" t="s">
        <v>475</v>
      </c>
      <c r="K1102" s="1335" t="s">
        <v>475</v>
      </c>
      <c r="L1102" s="180">
        <v>0</v>
      </c>
      <c r="M1102" t="s">
        <v>7818</v>
      </c>
      <c r="N1102" t="str">
        <f t="shared" si="70"/>
        <v>GOLF BOOSTER PUMP (2964)</v>
      </c>
      <c r="O1102" t="s">
        <v>52</v>
      </c>
      <c r="P1102" t="str">
        <f t="shared" si="71"/>
        <v>18000_2964</v>
      </c>
      <c r="Q1102" s="180">
        <v>100</v>
      </c>
    </row>
    <row r="1103" spans="1:17">
      <c r="A1103" t="str">
        <f t="shared" si="68"/>
        <v>UGA_2965</v>
      </c>
      <c r="B1103" t="str">
        <f t="shared" si="69"/>
        <v>UGA_GOLF PUMP HOUSE</v>
      </c>
      <c r="C1103" t="s">
        <v>443</v>
      </c>
      <c r="D1103" s="180" t="s">
        <v>51</v>
      </c>
      <c r="E1103" t="s">
        <v>1958</v>
      </c>
      <c r="F1103" t="s">
        <v>1959</v>
      </c>
      <c r="G1103" s="180">
        <v>676</v>
      </c>
      <c r="H1103">
        <v>2002</v>
      </c>
      <c r="J1103" s="1334" t="s">
        <v>475</v>
      </c>
      <c r="K1103" s="1335" t="s">
        <v>475</v>
      </c>
      <c r="L1103" s="180">
        <v>0</v>
      </c>
      <c r="M1103" t="s">
        <v>7818</v>
      </c>
      <c r="N1103" t="str">
        <f t="shared" si="70"/>
        <v>GOLF PUMP HOUSE (2965)</v>
      </c>
      <c r="O1103" t="s">
        <v>52</v>
      </c>
      <c r="P1103" t="str">
        <f t="shared" si="71"/>
        <v>18000_2965</v>
      </c>
      <c r="Q1103" s="180">
        <v>100</v>
      </c>
    </row>
    <row r="1104" spans="1:17">
      <c r="A1104" t="str">
        <f t="shared" si="68"/>
        <v>UGA_2968</v>
      </c>
      <c r="B1104" t="str">
        <f t="shared" si="69"/>
        <v>UGA_TURF SCIENCE RE GH</v>
      </c>
      <c r="C1104" t="s">
        <v>443</v>
      </c>
      <c r="D1104" s="180" t="s">
        <v>51</v>
      </c>
      <c r="E1104" t="s">
        <v>1594</v>
      </c>
      <c r="F1104" t="s">
        <v>1595</v>
      </c>
      <c r="G1104" s="180">
        <v>3934</v>
      </c>
      <c r="H1104">
        <v>2016</v>
      </c>
      <c r="J1104" s="1334" t="s">
        <v>475</v>
      </c>
      <c r="K1104" s="1335" t="s">
        <v>475</v>
      </c>
      <c r="L1104" s="180">
        <v>100</v>
      </c>
      <c r="M1104" t="s">
        <v>7818</v>
      </c>
      <c r="N1104" t="str">
        <f t="shared" si="70"/>
        <v>TURF SCIENCE RE GH (2968)</v>
      </c>
      <c r="O1104" t="s">
        <v>52</v>
      </c>
      <c r="P1104" t="str">
        <f t="shared" si="71"/>
        <v>18000_2968</v>
      </c>
      <c r="Q1104" s="180">
        <v>100</v>
      </c>
    </row>
    <row r="1105" spans="1:17">
      <c r="A1105" t="str">
        <f t="shared" si="68"/>
        <v>UGA_2970</v>
      </c>
      <c r="B1105" t="str">
        <f t="shared" si="69"/>
        <v>UGA_INTRA TENNIS PAVIL</v>
      </c>
      <c r="C1105" t="s">
        <v>443</v>
      </c>
      <c r="D1105" s="180" t="s">
        <v>51</v>
      </c>
      <c r="E1105" t="s">
        <v>3686</v>
      </c>
      <c r="F1105" t="s">
        <v>3687</v>
      </c>
      <c r="G1105" s="180">
        <v>1440</v>
      </c>
      <c r="H1105">
        <v>1998</v>
      </c>
      <c r="J1105" s="1334" t="s">
        <v>475</v>
      </c>
      <c r="K1105" s="1335" t="s">
        <v>475</v>
      </c>
      <c r="L1105" s="180">
        <v>100</v>
      </c>
      <c r="M1105" t="s">
        <v>7818</v>
      </c>
      <c r="N1105" t="str">
        <f t="shared" si="70"/>
        <v>INTRA TENNIS PAVIL (2970)</v>
      </c>
      <c r="O1105" t="s">
        <v>52</v>
      </c>
      <c r="P1105" t="str">
        <f t="shared" si="71"/>
        <v>18000_2970</v>
      </c>
      <c r="Q1105" s="180">
        <v>0</v>
      </c>
    </row>
    <row r="1106" spans="1:17">
      <c r="A1106" t="str">
        <f t="shared" si="68"/>
        <v>UGA_2972</v>
      </c>
      <c r="B1106" t="str">
        <f t="shared" si="69"/>
        <v>UGA_INTRAMURAL PK DECK</v>
      </c>
      <c r="C1106" t="s">
        <v>443</v>
      </c>
      <c r="D1106" s="180" t="s">
        <v>51</v>
      </c>
      <c r="E1106" t="s">
        <v>2366</v>
      </c>
      <c r="F1106" t="s">
        <v>7727</v>
      </c>
      <c r="G1106" s="180">
        <v>167546</v>
      </c>
      <c r="H1106">
        <v>2009</v>
      </c>
      <c r="J1106" s="1334" t="s">
        <v>486</v>
      </c>
      <c r="K1106" s="1335" t="s">
        <v>475</v>
      </c>
      <c r="L1106" s="180">
        <v>100</v>
      </c>
      <c r="M1106" t="s">
        <v>7818</v>
      </c>
      <c r="N1106" t="str">
        <f t="shared" si="70"/>
        <v>INTRAMURAL PK DECK (2972)</v>
      </c>
      <c r="O1106" t="s">
        <v>52</v>
      </c>
      <c r="P1106" t="str">
        <f t="shared" si="71"/>
        <v>18000_2972</v>
      </c>
      <c r="Q1106" s="180">
        <v>0</v>
      </c>
    </row>
    <row r="1107" spans="1:17">
      <c r="A1107" t="str">
        <f t="shared" si="68"/>
        <v>UGA_2974</v>
      </c>
      <c r="B1107" t="str">
        <f t="shared" si="69"/>
        <v>UGA_REDCOAT BAND TWR</v>
      </c>
      <c r="C1107" t="s">
        <v>443</v>
      </c>
      <c r="D1107" s="180" t="s">
        <v>51</v>
      </c>
      <c r="E1107" t="s">
        <v>4464</v>
      </c>
      <c r="F1107" t="s">
        <v>4465</v>
      </c>
      <c r="G1107" s="180">
        <v>420</v>
      </c>
      <c r="H1107">
        <v>2018</v>
      </c>
      <c r="J1107" s="1334" t="s">
        <v>475</v>
      </c>
      <c r="K1107" s="1335" t="s">
        <v>475</v>
      </c>
      <c r="L1107" s="180">
        <v>0</v>
      </c>
      <c r="M1107" t="s">
        <v>7818</v>
      </c>
      <c r="N1107" t="str">
        <f t="shared" si="70"/>
        <v>REDCOAT BAND TWR (2974)</v>
      </c>
      <c r="O1107" t="s">
        <v>52</v>
      </c>
      <c r="P1107" t="str">
        <f t="shared" si="71"/>
        <v>18000_2974</v>
      </c>
      <c r="Q1107" s="180">
        <v>0</v>
      </c>
    </row>
    <row r="1108" spans="1:17">
      <c r="A1108" t="str">
        <f t="shared" si="68"/>
        <v>UGA_2980</v>
      </c>
      <c r="B1108" t="str">
        <f t="shared" si="69"/>
        <v>UGA_SOUTH MILLEDGE GH1</v>
      </c>
      <c r="C1108" t="s">
        <v>443</v>
      </c>
      <c r="D1108" s="180" t="s">
        <v>51</v>
      </c>
      <c r="E1108" t="s">
        <v>1898</v>
      </c>
      <c r="F1108" t="s">
        <v>1899</v>
      </c>
      <c r="G1108" s="180">
        <v>15565</v>
      </c>
      <c r="H1108">
        <v>2008</v>
      </c>
      <c r="J1108" s="1334" t="s">
        <v>475</v>
      </c>
      <c r="K1108" s="1335" t="s">
        <v>475</v>
      </c>
      <c r="L1108" s="180">
        <v>100</v>
      </c>
      <c r="M1108" t="s">
        <v>7818</v>
      </c>
      <c r="N1108" t="str">
        <f t="shared" si="70"/>
        <v>SOUTH MILLEDGE GH1 (2980)</v>
      </c>
      <c r="O1108" t="s">
        <v>52</v>
      </c>
      <c r="P1108" t="str">
        <f t="shared" si="71"/>
        <v>18000_2980</v>
      </c>
      <c r="Q1108" s="180">
        <v>0</v>
      </c>
    </row>
    <row r="1109" spans="1:17">
      <c r="A1109" t="str">
        <f t="shared" si="68"/>
        <v>UGA_2982</v>
      </c>
      <c r="B1109" t="str">
        <f t="shared" si="69"/>
        <v>UGA_UGARDEN TEACHING GH</v>
      </c>
      <c r="C1109" t="s">
        <v>443</v>
      </c>
      <c r="D1109" s="180" t="s">
        <v>51</v>
      </c>
      <c r="E1109" t="s">
        <v>2130</v>
      </c>
      <c r="F1109" t="s">
        <v>2131</v>
      </c>
      <c r="G1109" s="180">
        <v>3366</v>
      </c>
      <c r="H1109">
        <v>2021</v>
      </c>
      <c r="J1109" s="1334" t="s">
        <v>475</v>
      </c>
      <c r="K1109" s="1335" t="s">
        <v>475</v>
      </c>
      <c r="L1109" s="180">
        <v>100</v>
      </c>
      <c r="M1109" t="s">
        <v>7818</v>
      </c>
      <c r="N1109" t="str">
        <f t="shared" si="70"/>
        <v>UGARDEN TEACHING GH (2982)</v>
      </c>
      <c r="O1109" t="s">
        <v>52</v>
      </c>
      <c r="P1109" t="str">
        <f t="shared" si="71"/>
        <v>18000_2982</v>
      </c>
      <c r="Q1109" s="180">
        <v>0</v>
      </c>
    </row>
    <row r="1110" spans="1:17">
      <c r="A1110" t="str">
        <f t="shared" si="68"/>
        <v>UGA_3012</v>
      </c>
      <c r="B1110" t="str">
        <f t="shared" si="69"/>
        <v>UGA_ENT QUARANTINE LAB</v>
      </c>
      <c r="C1110" t="s">
        <v>443</v>
      </c>
      <c r="D1110" s="180" t="s">
        <v>51</v>
      </c>
      <c r="E1110" t="s">
        <v>4466</v>
      </c>
      <c r="F1110" t="s">
        <v>4467</v>
      </c>
      <c r="G1110" s="180">
        <v>1874</v>
      </c>
      <c r="H1110">
        <v>1988</v>
      </c>
      <c r="J1110" s="1334" t="s">
        <v>475</v>
      </c>
      <c r="K1110" s="1335" t="s">
        <v>475</v>
      </c>
      <c r="L1110" s="180">
        <v>0</v>
      </c>
      <c r="M1110" t="s">
        <v>4</v>
      </c>
      <c r="N1110" t="str">
        <f t="shared" si="70"/>
        <v>ENT QUARANTINE LAB (3012)</v>
      </c>
      <c r="O1110" t="s">
        <v>52</v>
      </c>
      <c r="P1110" t="str">
        <f t="shared" si="71"/>
        <v>18000_3012</v>
      </c>
      <c r="Q1110" s="180">
        <v>0</v>
      </c>
    </row>
    <row r="1111" spans="1:17">
      <c r="A1111" t="str">
        <f t="shared" si="68"/>
        <v>UGA_3033</v>
      </c>
      <c r="B1111" t="str">
        <f t="shared" si="69"/>
        <v>UGA_HORT FARM GH # 10</v>
      </c>
      <c r="C1111" t="s">
        <v>443</v>
      </c>
      <c r="D1111" s="180" t="s">
        <v>51</v>
      </c>
      <c r="E1111" t="s">
        <v>2768</v>
      </c>
      <c r="F1111" t="s">
        <v>2769</v>
      </c>
      <c r="G1111" s="180">
        <v>1924</v>
      </c>
      <c r="H1111">
        <v>2015</v>
      </c>
      <c r="J1111" s="1334" t="s">
        <v>475</v>
      </c>
      <c r="K1111" s="1335" t="s">
        <v>475</v>
      </c>
      <c r="L1111" s="180">
        <v>0</v>
      </c>
      <c r="M1111" t="s">
        <v>4</v>
      </c>
      <c r="N1111" t="str">
        <f t="shared" si="70"/>
        <v>HORT FARM GH # 10 (3033)</v>
      </c>
      <c r="O1111" t="s">
        <v>52</v>
      </c>
      <c r="P1111" t="str">
        <f t="shared" si="71"/>
        <v>18000_3033</v>
      </c>
      <c r="Q1111" s="180">
        <v>0</v>
      </c>
    </row>
    <row r="1112" spans="1:17">
      <c r="A1112" t="str">
        <f t="shared" si="68"/>
        <v>UGA_3034</v>
      </c>
      <c r="B1112" t="str">
        <f t="shared" si="69"/>
        <v>UGA_HORT FARM GHS # 11</v>
      </c>
      <c r="C1112" t="s">
        <v>443</v>
      </c>
      <c r="D1112" s="180" t="s">
        <v>51</v>
      </c>
      <c r="E1112" t="s">
        <v>2770</v>
      </c>
      <c r="F1112" t="s">
        <v>2771</v>
      </c>
      <c r="G1112" s="180">
        <v>1924</v>
      </c>
      <c r="H1112">
        <v>2015</v>
      </c>
      <c r="J1112" s="1334" t="s">
        <v>475</v>
      </c>
      <c r="K1112" s="1335" t="s">
        <v>475</v>
      </c>
      <c r="L1112" s="180">
        <v>0</v>
      </c>
      <c r="M1112" t="s">
        <v>4</v>
      </c>
      <c r="N1112" t="str">
        <f t="shared" si="70"/>
        <v>HORT FARM GHS # 11 (3034)</v>
      </c>
      <c r="O1112" t="s">
        <v>52</v>
      </c>
      <c r="P1112" t="str">
        <f t="shared" si="71"/>
        <v>18000_3034</v>
      </c>
      <c r="Q1112" s="180">
        <v>100</v>
      </c>
    </row>
    <row r="1113" spans="1:17">
      <c r="A1113" t="str">
        <f t="shared" si="68"/>
        <v>UGA_3035</v>
      </c>
      <c r="B1113" t="str">
        <f t="shared" si="69"/>
        <v>UGA_BEE LAB POLE BARN</v>
      </c>
      <c r="C1113" t="s">
        <v>443</v>
      </c>
      <c r="D1113" s="180" t="s">
        <v>51</v>
      </c>
      <c r="E1113" t="s">
        <v>1800</v>
      </c>
      <c r="F1113" t="s">
        <v>1801</v>
      </c>
      <c r="G1113" s="180">
        <v>1800</v>
      </c>
      <c r="H1113">
        <v>2014</v>
      </c>
      <c r="J1113" s="1334" t="s">
        <v>475</v>
      </c>
      <c r="K1113" s="1335" t="s">
        <v>475</v>
      </c>
      <c r="L1113" s="180">
        <v>0</v>
      </c>
      <c r="M1113" t="s">
        <v>4</v>
      </c>
      <c r="N1113" t="str">
        <f t="shared" si="70"/>
        <v>BEE LAB POLE BARN (3035)</v>
      </c>
      <c r="O1113" t="s">
        <v>52</v>
      </c>
      <c r="P1113" t="str">
        <f t="shared" si="71"/>
        <v>18000_3035</v>
      </c>
      <c r="Q1113" s="180">
        <v>0</v>
      </c>
    </row>
    <row r="1114" spans="1:17">
      <c r="A1114" t="str">
        <f t="shared" si="68"/>
        <v>UGA_3036</v>
      </c>
      <c r="B1114" t="str">
        <f t="shared" si="69"/>
        <v>UGA_HORT SNOW ARCH GH</v>
      </c>
      <c r="C1114" t="s">
        <v>443</v>
      </c>
      <c r="D1114" s="180" t="s">
        <v>51</v>
      </c>
      <c r="E1114" t="s">
        <v>3360</v>
      </c>
      <c r="F1114" t="s">
        <v>3361</v>
      </c>
      <c r="G1114" s="180">
        <v>2304</v>
      </c>
      <c r="H1114">
        <v>2013</v>
      </c>
      <c r="J1114" s="1334" t="s">
        <v>475</v>
      </c>
      <c r="K1114" s="1335" t="s">
        <v>475</v>
      </c>
      <c r="L1114" s="180">
        <v>0</v>
      </c>
      <c r="M1114" t="s">
        <v>4</v>
      </c>
      <c r="N1114" t="str">
        <f t="shared" si="70"/>
        <v>HORT SNOW ARCH GH (3036)</v>
      </c>
      <c r="O1114" t="s">
        <v>52</v>
      </c>
      <c r="P1114" t="str">
        <f t="shared" si="71"/>
        <v>18000_3036</v>
      </c>
      <c r="Q1114" s="180">
        <v>100</v>
      </c>
    </row>
    <row r="1115" spans="1:17">
      <c r="A1115" t="str">
        <f t="shared" si="68"/>
        <v>UGA_3037</v>
      </c>
      <c r="B1115" t="str">
        <f t="shared" si="69"/>
        <v>UGA_HORT POLE SHED 3</v>
      </c>
      <c r="C1115" t="s">
        <v>443</v>
      </c>
      <c r="D1115" s="180" t="s">
        <v>51</v>
      </c>
      <c r="E1115" t="s">
        <v>2880</v>
      </c>
      <c r="F1115" t="s">
        <v>2881</v>
      </c>
      <c r="G1115" s="180">
        <v>2945</v>
      </c>
      <c r="H1115">
        <v>2010</v>
      </c>
      <c r="J1115" s="1334" t="s">
        <v>475</v>
      </c>
      <c r="K1115" s="1335" t="s">
        <v>475</v>
      </c>
      <c r="L1115" s="180">
        <v>0</v>
      </c>
      <c r="M1115" t="s">
        <v>4</v>
      </c>
      <c r="N1115" t="str">
        <f t="shared" si="70"/>
        <v>HORT POLE SHED 3 (3037)</v>
      </c>
      <c r="O1115" t="s">
        <v>52</v>
      </c>
      <c r="P1115" t="str">
        <f t="shared" si="71"/>
        <v>18000_3037</v>
      </c>
      <c r="Q1115" s="180">
        <v>100</v>
      </c>
    </row>
    <row r="1116" spans="1:17">
      <c r="A1116" t="str">
        <f t="shared" si="68"/>
        <v>UGA_3038</v>
      </c>
      <c r="B1116" t="str">
        <f t="shared" si="69"/>
        <v>UGA_PREFAB STRG BLDG 3</v>
      </c>
      <c r="C1116" t="s">
        <v>443</v>
      </c>
      <c r="D1116" s="180" t="s">
        <v>51</v>
      </c>
      <c r="E1116" t="s">
        <v>4291</v>
      </c>
      <c r="F1116" t="s">
        <v>4292</v>
      </c>
      <c r="G1116" s="180">
        <v>552</v>
      </c>
      <c r="H1116">
        <v>2007</v>
      </c>
      <c r="J1116" s="1334" t="s">
        <v>475</v>
      </c>
      <c r="K1116" s="1335" t="s">
        <v>475</v>
      </c>
      <c r="L1116" s="180">
        <v>0</v>
      </c>
      <c r="M1116" t="s">
        <v>4</v>
      </c>
      <c r="N1116" t="str">
        <f t="shared" si="70"/>
        <v>PREFAB STRG BLDG 3 (3038)</v>
      </c>
      <c r="O1116" t="s">
        <v>52</v>
      </c>
      <c r="P1116" t="str">
        <f t="shared" si="71"/>
        <v>18000_3038</v>
      </c>
      <c r="Q1116" s="180">
        <v>100</v>
      </c>
    </row>
    <row r="1117" spans="1:17">
      <c r="A1117" t="str">
        <f t="shared" si="68"/>
        <v>UGA_3039</v>
      </c>
      <c r="B1117" t="str">
        <f t="shared" si="69"/>
        <v>UGA_HORT FARM GH #5</v>
      </c>
      <c r="C1117" t="s">
        <v>443</v>
      </c>
      <c r="D1117" s="180" t="s">
        <v>51</v>
      </c>
      <c r="E1117" t="s">
        <v>4074</v>
      </c>
      <c r="F1117" t="s">
        <v>4075</v>
      </c>
      <c r="G1117" s="180">
        <v>2688</v>
      </c>
      <c r="H1117">
        <v>2007</v>
      </c>
      <c r="J1117" s="1334" t="s">
        <v>475</v>
      </c>
      <c r="K1117" s="1335" t="s">
        <v>475</v>
      </c>
      <c r="L1117" s="180">
        <v>0</v>
      </c>
      <c r="M1117" t="s">
        <v>4</v>
      </c>
      <c r="N1117" t="str">
        <f t="shared" si="70"/>
        <v>HORT FARM GH #5 (3039)</v>
      </c>
      <c r="O1117" t="s">
        <v>52</v>
      </c>
      <c r="P1117" t="str">
        <f t="shared" si="71"/>
        <v>18000_3039</v>
      </c>
      <c r="Q1117" s="180">
        <v>100</v>
      </c>
    </row>
    <row r="1118" spans="1:17">
      <c r="A1118" t="str">
        <f t="shared" si="68"/>
        <v>UGA_3040</v>
      </c>
      <c r="B1118" t="str">
        <f t="shared" si="69"/>
        <v>UGA_HORT FARM GH #6</v>
      </c>
      <c r="C1118" t="s">
        <v>443</v>
      </c>
      <c r="D1118" s="180" t="s">
        <v>51</v>
      </c>
      <c r="E1118" t="s">
        <v>1736</v>
      </c>
      <c r="F1118" t="s">
        <v>1737</v>
      </c>
      <c r="G1118" s="180">
        <v>2688</v>
      </c>
      <c r="H1118">
        <v>2007</v>
      </c>
      <c r="J1118" s="1334" t="s">
        <v>475</v>
      </c>
      <c r="K1118" s="1335" t="s">
        <v>475</v>
      </c>
      <c r="L1118" s="180">
        <v>0</v>
      </c>
      <c r="M1118" t="s">
        <v>4</v>
      </c>
      <c r="N1118" t="str">
        <f t="shared" si="70"/>
        <v>HORT FARM GH #6 (3040)</v>
      </c>
      <c r="O1118" t="s">
        <v>52</v>
      </c>
      <c r="P1118" t="str">
        <f t="shared" si="71"/>
        <v>18000_3040</v>
      </c>
      <c r="Q1118" s="180">
        <v>0</v>
      </c>
    </row>
    <row r="1119" spans="1:17">
      <c r="A1119" t="str">
        <f t="shared" si="68"/>
        <v>UGA_3041</v>
      </c>
      <c r="B1119" t="str">
        <f t="shared" si="69"/>
        <v>UGA_SHED &amp; BB SHADE</v>
      </c>
      <c r="C1119" t="s">
        <v>443</v>
      </c>
      <c r="D1119" s="180" t="s">
        <v>51</v>
      </c>
      <c r="E1119" t="s">
        <v>7610</v>
      </c>
      <c r="F1119" t="s">
        <v>7728</v>
      </c>
      <c r="G1119" s="180">
        <v>124</v>
      </c>
      <c r="H1119">
        <v>2007</v>
      </c>
      <c r="J1119" s="1334" t="s">
        <v>475</v>
      </c>
      <c r="K1119" s="1335" t="s">
        <v>475</v>
      </c>
      <c r="L1119" s="180">
        <v>0</v>
      </c>
      <c r="M1119" t="s">
        <v>4</v>
      </c>
      <c r="N1119" t="str">
        <f t="shared" si="70"/>
        <v>SHED &amp; BB SHADE (3041)</v>
      </c>
      <c r="O1119" t="s">
        <v>52</v>
      </c>
      <c r="P1119" t="str">
        <f t="shared" si="71"/>
        <v>18000_3041</v>
      </c>
      <c r="Q1119" s="180">
        <v>0</v>
      </c>
    </row>
    <row r="1120" spans="1:17">
      <c r="A1120" t="str">
        <f t="shared" si="68"/>
        <v>UGA_3042</v>
      </c>
      <c r="B1120" t="str">
        <f t="shared" si="69"/>
        <v>UGA_HORT FARM GH #7</v>
      </c>
      <c r="C1120" t="s">
        <v>443</v>
      </c>
      <c r="D1120" s="180" t="s">
        <v>51</v>
      </c>
      <c r="E1120" t="s">
        <v>7611</v>
      </c>
      <c r="F1120" t="s">
        <v>7729</v>
      </c>
      <c r="G1120" s="180">
        <v>1445</v>
      </c>
      <c r="H1120">
        <v>2007</v>
      </c>
      <c r="J1120" s="1334" t="s">
        <v>475</v>
      </c>
      <c r="K1120" s="1335" t="s">
        <v>475</v>
      </c>
      <c r="L1120" s="180">
        <v>0</v>
      </c>
      <c r="M1120" t="s">
        <v>4</v>
      </c>
      <c r="N1120" t="str">
        <f t="shared" si="70"/>
        <v>HORT FARM GH #7 (3042)</v>
      </c>
      <c r="O1120" t="s">
        <v>52</v>
      </c>
      <c r="P1120" t="str">
        <f t="shared" si="71"/>
        <v>18000_3042</v>
      </c>
      <c r="Q1120" s="180">
        <v>0</v>
      </c>
    </row>
    <row r="1121" spans="1:17">
      <c r="A1121" t="str">
        <f t="shared" si="68"/>
        <v>UGA_3043</v>
      </c>
      <c r="B1121" t="str">
        <f t="shared" si="69"/>
        <v>UGA_HORT FARM GH #8</v>
      </c>
      <c r="C1121" t="s">
        <v>443</v>
      </c>
      <c r="D1121" s="180" t="s">
        <v>51</v>
      </c>
      <c r="E1121" t="s">
        <v>7612</v>
      </c>
      <c r="F1121" t="s">
        <v>7730</v>
      </c>
      <c r="G1121" s="180">
        <v>1445</v>
      </c>
      <c r="H1121">
        <v>2007</v>
      </c>
      <c r="J1121" s="1334" t="s">
        <v>475</v>
      </c>
      <c r="K1121" s="1335" t="s">
        <v>475</v>
      </c>
      <c r="L1121" s="180">
        <v>0</v>
      </c>
      <c r="M1121" t="s">
        <v>4</v>
      </c>
      <c r="N1121" t="str">
        <f t="shared" si="70"/>
        <v>HORT FARM GH #8 (3043)</v>
      </c>
      <c r="O1121" t="s">
        <v>52</v>
      </c>
      <c r="P1121" t="str">
        <f t="shared" si="71"/>
        <v>18000_3043</v>
      </c>
      <c r="Q1121" s="180">
        <v>0</v>
      </c>
    </row>
    <row r="1122" spans="1:17">
      <c r="A1122" t="str">
        <f t="shared" si="68"/>
        <v>UGA_3044</v>
      </c>
      <c r="B1122" t="str">
        <f t="shared" si="69"/>
        <v>UGA_HORT FARM GH #9</v>
      </c>
      <c r="C1122" t="s">
        <v>443</v>
      </c>
      <c r="D1122" s="180" t="s">
        <v>51</v>
      </c>
      <c r="E1122" t="s">
        <v>7613</v>
      </c>
      <c r="F1122" t="s">
        <v>7731</v>
      </c>
      <c r="G1122" s="180">
        <v>1445</v>
      </c>
      <c r="H1122">
        <v>2007</v>
      </c>
      <c r="J1122" s="1334" t="s">
        <v>475</v>
      </c>
      <c r="K1122" s="1335" t="s">
        <v>475</v>
      </c>
      <c r="L1122" s="180">
        <v>0</v>
      </c>
      <c r="M1122" t="s">
        <v>4</v>
      </c>
      <c r="N1122" t="str">
        <f t="shared" si="70"/>
        <v>HORT FARM GH #9 (3044)</v>
      </c>
      <c r="O1122" t="s">
        <v>52</v>
      </c>
      <c r="P1122" t="str">
        <f t="shared" si="71"/>
        <v>18000_3044</v>
      </c>
      <c r="Q1122" s="180">
        <v>0</v>
      </c>
    </row>
    <row r="1123" spans="1:17">
      <c r="A1123" t="str">
        <f t="shared" si="68"/>
        <v>UGA_3045</v>
      </c>
      <c r="B1123" t="str">
        <f t="shared" si="69"/>
        <v>UGA_BEE RESEARCH LAB 2</v>
      </c>
      <c r="C1123" t="s">
        <v>443</v>
      </c>
      <c r="D1123" s="180" t="s">
        <v>51</v>
      </c>
      <c r="E1123" t="s">
        <v>2210</v>
      </c>
      <c r="F1123" t="s">
        <v>2211</v>
      </c>
      <c r="G1123" s="180">
        <v>2388</v>
      </c>
      <c r="H1123">
        <v>2002</v>
      </c>
      <c r="J1123" s="1334" t="s">
        <v>475</v>
      </c>
      <c r="K1123" s="1335" t="s">
        <v>475</v>
      </c>
      <c r="L1123" s="180">
        <v>0</v>
      </c>
      <c r="M1123" t="s">
        <v>4</v>
      </c>
      <c r="N1123" t="str">
        <f t="shared" si="70"/>
        <v>BEE RESEARCH LAB 2 (3045)</v>
      </c>
      <c r="O1123" t="s">
        <v>52</v>
      </c>
      <c r="P1123" t="str">
        <f t="shared" si="71"/>
        <v>18000_3045</v>
      </c>
      <c r="Q1123" s="180">
        <v>100</v>
      </c>
    </row>
    <row r="1124" spans="1:17">
      <c r="A1124" t="str">
        <f t="shared" si="68"/>
        <v>UGA_3046</v>
      </c>
      <c r="B1124" t="str">
        <f t="shared" si="69"/>
        <v>UGA_HORT FARM GH #3</v>
      </c>
      <c r="C1124" t="s">
        <v>443</v>
      </c>
      <c r="D1124" s="180" t="s">
        <v>51</v>
      </c>
      <c r="E1124" t="s">
        <v>2577</v>
      </c>
      <c r="F1124" t="s">
        <v>2578</v>
      </c>
      <c r="G1124" s="180">
        <v>2688</v>
      </c>
      <c r="H1124">
        <v>1974</v>
      </c>
      <c r="J1124" s="1334" t="s">
        <v>475</v>
      </c>
      <c r="K1124" s="1335" t="s">
        <v>475</v>
      </c>
      <c r="L1124" s="180">
        <v>0</v>
      </c>
      <c r="M1124" t="s">
        <v>4</v>
      </c>
      <c r="N1124" t="str">
        <f t="shared" si="70"/>
        <v>HORT FARM GH #3 (3046)</v>
      </c>
      <c r="O1124" t="s">
        <v>52</v>
      </c>
      <c r="P1124" t="str">
        <f t="shared" si="71"/>
        <v>18000_3046</v>
      </c>
      <c r="Q1124" s="180">
        <v>99</v>
      </c>
    </row>
    <row r="1125" spans="1:17">
      <c r="A1125" t="str">
        <f t="shared" si="68"/>
        <v>UGA_3047</v>
      </c>
      <c r="B1125" t="str">
        <f t="shared" si="69"/>
        <v>UGA_HORT POLE SHED 1</v>
      </c>
      <c r="C1125" t="s">
        <v>443</v>
      </c>
      <c r="D1125" s="180" t="s">
        <v>51</v>
      </c>
      <c r="E1125" t="s">
        <v>3446</v>
      </c>
      <c r="F1125" t="s">
        <v>3447</v>
      </c>
      <c r="G1125" s="180">
        <v>880</v>
      </c>
      <c r="H1125">
        <v>1990</v>
      </c>
      <c r="J1125" s="1334" t="s">
        <v>475</v>
      </c>
      <c r="K1125" s="1335" t="s">
        <v>475</v>
      </c>
      <c r="L1125" s="180">
        <v>0</v>
      </c>
      <c r="M1125" t="s">
        <v>4</v>
      </c>
      <c r="N1125" t="str">
        <f t="shared" si="70"/>
        <v>HORT POLE SHED 1 (3047)</v>
      </c>
      <c r="O1125" t="s">
        <v>52</v>
      </c>
      <c r="P1125" t="str">
        <f t="shared" si="71"/>
        <v>18000_3047</v>
      </c>
      <c r="Q1125" s="180">
        <v>97</v>
      </c>
    </row>
    <row r="1126" spans="1:17">
      <c r="A1126" t="str">
        <f t="shared" si="68"/>
        <v>UGA_3048</v>
      </c>
      <c r="B1126" t="str">
        <f t="shared" si="69"/>
        <v>UGA_HORT POLE SHED 2</v>
      </c>
      <c r="C1126" t="s">
        <v>443</v>
      </c>
      <c r="D1126" s="180" t="s">
        <v>51</v>
      </c>
      <c r="E1126" t="s">
        <v>2417</v>
      </c>
      <c r="F1126" t="s">
        <v>2418</v>
      </c>
      <c r="G1126" s="180">
        <v>2035</v>
      </c>
      <c r="H1126">
        <v>1990</v>
      </c>
      <c r="J1126" s="1334" t="s">
        <v>475</v>
      </c>
      <c r="K1126" s="1335" t="s">
        <v>475</v>
      </c>
      <c r="L1126" s="180">
        <v>0</v>
      </c>
      <c r="M1126" t="s">
        <v>4</v>
      </c>
      <c r="N1126" t="str">
        <f t="shared" si="70"/>
        <v>HORT POLE SHED 2 (3048)</v>
      </c>
      <c r="O1126" t="s">
        <v>52</v>
      </c>
      <c r="P1126" t="str">
        <f t="shared" si="71"/>
        <v>18000_3048</v>
      </c>
      <c r="Q1126" s="180">
        <v>100</v>
      </c>
    </row>
    <row r="1127" spans="1:17">
      <c r="A1127" t="str">
        <f t="shared" si="68"/>
        <v>UGA_3049</v>
      </c>
      <c r="B1127" t="str">
        <f t="shared" si="69"/>
        <v>UGA_HORT EQUIP STG</v>
      </c>
      <c r="C1127" t="s">
        <v>443</v>
      </c>
      <c r="D1127" s="180" t="s">
        <v>51</v>
      </c>
      <c r="E1127" t="s">
        <v>2968</v>
      </c>
      <c r="F1127" t="s">
        <v>2969</v>
      </c>
      <c r="G1127" s="180">
        <v>2024</v>
      </c>
      <c r="H1127">
        <v>1988</v>
      </c>
      <c r="J1127" s="1334" t="s">
        <v>475</v>
      </c>
      <c r="K1127" s="1335" t="s">
        <v>1520</v>
      </c>
      <c r="L1127" s="180">
        <v>0</v>
      </c>
      <c r="M1127" t="s">
        <v>4</v>
      </c>
      <c r="N1127" t="str">
        <f t="shared" si="70"/>
        <v>HORT EQUIP STG (3049)</v>
      </c>
      <c r="O1127" t="s">
        <v>52</v>
      </c>
      <c r="P1127" t="str">
        <f t="shared" si="71"/>
        <v>18000_3049</v>
      </c>
      <c r="Q1127" s="180">
        <v>100</v>
      </c>
    </row>
    <row r="1128" spans="1:17">
      <c r="A1128" t="str">
        <f t="shared" si="68"/>
        <v>UGA_3050</v>
      </c>
      <c r="B1128" t="str">
        <f t="shared" si="69"/>
        <v>UGA_HORT FRM RESIDENCE</v>
      </c>
      <c r="C1128" t="s">
        <v>443</v>
      </c>
      <c r="D1128" s="180" t="s">
        <v>51</v>
      </c>
      <c r="E1128" t="s">
        <v>4239</v>
      </c>
      <c r="F1128" t="s">
        <v>4240</v>
      </c>
      <c r="G1128" s="180">
        <v>2688</v>
      </c>
      <c r="H1128">
        <v>1920</v>
      </c>
      <c r="J1128" s="1334" t="s">
        <v>475</v>
      </c>
      <c r="K1128" s="1335" t="s">
        <v>481</v>
      </c>
      <c r="L1128" s="180">
        <v>0</v>
      </c>
      <c r="M1128" t="s">
        <v>4</v>
      </c>
      <c r="N1128" t="str">
        <f t="shared" si="70"/>
        <v>HORT FRM RESIDENCE (3050)</v>
      </c>
      <c r="O1128" t="s">
        <v>52</v>
      </c>
      <c r="P1128" t="str">
        <f t="shared" si="71"/>
        <v>18000_3050</v>
      </c>
      <c r="Q1128" s="180">
        <v>100</v>
      </c>
    </row>
    <row r="1129" spans="1:17">
      <c r="A1129" t="str">
        <f t="shared" si="68"/>
        <v>UGA_3051</v>
      </c>
      <c r="B1129" t="str">
        <f t="shared" si="69"/>
        <v>UGA_HORT WAREHOUSE</v>
      </c>
      <c r="C1129" t="s">
        <v>443</v>
      </c>
      <c r="D1129" s="180" t="s">
        <v>51</v>
      </c>
      <c r="E1129" t="s">
        <v>3901</v>
      </c>
      <c r="F1129" t="s">
        <v>3902</v>
      </c>
      <c r="G1129" s="180">
        <v>9328</v>
      </c>
      <c r="H1129">
        <v>1966</v>
      </c>
      <c r="J1129" s="1334" t="s">
        <v>475</v>
      </c>
      <c r="K1129" s="1335" t="s">
        <v>1520</v>
      </c>
      <c r="L1129" s="180">
        <v>0</v>
      </c>
      <c r="M1129" t="s">
        <v>4</v>
      </c>
      <c r="N1129" t="str">
        <f t="shared" si="70"/>
        <v>HORT WAREHOUSE (3051)</v>
      </c>
      <c r="O1129" t="s">
        <v>52</v>
      </c>
      <c r="P1129" t="str">
        <f t="shared" si="71"/>
        <v>18000_3051</v>
      </c>
      <c r="Q1129" s="180">
        <v>100</v>
      </c>
    </row>
    <row r="1130" spans="1:17">
      <c r="A1130" t="str">
        <f t="shared" si="68"/>
        <v>UGA_3052</v>
      </c>
      <c r="B1130" t="str">
        <f t="shared" si="69"/>
        <v>UGA_HORT FARM GH #1</v>
      </c>
      <c r="C1130" t="s">
        <v>443</v>
      </c>
      <c r="D1130" s="180" t="s">
        <v>51</v>
      </c>
      <c r="E1130" t="s">
        <v>1596</v>
      </c>
      <c r="F1130" t="s">
        <v>1597</v>
      </c>
      <c r="G1130" s="180">
        <v>1344</v>
      </c>
      <c r="H1130">
        <v>1972</v>
      </c>
      <c r="J1130" s="1334" t="s">
        <v>475</v>
      </c>
      <c r="K1130" s="1335" t="s">
        <v>486</v>
      </c>
      <c r="L1130" s="180">
        <v>0</v>
      </c>
      <c r="M1130" t="s">
        <v>4</v>
      </c>
      <c r="N1130" t="str">
        <f t="shared" si="70"/>
        <v>HORT FARM GH #1 (3052)</v>
      </c>
      <c r="O1130" t="s">
        <v>52</v>
      </c>
      <c r="P1130" t="str">
        <f t="shared" si="71"/>
        <v>18000_3052</v>
      </c>
      <c r="Q1130" s="180">
        <v>100</v>
      </c>
    </row>
    <row r="1131" spans="1:17">
      <c r="A1131" t="str">
        <f t="shared" si="68"/>
        <v>UGA_3053</v>
      </c>
      <c r="B1131" t="str">
        <f t="shared" si="69"/>
        <v>UGA_HORT FARM GH #2</v>
      </c>
      <c r="C1131" t="s">
        <v>443</v>
      </c>
      <c r="D1131" s="180" t="s">
        <v>51</v>
      </c>
      <c r="E1131" t="s">
        <v>2683</v>
      </c>
      <c r="F1131" t="s">
        <v>2684</v>
      </c>
      <c r="G1131" s="180">
        <v>2688</v>
      </c>
      <c r="H1131">
        <v>1972</v>
      </c>
      <c r="J1131" s="1334" t="s">
        <v>475</v>
      </c>
      <c r="K1131" s="1335" t="s">
        <v>475</v>
      </c>
      <c r="L1131" s="180">
        <v>0</v>
      </c>
      <c r="M1131" t="s">
        <v>4</v>
      </c>
      <c r="N1131" t="str">
        <f t="shared" si="70"/>
        <v>HORT FARM GH #2 (3053)</v>
      </c>
      <c r="O1131" t="s">
        <v>52</v>
      </c>
      <c r="P1131" t="str">
        <f t="shared" si="71"/>
        <v>18000_3053</v>
      </c>
      <c r="Q1131" s="180">
        <v>62</v>
      </c>
    </row>
    <row r="1132" spans="1:17">
      <c r="A1132" t="str">
        <f t="shared" si="68"/>
        <v>UGA_3056</v>
      </c>
      <c r="B1132" t="str">
        <f t="shared" si="69"/>
        <v>UGA_BEE RESEARCH LAB</v>
      </c>
      <c r="C1132" t="s">
        <v>443</v>
      </c>
      <c r="D1132" s="180" t="s">
        <v>51</v>
      </c>
      <c r="E1132" t="s">
        <v>1802</v>
      </c>
      <c r="F1132" t="s">
        <v>1803</v>
      </c>
      <c r="G1132" s="180">
        <v>1322</v>
      </c>
      <c r="H1132">
        <v>1978</v>
      </c>
      <c r="J1132" s="1334" t="s">
        <v>475</v>
      </c>
      <c r="K1132" s="1335" t="s">
        <v>475</v>
      </c>
      <c r="L1132" s="180">
        <v>0</v>
      </c>
      <c r="M1132" t="s">
        <v>4</v>
      </c>
      <c r="N1132" t="str">
        <f t="shared" si="70"/>
        <v>BEE RESEARCH LAB (3056)</v>
      </c>
      <c r="O1132" t="s">
        <v>52</v>
      </c>
      <c r="P1132" t="str">
        <f t="shared" si="71"/>
        <v>18000_3056</v>
      </c>
      <c r="Q1132" s="180">
        <v>100</v>
      </c>
    </row>
    <row r="1133" spans="1:17">
      <c r="A1133" t="str">
        <f t="shared" si="68"/>
        <v>UGA_3058</v>
      </c>
      <c r="B1133" t="str">
        <f t="shared" si="69"/>
        <v>UGA_PREFAB STRG BLDG 2</v>
      </c>
      <c r="C1133" t="s">
        <v>443</v>
      </c>
      <c r="D1133" s="180" t="s">
        <v>51</v>
      </c>
      <c r="E1133" t="s">
        <v>2294</v>
      </c>
      <c r="F1133" t="s">
        <v>2295</v>
      </c>
      <c r="G1133" s="180">
        <v>428</v>
      </c>
      <c r="H1133">
        <v>1978</v>
      </c>
      <c r="J1133" s="1334" t="s">
        <v>475</v>
      </c>
      <c r="K1133" s="1335" t="s">
        <v>481</v>
      </c>
      <c r="L1133" s="180">
        <v>0</v>
      </c>
      <c r="M1133" t="s">
        <v>4</v>
      </c>
      <c r="N1133" t="str">
        <f t="shared" si="70"/>
        <v>PREFAB STRG BLDG 2 (3058)</v>
      </c>
      <c r="O1133" t="s">
        <v>52</v>
      </c>
      <c r="P1133" t="str">
        <f t="shared" si="71"/>
        <v>18000_3058</v>
      </c>
      <c r="Q1133" s="180">
        <v>100</v>
      </c>
    </row>
    <row r="1134" spans="1:17">
      <c r="A1134" t="str">
        <f t="shared" si="68"/>
        <v>UGA_3059</v>
      </c>
      <c r="B1134" t="str">
        <f t="shared" si="69"/>
        <v>UGA_HORT PUMP HSE</v>
      </c>
      <c r="C1134" t="s">
        <v>443</v>
      </c>
      <c r="D1134" s="180" t="s">
        <v>51</v>
      </c>
      <c r="E1134" t="s">
        <v>2091</v>
      </c>
      <c r="F1134" t="s">
        <v>2092</v>
      </c>
      <c r="G1134" s="180">
        <v>48</v>
      </c>
      <c r="H1134">
        <v>1967</v>
      </c>
      <c r="J1134" s="1334" t="s">
        <v>475</v>
      </c>
      <c r="K1134" s="1335" t="s">
        <v>475</v>
      </c>
      <c r="L1134" s="180">
        <v>0</v>
      </c>
      <c r="M1134" t="s">
        <v>4</v>
      </c>
      <c r="N1134" t="str">
        <f t="shared" si="70"/>
        <v>HORT PUMP HSE (3059)</v>
      </c>
      <c r="O1134" t="s">
        <v>52</v>
      </c>
      <c r="P1134" t="str">
        <f t="shared" si="71"/>
        <v>18000_3059</v>
      </c>
      <c r="Q1134" s="180">
        <v>100</v>
      </c>
    </row>
    <row r="1135" spans="1:17">
      <c r="A1135" t="str">
        <f t="shared" si="68"/>
        <v>UGA_3074</v>
      </c>
      <c r="B1135" t="str">
        <f t="shared" si="69"/>
        <v>UGA_HORT IRRIG SYS</v>
      </c>
      <c r="C1135" t="s">
        <v>443</v>
      </c>
      <c r="D1135" s="180" t="s">
        <v>51</v>
      </c>
      <c r="E1135" t="s">
        <v>2179</v>
      </c>
      <c r="F1135" t="s">
        <v>2180</v>
      </c>
      <c r="G1135" s="180">
        <v>48</v>
      </c>
      <c r="H1135">
        <v>1989</v>
      </c>
      <c r="J1135" s="1334" t="s">
        <v>475</v>
      </c>
      <c r="K1135" s="1335" t="s">
        <v>475</v>
      </c>
      <c r="L1135" s="180">
        <v>0</v>
      </c>
      <c r="M1135" t="s">
        <v>4</v>
      </c>
      <c r="N1135" t="str">
        <f t="shared" si="70"/>
        <v>HORT IRRIG SYS (3074)</v>
      </c>
      <c r="O1135" t="s">
        <v>52</v>
      </c>
      <c r="P1135" t="str">
        <f t="shared" si="71"/>
        <v>18000_3074</v>
      </c>
      <c r="Q1135" s="180">
        <v>100</v>
      </c>
    </row>
    <row r="1136" spans="1:17">
      <c r="A1136" t="str">
        <f t="shared" si="68"/>
        <v>UGA_3080</v>
      </c>
      <c r="B1136" t="str">
        <f t="shared" si="69"/>
        <v>UGA_VMC VET TCH HOSP</v>
      </c>
      <c r="C1136" t="s">
        <v>443</v>
      </c>
      <c r="D1136" s="180" t="s">
        <v>51</v>
      </c>
      <c r="E1136" t="s">
        <v>1922</v>
      </c>
      <c r="F1136" t="s">
        <v>1923</v>
      </c>
      <c r="G1136" s="180">
        <v>245567</v>
      </c>
      <c r="H1136">
        <v>2015</v>
      </c>
      <c r="J1136" s="1334" t="s">
        <v>475</v>
      </c>
      <c r="K1136" s="1335" t="s">
        <v>475</v>
      </c>
      <c r="L1136" s="180">
        <v>100</v>
      </c>
      <c r="M1136" t="s">
        <v>7818</v>
      </c>
      <c r="N1136" t="str">
        <f t="shared" si="70"/>
        <v>VMC VET TCH HOSP (3080)</v>
      </c>
      <c r="O1136" t="s">
        <v>52</v>
      </c>
      <c r="P1136" t="str">
        <f t="shared" si="71"/>
        <v>18000_3080</v>
      </c>
      <c r="Q1136" s="180">
        <v>100</v>
      </c>
    </row>
    <row r="1137" spans="1:17">
      <c r="A1137" t="str">
        <f t="shared" si="68"/>
        <v>UGA_3081</v>
      </c>
      <c r="B1137" t="str">
        <f t="shared" si="69"/>
        <v>UGA_VMC VET ED CENTER</v>
      </c>
      <c r="C1137" t="s">
        <v>443</v>
      </c>
      <c r="D1137" s="180" t="s">
        <v>51</v>
      </c>
      <c r="E1137" t="s">
        <v>3379</v>
      </c>
      <c r="F1137" t="s">
        <v>3380</v>
      </c>
      <c r="G1137" s="180">
        <v>24915</v>
      </c>
      <c r="H1137">
        <v>2015</v>
      </c>
      <c r="J1137" s="1334" t="s">
        <v>475</v>
      </c>
      <c r="K1137" s="1335" t="s">
        <v>475</v>
      </c>
      <c r="L1137" s="180">
        <v>100</v>
      </c>
      <c r="M1137" t="s">
        <v>7818</v>
      </c>
      <c r="N1137" t="str">
        <f t="shared" si="70"/>
        <v>VMC VET ED CENTER (3081)</v>
      </c>
      <c r="O1137" t="s">
        <v>52</v>
      </c>
      <c r="P1137" t="str">
        <f t="shared" si="71"/>
        <v>18000_3081</v>
      </c>
      <c r="Q1137" s="180">
        <v>77</v>
      </c>
    </row>
    <row r="1138" spans="1:17">
      <c r="A1138" t="str">
        <f t="shared" si="68"/>
        <v>UGA_3082</v>
      </c>
      <c r="B1138" t="str">
        <f t="shared" si="69"/>
        <v>UGA_VMC LRG AN ISO</v>
      </c>
      <c r="C1138" t="s">
        <v>443</v>
      </c>
      <c r="D1138" s="180" t="s">
        <v>51</v>
      </c>
      <c r="E1138" t="s">
        <v>2132</v>
      </c>
      <c r="F1138" t="s">
        <v>2133</v>
      </c>
      <c r="G1138" s="180">
        <v>7537</v>
      </c>
      <c r="H1138">
        <v>2015</v>
      </c>
      <c r="J1138" s="1334" t="s">
        <v>475</v>
      </c>
      <c r="K1138" s="1335" t="s">
        <v>475</v>
      </c>
      <c r="L1138" s="180">
        <v>100</v>
      </c>
      <c r="M1138" t="s">
        <v>7818</v>
      </c>
      <c r="N1138" t="str">
        <f t="shared" si="70"/>
        <v>VMC LRG AN ISO (3082)</v>
      </c>
      <c r="O1138" t="s">
        <v>52</v>
      </c>
      <c r="P1138" t="str">
        <f t="shared" si="71"/>
        <v>18000_3082</v>
      </c>
      <c r="Q1138" s="180">
        <v>100</v>
      </c>
    </row>
    <row r="1139" spans="1:17">
      <c r="A1139" t="str">
        <f t="shared" si="68"/>
        <v>UGA_3083</v>
      </c>
      <c r="B1139" t="str">
        <f t="shared" si="69"/>
        <v>UGA_VMC FIELD SERV</v>
      </c>
      <c r="C1139" t="s">
        <v>443</v>
      </c>
      <c r="D1139" s="180" t="s">
        <v>51</v>
      </c>
      <c r="E1139" t="s">
        <v>4182</v>
      </c>
      <c r="F1139" t="s">
        <v>4183</v>
      </c>
      <c r="G1139" s="180">
        <v>12453</v>
      </c>
      <c r="H1139">
        <v>2015</v>
      </c>
      <c r="J1139" s="1334" t="s">
        <v>475</v>
      </c>
      <c r="K1139" s="1335" t="s">
        <v>475</v>
      </c>
      <c r="L1139" s="180">
        <v>100</v>
      </c>
      <c r="M1139" t="s">
        <v>7818</v>
      </c>
      <c r="N1139" t="str">
        <f t="shared" si="70"/>
        <v>VMC FIELD SERV (3083)</v>
      </c>
      <c r="O1139" t="s">
        <v>52</v>
      </c>
      <c r="P1139" t="str">
        <f t="shared" si="71"/>
        <v>18000_3083</v>
      </c>
      <c r="Q1139" s="180">
        <v>100</v>
      </c>
    </row>
    <row r="1140" spans="1:17">
      <c r="A1140" t="str">
        <f t="shared" si="68"/>
        <v>UGA_3084</v>
      </c>
      <c r="B1140" t="str">
        <f t="shared" si="69"/>
        <v>UGA_VMC EQN PERF ARENA</v>
      </c>
      <c r="C1140" t="s">
        <v>443</v>
      </c>
      <c r="D1140" s="180" t="s">
        <v>51</v>
      </c>
      <c r="E1140" t="s">
        <v>4293</v>
      </c>
      <c r="F1140" t="s">
        <v>4294</v>
      </c>
      <c r="G1140" s="180">
        <v>18286</v>
      </c>
      <c r="H1140">
        <v>2015</v>
      </c>
      <c r="J1140" s="1334" t="s">
        <v>475</v>
      </c>
      <c r="K1140" s="1335" t="s">
        <v>475</v>
      </c>
      <c r="L1140" s="180">
        <v>100</v>
      </c>
      <c r="M1140" t="s">
        <v>7818</v>
      </c>
      <c r="N1140" t="str">
        <f t="shared" si="70"/>
        <v>VMC EQN PERF ARENA (3084)</v>
      </c>
      <c r="O1140" t="s">
        <v>52</v>
      </c>
      <c r="P1140" t="str">
        <f t="shared" si="71"/>
        <v>18000_3084</v>
      </c>
      <c r="Q1140" s="180">
        <v>0</v>
      </c>
    </row>
    <row r="1141" spans="1:17">
      <c r="A1141" t="str">
        <f t="shared" si="68"/>
        <v>UGA_3085</v>
      </c>
      <c r="B1141" t="str">
        <f t="shared" si="69"/>
        <v>UGA_VMC HAY STORAGE FACILITY</v>
      </c>
      <c r="C1141" t="s">
        <v>443</v>
      </c>
      <c r="D1141" s="180" t="s">
        <v>51</v>
      </c>
      <c r="E1141" t="s">
        <v>1825</v>
      </c>
      <c r="F1141" t="s">
        <v>1826</v>
      </c>
      <c r="G1141" s="180">
        <v>3600</v>
      </c>
      <c r="H1141">
        <v>2020</v>
      </c>
      <c r="J1141" s="1334" t="s">
        <v>475</v>
      </c>
      <c r="K1141" s="1335" t="s">
        <v>475</v>
      </c>
      <c r="L1141" s="180">
        <v>100</v>
      </c>
      <c r="M1141" t="s">
        <v>7818</v>
      </c>
      <c r="N1141" t="str">
        <f t="shared" si="70"/>
        <v>VMC HAY STORAGE FACILITY (3085)</v>
      </c>
      <c r="O1141" t="s">
        <v>52</v>
      </c>
      <c r="P1141" t="str">
        <f t="shared" si="71"/>
        <v>18000_3085</v>
      </c>
      <c r="Q1141" s="180">
        <v>100</v>
      </c>
    </row>
    <row r="1142" spans="1:17">
      <c r="A1142" t="str">
        <f t="shared" si="68"/>
        <v>UGA_3111</v>
      </c>
      <c r="B1142" t="str">
        <f t="shared" si="69"/>
        <v>UGA_DS RESIDENCE</v>
      </c>
      <c r="C1142" t="s">
        <v>443</v>
      </c>
      <c r="D1142" s="180" t="s">
        <v>51</v>
      </c>
      <c r="E1142" t="s">
        <v>2181</v>
      </c>
      <c r="F1142" t="s">
        <v>2182</v>
      </c>
      <c r="G1142" s="180">
        <v>1748</v>
      </c>
      <c r="H1142">
        <v>1974</v>
      </c>
      <c r="J1142" s="1334" t="s">
        <v>475</v>
      </c>
      <c r="K1142" s="1335" t="s">
        <v>475</v>
      </c>
      <c r="L1142" s="180">
        <v>100</v>
      </c>
      <c r="M1142" t="s">
        <v>7818</v>
      </c>
      <c r="N1142" t="str">
        <f t="shared" si="70"/>
        <v>DS RESIDENCE (3111)</v>
      </c>
      <c r="O1142" t="s">
        <v>52</v>
      </c>
      <c r="P1142" t="str">
        <f t="shared" si="71"/>
        <v>18000_3111</v>
      </c>
      <c r="Q1142" s="180">
        <v>100</v>
      </c>
    </row>
    <row r="1143" spans="1:17">
      <c r="A1143" t="str">
        <f t="shared" si="68"/>
        <v>UGA_3112</v>
      </c>
      <c r="B1143" t="str">
        <f t="shared" si="69"/>
        <v>UGA_DS MATERNITY SHED</v>
      </c>
      <c r="C1143" t="s">
        <v>443</v>
      </c>
      <c r="D1143" s="180" t="s">
        <v>51</v>
      </c>
      <c r="E1143" t="s">
        <v>4184</v>
      </c>
      <c r="F1143" t="s">
        <v>4185</v>
      </c>
      <c r="G1143" s="180">
        <v>3691</v>
      </c>
      <c r="H1143">
        <v>1974</v>
      </c>
      <c r="J1143" s="1334" t="s">
        <v>475</v>
      </c>
      <c r="K1143" s="1335" t="s">
        <v>475</v>
      </c>
      <c r="L1143" s="180">
        <v>100</v>
      </c>
      <c r="M1143" t="s">
        <v>7818</v>
      </c>
      <c r="N1143" t="str">
        <f t="shared" si="70"/>
        <v>DS MATERNITY SHED (3112)</v>
      </c>
      <c r="O1143" t="s">
        <v>52</v>
      </c>
      <c r="P1143" t="str">
        <f t="shared" si="71"/>
        <v>18000_3112</v>
      </c>
      <c r="Q1143" s="180">
        <v>100</v>
      </c>
    </row>
    <row r="1144" spans="1:17">
      <c r="A1144" t="str">
        <f t="shared" si="68"/>
        <v>UGA_3113</v>
      </c>
      <c r="B1144" t="str">
        <f t="shared" si="69"/>
        <v>UGA_DS CALF BARN</v>
      </c>
      <c r="C1144" t="s">
        <v>443</v>
      </c>
      <c r="D1144" s="180" t="s">
        <v>51</v>
      </c>
      <c r="E1144" t="s">
        <v>3478</v>
      </c>
      <c r="F1144" t="s">
        <v>3479</v>
      </c>
      <c r="G1144" s="180">
        <v>1612</v>
      </c>
      <c r="H1144">
        <v>1974</v>
      </c>
      <c r="J1144" s="1334" t="s">
        <v>475</v>
      </c>
      <c r="K1144" s="1335" t="s">
        <v>486</v>
      </c>
      <c r="L1144" s="180">
        <v>100</v>
      </c>
      <c r="M1144" t="s">
        <v>7818</v>
      </c>
      <c r="N1144" t="str">
        <f t="shared" si="70"/>
        <v>DS CALF BARN (3113)</v>
      </c>
      <c r="O1144" t="s">
        <v>52</v>
      </c>
      <c r="P1144" t="str">
        <f t="shared" si="71"/>
        <v>18000_3113</v>
      </c>
      <c r="Q1144" s="180">
        <v>100</v>
      </c>
    </row>
    <row r="1145" spans="1:17">
      <c r="A1145" t="str">
        <f t="shared" si="68"/>
        <v>UGA_3114</v>
      </c>
      <c r="B1145" t="str">
        <f t="shared" si="69"/>
        <v>UGA_DS HEIFER SHED</v>
      </c>
      <c r="C1145" t="s">
        <v>443</v>
      </c>
      <c r="D1145" s="180" t="s">
        <v>51</v>
      </c>
      <c r="E1145" t="s">
        <v>4146</v>
      </c>
      <c r="F1145" t="s">
        <v>4147</v>
      </c>
      <c r="G1145" s="180">
        <v>2959</v>
      </c>
      <c r="H1145">
        <v>1974</v>
      </c>
      <c r="J1145" s="1334" t="s">
        <v>475</v>
      </c>
      <c r="K1145" s="1335" t="s">
        <v>475</v>
      </c>
      <c r="L1145" s="180">
        <v>100</v>
      </c>
      <c r="M1145" t="s">
        <v>7818</v>
      </c>
      <c r="N1145" t="str">
        <f t="shared" si="70"/>
        <v>DS HEIFER SHED (3114)</v>
      </c>
      <c r="O1145" t="s">
        <v>52</v>
      </c>
      <c r="P1145" t="str">
        <f t="shared" si="71"/>
        <v>18000_3114</v>
      </c>
      <c r="Q1145" s="180">
        <v>100</v>
      </c>
    </row>
    <row r="1146" spans="1:17">
      <c r="A1146" t="str">
        <f t="shared" si="68"/>
        <v>UGA_3115</v>
      </c>
      <c r="B1146" t="str">
        <f t="shared" si="69"/>
        <v>UGA_DS FD PROCESS</v>
      </c>
      <c r="C1146" t="s">
        <v>443</v>
      </c>
      <c r="D1146" s="180" t="s">
        <v>51</v>
      </c>
      <c r="E1146" t="s">
        <v>4148</v>
      </c>
      <c r="F1146" t="s">
        <v>4149</v>
      </c>
      <c r="G1146" s="180">
        <v>3046</v>
      </c>
      <c r="H1146">
        <v>1974</v>
      </c>
      <c r="J1146" s="1334" t="s">
        <v>475</v>
      </c>
      <c r="K1146" s="1335" t="s">
        <v>1520</v>
      </c>
      <c r="L1146" s="180">
        <v>0</v>
      </c>
      <c r="M1146" t="s">
        <v>7818</v>
      </c>
      <c r="N1146" t="str">
        <f t="shared" si="70"/>
        <v>DS FD PROCESS (3115)</v>
      </c>
      <c r="O1146" t="s">
        <v>52</v>
      </c>
      <c r="P1146" t="str">
        <f t="shared" si="71"/>
        <v>18000_3115</v>
      </c>
      <c r="Q1146" s="180">
        <v>100</v>
      </c>
    </row>
    <row r="1147" spans="1:17">
      <c r="A1147" t="str">
        <f t="shared" si="68"/>
        <v>UGA_3116</v>
      </c>
      <c r="B1147" t="str">
        <f t="shared" si="69"/>
        <v>UGA_DS HERD HSE BARN</v>
      </c>
      <c r="C1147" t="s">
        <v>443</v>
      </c>
      <c r="D1147" s="180" t="s">
        <v>51</v>
      </c>
      <c r="E1147" t="s">
        <v>2419</v>
      </c>
      <c r="F1147" t="s">
        <v>2420</v>
      </c>
      <c r="G1147" s="180">
        <v>45379</v>
      </c>
      <c r="H1147">
        <v>1974</v>
      </c>
      <c r="J1147" s="1334" t="s">
        <v>475</v>
      </c>
      <c r="K1147" s="1335" t="s">
        <v>475</v>
      </c>
      <c r="L1147" s="180">
        <v>100</v>
      </c>
      <c r="M1147" t="s">
        <v>7818</v>
      </c>
      <c r="N1147" t="str">
        <f t="shared" si="70"/>
        <v>DS HERD HSE BARN (3116)</v>
      </c>
      <c r="O1147" t="s">
        <v>52</v>
      </c>
      <c r="P1147" t="str">
        <f t="shared" si="71"/>
        <v>18000_3116</v>
      </c>
      <c r="Q1147" s="180">
        <v>100</v>
      </c>
    </row>
    <row r="1148" spans="1:17">
      <c r="A1148" t="str">
        <f t="shared" si="68"/>
        <v>UGA_3117</v>
      </c>
      <c r="B1148" t="str">
        <f t="shared" si="69"/>
        <v>UGA_DS RCH BARN Z-23</v>
      </c>
      <c r="C1148" t="s">
        <v>443</v>
      </c>
      <c r="D1148" s="180" t="s">
        <v>51</v>
      </c>
      <c r="E1148" t="s">
        <v>2540</v>
      </c>
      <c r="F1148" t="s">
        <v>2541</v>
      </c>
      <c r="G1148" s="180">
        <v>10724</v>
      </c>
      <c r="H1148">
        <v>1974</v>
      </c>
      <c r="J1148" s="1334" t="s">
        <v>475</v>
      </c>
      <c r="K1148" s="1335" t="s">
        <v>475</v>
      </c>
      <c r="L1148" s="180">
        <v>100</v>
      </c>
      <c r="M1148" t="s">
        <v>7818</v>
      </c>
      <c r="N1148" t="str">
        <f t="shared" si="70"/>
        <v>DS RCH BARN Z-23 (3117)</v>
      </c>
      <c r="O1148" t="s">
        <v>52</v>
      </c>
      <c r="P1148" t="str">
        <f t="shared" si="71"/>
        <v>18000_3117</v>
      </c>
      <c r="Q1148" s="180">
        <v>100</v>
      </c>
    </row>
    <row r="1149" spans="1:17">
      <c r="A1149" t="str">
        <f t="shared" si="68"/>
        <v>UGA_3119</v>
      </c>
      <c r="B1149" t="str">
        <f t="shared" si="69"/>
        <v>UGA_DS MACHINE SHED</v>
      </c>
      <c r="C1149" t="s">
        <v>443</v>
      </c>
      <c r="D1149" s="180" t="s">
        <v>51</v>
      </c>
      <c r="E1149" t="s">
        <v>2421</v>
      </c>
      <c r="F1149" t="s">
        <v>2422</v>
      </c>
      <c r="G1149" s="180">
        <v>5600</v>
      </c>
      <c r="H1149">
        <v>1975</v>
      </c>
      <c r="J1149" s="1334" t="s">
        <v>475</v>
      </c>
      <c r="K1149" s="1335" t="s">
        <v>475</v>
      </c>
      <c r="L1149" s="180">
        <v>0</v>
      </c>
      <c r="M1149" t="s">
        <v>7818</v>
      </c>
      <c r="N1149" t="str">
        <f t="shared" si="70"/>
        <v>DS MACHINE SHED (3119)</v>
      </c>
      <c r="O1149" t="s">
        <v>52</v>
      </c>
      <c r="P1149" t="str">
        <f t="shared" si="71"/>
        <v>18000_3119</v>
      </c>
      <c r="Q1149" s="180">
        <v>100</v>
      </c>
    </row>
    <row r="1150" spans="1:17">
      <c r="A1150" t="str">
        <f t="shared" si="68"/>
        <v>UGA_3120</v>
      </c>
      <c r="B1150" t="str">
        <f t="shared" si="69"/>
        <v>UGA_DS EMBRYO TRANSFER</v>
      </c>
      <c r="C1150" t="s">
        <v>443</v>
      </c>
      <c r="D1150" s="180" t="s">
        <v>51</v>
      </c>
      <c r="E1150" t="s">
        <v>4468</v>
      </c>
      <c r="F1150" t="s">
        <v>4469</v>
      </c>
      <c r="G1150" s="180">
        <v>800</v>
      </c>
      <c r="H1150">
        <v>1984</v>
      </c>
      <c r="J1150" s="1334" t="s">
        <v>475</v>
      </c>
      <c r="K1150" s="1335" t="s">
        <v>475</v>
      </c>
      <c r="L1150" s="180">
        <v>100</v>
      </c>
      <c r="M1150" t="s">
        <v>4</v>
      </c>
      <c r="N1150" t="str">
        <f t="shared" si="70"/>
        <v>DS EMBRYO TRANSFER (3120)</v>
      </c>
      <c r="O1150" t="s">
        <v>52</v>
      </c>
      <c r="P1150" t="str">
        <f t="shared" si="71"/>
        <v>18000_3120</v>
      </c>
      <c r="Q1150" s="180">
        <v>100</v>
      </c>
    </row>
    <row r="1151" spans="1:17">
      <c r="A1151" t="str">
        <f t="shared" si="68"/>
        <v>UGA_3122</v>
      </c>
      <c r="B1151" t="str">
        <f t="shared" si="69"/>
        <v>UGA_DS PUMP HOUSE 1</v>
      </c>
      <c r="C1151" t="s">
        <v>443</v>
      </c>
      <c r="D1151" s="180" t="s">
        <v>51</v>
      </c>
      <c r="E1151" t="s">
        <v>4186</v>
      </c>
      <c r="F1151" t="s">
        <v>4187</v>
      </c>
      <c r="G1151" s="180">
        <v>264</v>
      </c>
      <c r="H1151">
        <v>1974</v>
      </c>
      <c r="J1151" s="1334" t="s">
        <v>475</v>
      </c>
      <c r="K1151" s="1335" t="s">
        <v>475</v>
      </c>
      <c r="L1151" s="180">
        <v>0</v>
      </c>
      <c r="M1151" t="s">
        <v>7818</v>
      </c>
      <c r="N1151" t="str">
        <f t="shared" si="70"/>
        <v>DS PUMP HOUSE 1 (3122)</v>
      </c>
      <c r="O1151" t="s">
        <v>52</v>
      </c>
      <c r="P1151" t="str">
        <f t="shared" si="71"/>
        <v>18000_3122</v>
      </c>
      <c r="Q1151" s="180">
        <v>100</v>
      </c>
    </row>
    <row r="1152" spans="1:17">
      <c r="A1152" t="str">
        <f t="shared" si="68"/>
        <v>UGA_3123</v>
      </c>
      <c r="B1152" t="str">
        <f t="shared" si="69"/>
        <v>UGA_DS MANURE PUMPHS</v>
      </c>
      <c r="C1152" t="s">
        <v>443</v>
      </c>
      <c r="D1152" s="180" t="s">
        <v>51</v>
      </c>
      <c r="E1152" t="s">
        <v>1900</v>
      </c>
      <c r="F1152" t="s">
        <v>1901</v>
      </c>
      <c r="G1152" s="180">
        <v>192</v>
      </c>
      <c r="H1152">
        <v>1974</v>
      </c>
      <c r="J1152" s="1334" t="s">
        <v>475</v>
      </c>
      <c r="K1152" s="1335" t="s">
        <v>475</v>
      </c>
      <c r="L1152" s="180">
        <v>0</v>
      </c>
      <c r="M1152" t="s">
        <v>7818</v>
      </c>
      <c r="N1152" t="str">
        <f t="shared" si="70"/>
        <v>DS MANURE PUMPHS (3123)</v>
      </c>
      <c r="O1152" t="s">
        <v>52</v>
      </c>
      <c r="P1152" t="str">
        <f t="shared" si="71"/>
        <v>18000_3123</v>
      </c>
      <c r="Q1152" s="180">
        <v>100</v>
      </c>
    </row>
    <row r="1153" spans="1:17">
      <c r="A1153" t="str">
        <f t="shared" si="68"/>
        <v>UGA_3124</v>
      </c>
      <c r="B1153" t="str">
        <f t="shared" si="69"/>
        <v>UGA_DS POLE SHED - 1</v>
      </c>
      <c r="C1153" t="s">
        <v>443</v>
      </c>
      <c r="D1153" s="180" t="s">
        <v>51</v>
      </c>
      <c r="E1153" t="s">
        <v>1924</v>
      </c>
      <c r="F1153" t="s">
        <v>1925</v>
      </c>
      <c r="G1153" s="180">
        <v>432</v>
      </c>
      <c r="H1153">
        <v>1985</v>
      </c>
      <c r="J1153" s="1334" t="s">
        <v>475</v>
      </c>
      <c r="K1153" s="1335" t="s">
        <v>475</v>
      </c>
      <c r="L1153" s="180">
        <v>0</v>
      </c>
      <c r="M1153" t="s">
        <v>7818</v>
      </c>
      <c r="N1153" t="str">
        <f t="shared" si="70"/>
        <v>DS POLE SHED - 1 (3124)</v>
      </c>
      <c r="O1153" t="s">
        <v>52</v>
      </c>
      <c r="P1153" t="str">
        <f t="shared" si="71"/>
        <v>18000_3124</v>
      </c>
      <c r="Q1153" s="180">
        <v>100</v>
      </c>
    </row>
    <row r="1154" spans="1:17">
      <c r="A1154" t="str">
        <f t="shared" si="68"/>
        <v>UGA_3125</v>
      </c>
      <c r="B1154" t="str">
        <f t="shared" si="69"/>
        <v>UGA_DS POLE SHED - 2</v>
      </c>
      <c r="C1154" t="s">
        <v>443</v>
      </c>
      <c r="D1154" s="180" t="s">
        <v>51</v>
      </c>
      <c r="E1154" t="s">
        <v>3070</v>
      </c>
      <c r="F1154" t="s">
        <v>3071</v>
      </c>
      <c r="G1154" s="180">
        <v>432</v>
      </c>
      <c r="H1154">
        <v>1985</v>
      </c>
      <c r="J1154" s="1334" t="s">
        <v>475</v>
      </c>
      <c r="K1154" s="1335" t="s">
        <v>475</v>
      </c>
      <c r="L1154" s="180">
        <v>0</v>
      </c>
      <c r="M1154" t="s">
        <v>7818</v>
      </c>
      <c r="N1154" t="str">
        <f t="shared" si="70"/>
        <v>DS POLE SHED - 2 (3125)</v>
      </c>
      <c r="O1154" t="s">
        <v>52</v>
      </c>
      <c r="P1154" t="str">
        <f t="shared" si="71"/>
        <v>18000_3125</v>
      </c>
      <c r="Q1154" s="180">
        <v>100</v>
      </c>
    </row>
    <row r="1155" spans="1:17">
      <c r="A1155" t="str">
        <f t="shared" ref="A1155:A1218" si="72">_xlfn.CONCAT(D1155,"_",E1155)</f>
        <v>UGA_3126</v>
      </c>
      <c r="B1155" t="str">
        <f t="shared" ref="B1155:B1218" si="73">_xlfn.CONCAT(D1155,"_",F1155)</f>
        <v>UGA_DS PUMP HOUSE 2</v>
      </c>
      <c r="C1155" t="s">
        <v>443</v>
      </c>
      <c r="D1155" s="180" t="s">
        <v>51</v>
      </c>
      <c r="E1155" t="s">
        <v>2183</v>
      </c>
      <c r="F1155" t="s">
        <v>2184</v>
      </c>
      <c r="G1155" s="180">
        <v>64</v>
      </c>
      <c r="H1155">
        <v>1989</v>
      </c>
      <c r="J1155" s="1334" t="s">
        <v>475</v>
      </c>
      <c r="K1155" s="1335" t="s">
        <v>475</v>
      </c>
      <c r="L1155" s="180">
        <v>0</v>
      </c>
      <c r="M1155" t="s">
        <v>4</v>
      </c>
      <c r="N1155" t="str">
        <f t="shared" ref="N1155:N1218" si="74">_xlfn.CONCAT(F1155," (",E1155,")")</f>
        <v>DS PUMP HOUSE 2 (3126)</v>
      </c>
      <c r="O1155" t="s">
        <v>52</v>
      </c>
      <c r="P1155" t="str">
        <f t="shared" ref="P1155:P1218" si="75">_xlfn.CONCAT(C1155,"_",E1155)</f>
        <v>18000_3126</v>
      </c>
      <c r="Q1155" s="180">
        <v>100</v>
      </c>
    </row>
    <row r="1156" spans="1:17">
      <c r="A1156" t="str">
        <f t="shared" si="72"/>
        <v>UGA_3127</v>
      </c>
      <c r="B1156" t="str">
        <f t="shared" si="73"/>
        <v>UGA_DS SILO 1</v>
      </c>
      <c r="C1156" t="s">
        <v>443</v>
      </c>
      <c r="D1156" s="180" t="s">
        <v>51</v>
      </c>
      <c r="E1156" t="s">
        <v>3817</v>
      </c>
      <c r="F1156" t="s">
        <v>3818</v>
      </c>
      <c r="G1156" s="180">
        <v>300</v>
      </c>
      <c r="H1156">
        <v>1989</v>
      </c>
      <c r="J1156" s="1334" t="s">
        <v>475</v>
      </c>
      <c r="K1156" s="1335" t="s">
        <v>475</v>
      </c>
      <c r="L1156" s="180">
        <v>0</v>
      </c>
      <c r="M1156" t="s">
        <v>7818</v>
      </c>
      <c r="N1156" t="str">
        <f t="shared" si="74"/>
        <v>DS SILO 1 (3127)</v>
      </c>
      <c r="O1156" t="s">
        <v>52</v>
      </c>
      <c r="P1156" t="str">
        <f t="shared" si="75"/>
        <v>18000_3127</v>
      </c>
      <c r="Q1156" s="180">
        <v>100</v>
      </c>
    </row>
    <row r="1157" spans="1:17">
      <c r="A1157" t="str">
        <f t="shared" si="72"/>
        <v>UGA_3128</v>
      </c>
      <c r="B1157" t="str">
        <f t="shared" si="73"/>
        <v>UGA_DS SILO 2</v>
      </c>
      <c r="C1157" t="s">
        <v>443</v>
      </c>
      <c r="D1157" s="180" t="s">
        <v>51</v>
      </c>
      <c r="E1157" t="s">
        <v>2579</v>
      </c>
      <c r="F1157" t="s">
        <v>2580</v>
      </c>
      <c r="G1157" s="180">
        <v>300</v>
      </c>
      <c r="H1157">
        <v>1989</v>
      </c>
      <c r="J1157" s="1334" t="s">
        <v>475</v>
      </c>
      <c r="K1157" s="1335" t="s">
        <v>475</v>
      </c>
      <c r="L1157" s="180">
        <v>0</v>
      </c>
      <c r="M1157" t="s">
        <v>7818</v>
      </c>
      <c r="N1157" t="str">
        <f t="shared" si="74"/>
        <v>DS SILO 2 (3128)</v>
      </c>
      <c r="O1157" t="s">
        <v>52</v>
      </c>
      <c r="P1157" t="str">
        <f t="shared" si="75"/>
        <v>18000_3128</v>
      </c>
      <c r="Q1157" s="180">
        <v>100</v>
      </c>
    </row>
    <row r="1158" spans="1:17">
      <c r="A1158" t="str">
        <f t="shared" si="72"/>
        <v>UGA_3129</v>
      </c>
      <c r="B1158" t="str">
        <f t="shared" si="73"/>
        <v>UGA_DS SILO 3</v>
      </c>
      <c r="C1158" t="s">
        <v>443</v>
      </c>
      <c r="D1158" s="180" t="s">
        <v>51</v>
      </c>
      <c r="E1158" t="s">
        <v>2212</v>
      </c>
      <c r="F1158" t="s">
        <v>2213</v>
      </c>
      <c r="G1158" s="180">
        <v>300</v>
      </c>
      <c r="H1158">
        <v>1989</v>
      </c>
      <c r="J1158" s="1334" t="s">
        <v>475</v>
      </c>
      <c r="K1158" s="1335" t="s">
        <v>475</v>
      </c>
      <c r="L1158" s="180">
        <v>0</v>
      </c>
      <c r="M1158" t="s">
        <v>7818</v>
      </c>
      <c r="N1158" t="str">
        <f t="shared" si="74"/>
        <v>DS SILO 3 (3129)</v>
      </c>
      <c r="O1158" t="s">
        <v>52</v>
      </c>
      <c r="P1158" t="str">
        <f t="shared" si="75"/>
        <v>18000_3129</v>
      </c>
      <c r="Q1158" s="180">
        <v>100</v>
      </c>
    </row>
    <row r="1159" spans="1:17">
      <c r="A1159" t="str">
        <f t="shared" si="72"/>
        <v>UGA_3130</v>
      </c>
      <c r="B1159" t="str">
        <f t="shared" si="73"/>
        <v>UGA_DS SILO 4</v>
      </c>
      <c r="C1159" t="s">
        <v>443</v>
      </c>
      <c r="D1159" s="180" t="s">
        <v>51</v>
      </c>
      <c r="E1159" t="s">
        <v>2296</v>
      </c>
      <c r="F1159" t="s">
        <v>2297</v>
      </c>
      <c r="G1159" s="180">
        <v>300</v>
      </c>
      <c r="H1159">
        <v>1989</v>
      </c>
      <c r="J1159" s="1334" t="s">
        <v>475</v>
      </c>
      <c r="K1159" s="1335" t="s">
        <v>475</v>
      </c>
      <c r="L1159" s="180">
        <v>0</v>
      </c>
      <c r="M1159" t="s">
        <v>7818</v>
      </c>
      <c r="N1159" t="str">
        <f t="shared" si="74"/>
        <v>DS SILO 4 (3130)</v>
      </c>
      <c r="O1159" t="s">
        <v>52</v>
      </c>
      <c r="P1159" t="str">
        <f t="shared" si="75"/>
        <v>18000_3130</v>
      </c>
      <c r="Q1159" s="180">
        <v>0</v>
      </c>
    </row>
    <row r="1160" spans="1:17">
      <c r="A1160" t="str">
        <f t="shared" si="72"/>
        <v>UGA_3131</v>
      </c>
      <c r="B1160" t="str">
        <f t="shared" si="73"/>
        <v>UGA_DS POLE HAY BARN</v>
      </c>
      <c r="C1160" t="s">
        <v>443</v>
      </c>
      <c r="D1160" s="180" t="s">
        <v>51</v>
      </c>
      <c r="E1160" t="s">
        <v>2298</v>
      </c>
      <c r="F1160" t="s">
        <v>2299</v>
      </c>
      <c r="G1160" s="180">
        <v>2700</v>
      </c>
      <c r="H1160">
        <v>1985</v>
      </c>
      <c r="J1160" s="1334" t="s">
        <v>475</v>
      </c>
      <c r="K1160" s="1335" t="s">
        <v>475</v>
      </c>
      <c r="L1160" s="180">
        <v>0</v>
      </c>
      <c r="M1160" t="s">
        <v>7818</v>
      </c>
      <c r="N1160" t="str">
        <f t="shared" si="74"/>
        <v>DS POLE HAY BARN (3131)</v>
      </c>
      <c r="O1160" t="s">
        <v>52</v>
      </c>
      <c r="P1160" t="str">
        <f t="shared" si="75"/>
        <v>18000_3131</v>
      </c>
      <c r="Q1160" s="180">
        <v>100</v>
      </c>
    </row>
    <row r="1161" spans="1:17">
      <c r="A1161" t="str">
        <f t="shared" si="72"/>
        <v>UGA_3132</v>
      </c>
      <c r="B1161" t="str">
        <f t="shared" si="73"/>
        <v>UGA_DS COMMODITY BARN</v>
      </c>
      <c r="C1161" t="s">
        <v>443</v>
      </c>
      <c r="D1161" s="180" t="s">
        <v>51</v>
      </c>
      <c r="E1161" t="s">
        <v>4050</v>
      </c>
      <c r="F1161" t="s">
        <v>4051</v>
      </c>
      <c r="G1161" s="180">
        <v>2880</v>
      </c>
      <c r="H1161">
        <v>1995</v>
      </c>
      <c r="J1161" s="1334" t="s">
        <v>475</v>
      </c>
      <c r="K1161" s="1335" t="s">
        <v>475</v>
      </c>
      <c r="L1161" s="180">
        <v>0</v>
      </c>
      <c r="M1161" t="s">
        <v>7818</v>
      </c>
      <c r="N1161" t="str">
        <f t="shared" si="74"/>
        <v>DS COMMODITY BARN (3132)</v>
      </c>
      <c r="O1161" t="s">
        <v>52</v>
      </c>
      <c r="P1161" t="str">
        <f t="shared" si="75"/>
        <v>18000_3132</v>
      </c>
      <c r="Q1161" s="180">
        <v>100</v>
      </c>
    </row>
    <row r="1162" spans="1:17">
      <c r="A1162" t="str">
        <f t="shared" si="72"/>
        <v>UGA_3151</v>
      </c>
      <c r="B1162" t="str">
        <f t="shared" si="73"/>
        <v>UGA_PDRC COMPOSTING</v>
      </c>
      <c r="C1162" t="s">
        <v>443</v>
      </c>
      <c r="D1162" s="180" t="s">
        <v>51</v>
      </c>
      <c r="E1162" t="s">
        <v>3903</v>
      </c>
      <c r="F1162" t="s">
        <v>3904</v>
      </c>
      <c r="G1162" s="180">
        <v>1539</v>
      </c>
      <c r="H1162">
        <v>1996</v>
      </c>
      <c r="J1162" s="1334" t="s">
        <v>475</v>
      </c>
      <c r="K1162" s="1335" t="s">
        <v>475</v>
      </c>
      <c r="L1162" s="180">
        <v>0</v>
      </c>
      <c r="M1162" t="s">
        <v>7818</v>
      </c>
      <c r="N1162" t="str">
        <f t="shared" si="74"/>
        <v>PDRC COMPOSTING (3151)</v>
      </c>
      <c r="O1162" t="s">
        <v>52</v>
      </c>
      <c r="P1162" t="str">
        <f t="shared" si="75"/>
        <v>18000_3151</v>
      </c>
      <c r="Q1162" s="180">
        <v>100</v>
      </c>
    </row>
    <row r="1163" spans="1:17">
      <c r="A1163" t="str">
        <f t="shared" si="72"/>
        <v>UGA_3153</v>
      </c>
      <c r="B1163" t="str">
        <f t="shared" si="73"/>
        <v>UGA_POLE BARN SPLY STG</v>
      </c>
      <c r="C1163" t="s">
        <v>443</v>
      </c>
      <c r="D1163" s="180" t="s">
        <v>51</v>
      </c>
      <c r="E1163" t="s">
        <v>2970</v>
      </c>
      <c r="F1163" t="s">
        <v>2971</v>
      </c>
      <c r="G1163" s="180">
        <v>1385</v>
      </c>
      <c r="H1163">
        <v>2000</v>
      </c>
      <c r="J1163" s="1334" t="s">
        <v>475</v>
      </c>
      <c r="K1163" s="1335" t="s">
        <v>475</v>
      </c>
      <c r="L1163" s="180">
        <v>0</v>
      </c>
      <c r="M1163" t="s">
        <v>7818</v>
      </c>
      <c r="N1163" t="str">
        <f t="shared" si="74"/>
        <v>POLE BARN SPLY STG (3153)</v>
      </c>
      <c r="O1163" t="s">
        <v>52</v>
      </c>
      <c r="P1163" t="str">
        <f t="shared" si="75"/>
        <v>18000_3153</v>
      </c>
      <c r="Q1163" s="180">
        <v>100</v>
      </c>
    </row>
    <row r="1164" spans="1:17">
      <c r="A1164" t="str">
        <f t="shared" si="72"/>
        <v>UGA_3154</v>
      </c>
      <c r="B1164" t="str">
        <f t="shared" si="73"/>
        <v>UGA_POLE BARN EQ STRG</v>
      </c>
      <c r="C1164" t="s">
        <v>443</v>
      </c>
      <c r="D1164" s="180" t="s">
        <v>51</v>
      </c>
      <c r="E1164" t="s">
        <v>4052</v>
      </c>
      <c r="F1164" t="s">
        <v>4053</v>
      </c>
      <c r="G1164" s="180">
        <v>1505</v>
      </c>
      <c r="H1164">
        <v>2000</v>
      </c>
      <c r="J1164" s="1334" t="s">
        <v>475</v>
      </c>
      <c r="K1164" s="1335" t="s">
        <v>475</v>
      </c>
      <c r="L1164" s="180">
        <v>0</v>
      </c>
      <c r="M1164" t="s">
        <v>7818</v>
      </c>
      <c r="N1164" t="str">
        <f t="shared" si="74"/>
        <v>POLE BARN EQ STRG (3154)</v>
      </c>
      <c r="O1164" t="s">
        <v>52</v>
      </c>
      <c r="P1164" t="str">
        <f t="shared" si="75"/>
        <v>18000_3154</v>
      </c>
      <c r="Q1164" s="180">
        <v>100</v>
      </c>
    </row>
    <row r="1165" spans="1:17">
      <c r="A1165" t="str">
        <f t="shared" si="72"/>
        <v>UGA_3175</v>
      </c>
      <c r="B1165" t="str">
        <f t="shared" si="73"/>
        <v>UGA_CES PLT PATH GHSE</v>
      </c>
      <c r="C1165" t="s">
        <v>443</v>
      </c>
      <c r="D1165" s="180" t="s">
        <v>51</v>
      </c>
      <c r="E1165" t="s">
        <v>2835</v>
      </c>
      <c r="F1165" t="s">
        <v>2836</v>
      </c>
      <c r="G1165" s="180">
        <v>955</v>
      </c>
      <c r="H1165">
        <v>1997</v>
      </c>
      <c r="J1165" s="1334" t="s">
        <v>475</v>
      </c>
      <c r="K1165" s="1335" t="s">
        <v>475</v>
      </c>
      <c r="L1165" s="180">
        <v>0</v>
      </c>
      <c r="M1165" t="s">
        <v>7818</v>
      </c>
      <c r="N1165" t="str">
        <f t="shared" si="74"/>
        <v>CES PLT PATH GHSE (3175)</v>
      </c>
      <c r="O1165" t="s">
        <v>52</v>
      </c>
      <c r="P1165" t="str">
        <f t="shared" si="75"/>
        <v>18000_3175</v>
      </c>
      <c r="Q1165" s="180">
        <v>100</v>
      </c>
    </row>
    <row r="1166" spans="1:17">
      <c r="A1166" t="str">
        <f t="shared" si="72"/>
        <v>UGA_3176</v>
      </c>
      <c r="B1166" t="str">
        <f t="shared" si="73"/>
        <v>UGA_PLANT PATH NEM LAB</v>
      </c>
      <c r="C1166" t="s">
        <v>443</v>
      </c>
      <c r="D1166" s="180" t="s">
        <v>51</v>
      </c>
      <c r="E1166" t="s">
        <v>2994</v>
      </c>
      <c r="F1166" t="s">
        <v>2995</v>
      </c>
      <c r="G1166" s="180">
        <v>1500</v>
      </c>
      <c r="H1166">
        <v>2000</v>
      </c>
      <c r="J1166" s="1334" t="s">
        <v>475</v>
      </c>
      <c r="K1166" s="1335" t="s">
        <v>475</v>
      </c>
      <c r="L1166" s="180">
        <v>0</v>
      </c>
      <c r="M1166" t="s">
        <v>7818</v>
      </c>
      <c r="N1166" t="str">
        <f t="shared" si="74"/>
        <v>PLANT PATH NEM LAB (3176)</v>
      </c>
      <c r="O1166" t="s">
        <v>52</v>
      </c>
      <c r="P1166" t="str">
        <f t="shared" si="75"/>
        <v>18000_3176</v>
      </c>
      <c r="Q1166" s="180">
        <v>70</v>
      </c>
    </row>
    <row r="1167" spans="1:17">
      <c r="A1167" t="str">
        <f t="shared" si="72"/>
        <v>UGA_3184</v>
      </c>
      <c r="B1167" t="str">
        <f t="shared" si="73"/>
        <v>UGA_FMD GROUNDS ADMIN</v>
      </c>
      <c r="C1167" t="s">
        <v>443</v>
      </c>
      <c r="D1167" s="180" t="s">
        <v>51</v>
      </c>
      <c r="E1167" t="s">
        <v>2328</v>
      </c>
      <c r="F1167" t="s">
        <v>2329</v>
      </c>
      <c r="G1167" s="180">
        <v>3613</v>
      </c>
      <c r="H1167">
        <v>2020</v>
      </c>
      <c r="J1167" s="1334" t="s">
        <v>475</v>
      </c>
      <c r="K1167" s="1335" t="s">
        <v>475</v>
      </c>
      <c r="L1167" s="180">
        <v>100</v>
      </c>
      <c r="M1167" t="s">
        <v>7818</v>
      </c>
      <c r="N1167" t="str">
        <f t="shared" si="74"/>
        <v>FMD GROUNDS ADMIN (3184)</v>
      </c>
      <c r="O1167" t="s">
        <v>52</v>
      </c>
      <c r="P1167" t="str">
        <f t="shared" si="75"/>
        <v>18000_3184</v>
      </c>
      <c r="Q1167" s="180">
        <v>100</v>
      </c>
    </row>
    <row r="1168" spans="1:17">
      <c r="A1168" t="str">
        <f t="shared" si="72"/>
        <v>UGA_3185</v>
      </c>
      <c r="B1168" t="str">
        <f t="shared" si="73"/>
        <v>UGA_FMD GROUNDS SHOP</v>
      </c>
      <c r="C1168" t="s">
        <v>443</v>
      </c>
      <c r="D1168" s="180" t="s">
        <v>51</v>
      </c>
      <c r="E1168" t="s">
        <v>1643</v>
      </c>
      <c r="F1168" t="s">
        <v>1644</v>
      </c>
      <c r="G1168" s="180">
        <v>7574</v>
      </c>
      <c r="H1168">
        <v>2019</v>
      </c>
      <c r="J1168" s="1334" t="s">
        <v>475</v>
      </c>
      <c r="K1168" s="1335" t="s">
        <v>475</v>
      </c>
      <c r="L1168" s="180">
        <v>100</v>
      </c>
      <c r="M1168" t="s">
        <v>7818</v>
      </c>
      <c r="N1168" t="str">
        <f t="shared" si="74"/>
        <v>FMD GROUNDS SHOP (3185)</v>
      </c>
      <c r="O1168" t="s">
        <v>52</v>
      </c>
      <c r="P1168" t="str">
        <f t="shared" si="75"/>
        <v>18000_3185</v>
      </c>
      <c r="Q1168" s="180">
        <v>100</v>
      </c>
    </row>
    <row r="1169" spans="1:17">
      <c r="A1169" t="str">
        <f t="shared" si="72"/>
        <v>UGA_3186</v>
      </c>
      <c r="B1169" t="str">
        <f t="shared" si="73"/>
        <v>UGA_FMD IPM</v>
      </c>
      <c r="C1169" t="s">
        <v>443</v>
      </c>
      <c r="D1169" s="180" t="s">
        <v>51</v>
      </c>
      <c r="E1169" t="s">
        <v>3381</v>
      </c>
      <c r="F1169" t="s">
        <v>3382</v>
      </c>
      <c r="G1169" s="180">
        <v>2758</v>
      </c>
      <c r="H1169">
        <v>2019</v>
      </c>
      <c r="J1169" s="1334" t="s">
        <v>475</v>
      </c>
      <c r="K1169" s="1335" t="s">
        <v>475</v>
      </c>
      <c r="L1169" s="180">
        <v>100</v>
      </c>
      <c r="M1169" t="s">
        <v>7818</v>
      </c>
      <c r="N1169" t="str">
        <f t="shared" si="74"/>
        <v>FMD IPM (3186)</v>
      </c>
      <c r="O1169" t="s">
        <v>52</v>
      </c>
      <c r="P1169" t="str">
        <f t="shared" si="75"/>
        <v>18000_3186</v>
      </c>
      <c r="Q1169" s="180">
        <v>100</v>
      </c>
    </row>
    <row r="1170" spans="1:17">
      <c r="A1170" t="str">
        <f t="shared" si="72"/>
        <v>UGA_3187</v>
      </c>
      <c r="B1170" t="str">
        <f t="shared" si="73"/>
        <v>UGA_SAND/SALT BINS</v>
      </c>
      <c r="C1170" t="s">
        <v>443</v>
      </c>
      <c r="D1170" s="180" t="s">
        <v>51</v>
      </c>
      <c r="E1170" t="s">
        <v>3168</v>
      </c>
      <c r="F1170" t="s">
        <v>3169</v>
      </c>
      <c r="G1170" s="180">
        <v>769</v>
      </c>
      <c r="H1170">
        <v>2019</v>
      </c>
      <c r="J1170" s="1334" t="s">
        <v>475</v>
      </c>
      <c r="K1170" s="1335" t="s">
        <v>475</v>
      </c>
      <c r="L1170" s="180">
        <v>100</v>
      </c>
      <c r="M1170" t="s">
        <v>7818</v>
      </c>
      <c r="N1170" t="str">
        <f t="shared" si="74"/>
        <v>SAND/SALT BINS (3187)</v>
      </c>
      <c r="O1170" t="s">
        <v>52</v>
      </c>
      <c r="P1170" t="str">
        <f t="shared" si="75"/>
        <v>18000_3187</v>
      </c>
      <c r="Q1170" s="180">
        <v>100</v>
      </c>
    </row>
    <row r="1171" spans="1:17">
      <c r="A1171" t="str">
        <f t="shared" si="72"/>
        <v>UGA_3188</v>
      </c>
      <c r="B1171" t="str">
        <f t="shared" si="73"/>
        <v>UGA_FMD CNSTR SHOP</v>
      </c>
      <c r="C1171" t="s">
        <v>443</v>
      </c>
      <c r="D1171" s="180" t="s">
        <v>51</v>
      </c>
      <c r="E1171" t="s">
        <v>3592</v>
      </c>
      <c r="F1171" t="s">
        <v>3593</v>
      </c>
      <c r="G1171" s="180">
        <v>10823</v>
      </c>
      <c r="H1171">
        <v>2019</v>
      </c>
      <c r="J1171" s="1334" t="s">
        <v>475</v>
      </c>
      <c r="K1171" s="1335" t="s">
        <v>475</v>
      </c>
      <c r="L1171" s="180">
        <v>100</v>
      </c>
      <c r="M1171" t="s">
        <v>7818</v>
      </c>
      <c r="N1171" t="str">
        <f t="shared" si="74"/>
        <v>FMD CNSTR SHOP (3188)</v>
      </c>
      <c r="O1171" t="s">
        <v>52</v>
      </c>
      <c r="P1171" t="str">
        <f t="shared" si="75"/>
        <v>18000_3188</v>
      </c>
      <c r="Q1171" s="180">
        <v>100</v>
      </c>
    </row>
    <row r="1172" spans="1:17">
      <c r="A1172" t="str">
        <f t="shared" si="72"/>
        <v>UGA_3200</v>
      </c>
      <c r="B1172" t="str">
        <f t="shared" si="73"/>
        <v>UGA_J P CAMPBELL MAIN</v>
      </c>
      <c r="C1172" t="s">
        <v>443</v>
      </c>
      <c r="D1172" s="180" t="s">
        <v>51</v>
      </c>
      <c r="E1172" t="s">
        <v>1539</v>
      </c>
      <c r="F1172" t="s">
        <v>1540</v>
      </c>
      <c r="G1172" s="180">
        <v>22766</v>
      </c>
      <c r="H1172">
        <v>2013</v>
      </c>
      <c r="J1172" s="1334" t="s">
        <v>475</v>
      </c>
      <c r="K1172" s="1335" t="s">
        <v>475</v>
      </c>
      <c r="L1172" s="180">
        <v>0</v>
      </c>
      <c r="M1172" t="s">
        <v>4</v>
      </c>
      <c r="N1172" t="str">
        <f t="shared" si="74"/>
        <v>J P CAMPBELL MAIN (3200)</v>
      </c>
      <c r="O1172" t="s">
        <v>52</v>
      </c>
      <c r="P1172" t="str">
        <f t="shared" si="75"/>
        <v>18000_3200</v>
      </c>
      <c r="Q1172" s="180">
        <v>100</v>
      </c>
    </row>
    <row r="1173" spans="1:17">
      <c r="A1173" t="str">
        <f t="shared" si="72"/>
        <v>UGA_3202</v>
      </c>
      <c r="B1173" t="str">
        <f t="shared" si="73"/>
        <v>UGA_JPC CROP PROCS &amp; DRYING</v>
      </c>
      <c r="C1173" t="s">
        <v>443</v>
      </c>
      <c r="D1173" s="180" t="s">
        <v>51</v>
      </c>
      <c r="E1173" t="s">
        <v>2214</v>
      </c>
      <c r="F1173" t="s">
        <v>7732</v>
      </c>
      <c r="G1173" s="180">
        <v>2400</v>
      </c>
      <c r="H1173">
        <v>2013</v>
      </c>
      <c r="J1173" s="1334" t="s">
        <v>475</v>
      </c>
      <c r="K1173" s="1335" t="s">
        <v>475</v>
      </c>
      <c r="L1173" s="180">
        <v>0</v>
      </c>
      <c r="M1173" t="s">
        <v>4</v>
      </c>
      <c r="N1173" t="str">
        <f t="shared" si="74"/>
        <v>JPC CROP PROCS &amp; DRYING (3202)</v>
      </c>
      <c r="O1173" t="s">
        <v>52</v>
      </c>
      <c r="P1173" t="str">
        <f t="shared" si="75"/>
        <v>18000_3202</v>
      </c>
      <c r="Q1173" s="180">
        <v>80</v>
      </c>
    </row>
    <row r="1174" spans="1:17">
      <c r="A1174" t="str">
        <f t="shared" si="72"/>
        <v>UGA_3203</v>
      </c>
      <c r="B1174" t="str">
        <f t="shared" si="73"/>
        <v>UGA_JPC STORAGE</v>
      </c>
      <c r="C1174" t="s">
        <v>443</v>
      </c>
      <c r="D1174" s="180" t="s">
        <v>51</v>
      </c>
      <c r="E1174" t="s">
        <v>2330</v>
      </c>
      <c r="F1174" t="s">
        <v>2331</v>
      </c>
      <c r="G1174" s="180">
        <v>3948</v>
      </c>
      <c r="H1174">
        <v>2013</v>
      </c>
      <c r="J1174" s="1334" t="s">
        <v>475</v>
      </c>
      <c r="K1174" s="1335" t="s">
        <v>475</v>
      </c>
      <c r="L1174" s="180">
        <v>0</v>
      </c>
      <c r="M1174" t="s">
        <v>4</v>
      </c>
      <c r="N1174" t="str">
        <f t="shared" si="74"/>
        <v>JPC STORAGE (3203)</v>
      </c>
      <c r="O1174" t="s">
        <v>52</v>
      </c>
      <c r="P1174" t="str">
        <f t="shared" si="75"/>
        <v>18000_3203</v>
      </c>
      <c r="Q1174" s="180">
        <v>100</v>
      </c>
    </row>
    <row r="1175" spans="1:17">
      <c r="A1175" t="str">
        <f t="shared" si="72"/>
        <v>UGA_3204</v>
      </c>
      <c r="B1175" t="str">
        <f t="shared" si="73"/>
        <v>UGA_JPC MACHINE SHED</v>
      </c>
      <c r="C1175" t="s">
        <v>443</v>
      </c>
      <c r="D1175" s="180" t="s">
        <v>51</v>
      </c>
      <c r="E1175" t="s">
        <v>4370</v>
      </c>
      <c r="F1175" t="s">
        <v>4371</v>
      </c>
      <c r="G1175" s="180">
        <v>3808</v>
      </c>
      <c r="H1175">
        <v>2013</v>
      </c>
      <c r="J1175" s="1334" t="s">
        <v>475</v>
      </c>
      <c r="K1175" s="1335" t="s">
        <v>475</v>
      </c>
      <c r="L1175" s="180">
        <v>0</v>
      </c>
      <c r="M1175" t="s">
        <v>4</v>
      </c>
      <c r="N1175" t="str">
        <f t="shared" si="74"/>
        <v>JPC MACHINE SHED (3204)</v>
      </c>
      <c r="O1175" t="s">
        <v>52</v>
      </c>
      <c r="P1175" t="str">
        <f t="shared" si="75"/>
        <v>18000_3204</v>
      </c>
      <c r="Q1175" s="180">
        <v>100</v>
      </c>
    </row>
    <row r="1176" spans="1:17">
      <c r="A1176" t="str">
        <f t="shared" si="72"/>
        <v>UGA_3205</v>
      </c>
      <c r="B1176" t="str">
        <f t="shared" si="73"/>
        <v>UGA_JPC ANIMAL FEED STORAGE 8</v>
      </c>
      <c r="C1176" t="s">
        <v>443</v>
      </c>
      <c r="D1176" s="180" t="s">
        <v>51</v>
      </c>
      <c r="E1176" t="s">
        <v>3273</v>
      </c>
      <c r="F1176" t="s">
        <v>7733</v>
      </c>
      <c r="G1176" s="180">
        <v>1344</v>
      </c>
      <c r="H1176">
        <v>2013</v>
      </c>
      <c r="J1176" s="1334" t="s">
        <v>475</v>
      </c>
      <c r="K1176" s="1335" t="s">
        <v>475</v>
      </c>
      <c r="L1176" s="180">
        <v>0</v>
      </c>
      <c r="M1176" t="s">
        <v>4</v>
      </c>
      <c r="N1176" t="str">
        <f t="shared" si="74"/>
        <v>JPC ANIMAL FEED STORAGE 8 (3205)</v>
      </c>
      <c r="O1176" t="s">
        <v>52</v>
      </c>
      <c r="P1176" t="str">
        <f t="shared" si="75"/>
        <v>18000_3205</v>
      </c>
      <c r="Q1176" s="180">
        <v>100</v>
      </c>
    </row>
    <row r="1177" spans="1:17">
      <c r="A1177" t="str">
        <f t="shared" si="72"/>
        <v>UGA_3206</v>
      </c>
      <c r="B1177" t="str">
        <f t="shared" si="73"/>
        <v>UGA_JPC STRG &amp; CATL SHL 10</v>
      </c>
      <c r="C1177" t="s">
        <v>443</v>
      </c>
      <c r="D1177" s="180" t="s">
        <v>51</v>
      </c>
      <c r="E1177" t="s">
        <v>1738</v>
      </c>
      <c r="F1177" t="s">
        <v>7734</v>
      </c>
      <c r="G1177" s="180">
        <v>2400</v>
      </c>
      <c r="H1177">
        <v>2013</v>
      </c>
      <c r="J1177" s="1334" t="s">
        <v>475</v>
      </c>
      <c r="K1177" s="1335" t="s">
        <v>475</v>
      </c>
      <c r="L1177" s="180">
        <v>0</v>
      </c>
      <c r="M1177" t="s">
        <v>4</v>
      </c>
      <c r="N1177" t="str">
        <f t="shared" si="74"/>
        <v>JPC STRG &amp; CATL SHL 10 (3206)</v>
      </c>
      <c r="O1177" t="s">
        <v>52</v>
      </c>
      <c r="P1177" t="str">
        <f t="shared" si="75"/>
        <v>18000_3206</v>
      </c>
      <c r="Q1177" s="180">
        <v>0</v>
      </c>
    </row>
    <row r="1178" spans="1:17">
      <c r="A1178" t="str">
        <f t="shared" si="72"/>
        <v>UGA_3207</v>
      </c>
      <c r="B1178" t="str">
        <f t="shared" si="73"/>
        <v>UGA_JPC STG &amp; CATL SHL 12</v>
      </c>
      <c r="C1178" t="s">
        <v>443</v>
      </c>
      <c r="D1178" s="180" t="s">
        <v>51</v>
      </c>
      <c r="E1178" t="s">
        <v>2134</v>
      </c>
      <c r="F1178" t="s">
        <v>7735</v>
      </c>
      <c r="G1178" s="180">
        <v>2400</v>
      </c>
      <c r="H1178">
        <v>2013</v>
      </c>
      <c r="J1178" s="1334" t="s">
        <v>475</v>
      </c>
      <c r="K1178" s="1335" t="s">
        <v>475</v>
      </c>
      <c r="L1178" s="180">
        <v>0</v>
      </c>
      <c r="M1178" t="s">
        <v>4</v>
      </c>
      <c r="N1178" t="str">
        <f t="shared" si="74"/>
        <v>JPC STG &amp; CATL SHL 12 (3207)</v>
      </c>
      <c r="O1178" t="s">
        <v>52</v>
      </c>
      <c r="P1178" t="str">
        <f t="shared" si="75"/>
        <v>18000_3207</v>
      </c>
      <c r="Q1178" s="180">
        <v>100</v>
      </c>
    </row>
    <row r="1179" spans="1:17">
      <c r="A1179" t="str">
        <f t="shared" si="72"/>
        <v>UGA_3208</v>
      </c>
      <c r="B1179" t="str">
        <f t="shared" si="73"/>
        <v>UGA_JPC SHOP 13</v>
      </c>
      <c r="C1179" t="s">
        <v>443</v>
      </c>
      <c r="D1179" s="180" t="s">
        <v>51</v>
      </c>
      <c r="E1179" t="s">
        <v>2135</v>
      </c>
      <c r="F1179" t="s">
        <v>7736</v>
      </c>
      <c r="G1179" s="180">
        <v>4000</v>
      </c>
      <c r="H1179">
        <v>2013</v>
      </c>
      <c r="J1179" s="1334" t="s">
        <v>475</v>
      </c>
      <c r="K1179" s="1335" t="s">
        <v>475</v>
      </c>
      <c r="L1179" s="180">
        <v>0</v>
      </c>
      <c r="M1179" t="s">
        <v>4</v>
      </c>
      <c r="N1179" t="str">
        <f t="shared" si="74"/>
        <v>JPC SHOP 13 (3208)</v>
      </c>
      <c r="O1179" t="s">
        <v>52</v>
      </c>
      <c r="P1179" t="str">
        <f t="shared" si="75"/>
        <v>18000_3208</v>
      </c>
      <c r="Q1179" s="180">
        <v>100</v>
      </c>
    </row>
    <row r="1180" spans="1:17">
      <c r="A1180" t="str">
        <f t="shared" si="72"/>
        <v>UGA_3209</v>
      </c>
      <c r="B1180" t="str">
        <f t="shared" si="73"/>
        <v>UGA_JPC EQUIPMENT SHED</v>
      </c>
      <c r="C1180" t="s">
        <v>443</v>
      </c>
      <c r="D1180" s="180" t="s">
        <v>51</v>
      </c>
      <c r="E1180" t="s">
        <v>2367</v>
      </c>
      <c r="F1180" t="s">
        <v>2368</v>
      </c>
      <c r="G1180" s="180">
        <v>1950</v>
      </c>
      <c r="H1180">
        <v>2013</v>
      </c>
      <c r="J1180" s="1334" t="s">
        <v>475</v>
      </c>
      <c r="K1180" s="1335" t="s">
        <v>475</v>
      </c>
      <c r="L1180" s="180">
        <v>0</v>
      </c>
      <c r="M1180" t="s">
        <v>4</v>
      </c>
      <c r="N1180" t="str">
        <f t="shared" si="74"/>
        <v>JPC EQUIPMENT SHED (3209)</v>
      </c>
      <c r="O1180" t="s">
        <v>52</v>
      </c>
      <c r="P1180" t="str">
        <f t="shared" si="75"/>
        <v>18000_3209</v>
      </c>
      <c r="Q1180" s="180">
        <v>100</v>
      </c>
    </row>
    <row r="1181" spans="1:17">
      <c r="A1181" t="str">
        <f t="shared" si="72"/>
        <v>UGA_3210</v>
      </c>
      <c r="B1181" t="str">
        <f t="shared" si="73"/>
        <v>UGA_JPC CONSERVATION TILLAGE LAB</v>
      </c>
      <c r="C1181" t="s">
        <v>443</v>
      </c>
      <c r="D1181" s="180" t="s">
        <v>51</v>
      </c>
      <c r="E1181" t="s">
        <v>3170</v>
      </c>
      <c r="F1181" t="s">
        <v>7737</v>
      </c>
      <c r="G1181" s="180">
        <v>1926</v>
      </c>
      <c r="H1181">
        <v>2013</v>
      </c>
      <c r="J1181" s="1334" t="s">
        <v>475</v>
      </c>
      <c r="K1181" s="1335" t="s">
        <v>475</v>
      </c>
      <c r="L1181" s="180">
        <v>0</v>
      </c>
      <c r="M1181" t="s">
        <v>4</v>
      </c>
      <c r="N1181" t="str">
        <f t="shared" si="74"/>
        <v>JPC CONSERVATION TILLAGE LAB (3210)</v>
      </c>
      <c r="O1181" t="s">
        <v>52</v>
      </c>
      <c r="P1181" t="str">
        <f t="shared" si="75"/>
        <v>18000_3210</v>
      </c>
      <c r="Q1181" s="180">
        <v>100</v>
      </c>
    </row>
    <row r="1182" spans="1:17">
      <c r="A1182" t="str">
        <f t="shared" si="72"/>
        <v>UGA_3211</v>
      </c>
      <c r="B1182" t="str">
        <f t="shared" si="73"/>
        <v>UGA_JPC MACH SHED 15</v>
      </c>
      <c r="C1182" t="s">
        <v>443</v>
      </c>
      <c r="D1182" s="180" t="s">
        <v>51</v>
      </c>
      <c r="E1182" t="s">
        <v>2603</v>
      </c>
      <c r="F1182" t="s">
        <v>2604</v>
      </c>
      <c r="G1182" s="180">
        <v>2304</v>
      </c>
      <c r="H1182">
        <v>2013</v>
      </c>
      <c r="J1182" s="1334" t="s">
        <v>475</v>
      </c>
      <c r="K1182" s="1335" t="s">
        <v>475</v>
      </c>
      <c r="L1182" s="180">
        <v>0</v>
      </c>
      <c r="M1182" t="s">
        <v>4</v>
      </c>
      <c r="N1182" t="str">
        <f t="shared" si="74"/>
        <v>JPC MACH SHED 15 (3211)</v>
      </c>
      <c r="O1182" t="s">
        <v>52</v>
      </c>
      <c r="P1182" t="str">
        <f t="shared" si="75"/>
        <v>18000_3211</v>
      </c>
      <c r="Q1182" s="180">
        <v>100</v>
      </c>
    </row>
    <row r="1183" spans="1:17">
      <c r="A1183" t="str">
        <f t="shared" si="72"/>
        <v>UGA_3212</v>
      </c>
      <c r="B1183" t="str">
        <f t="shared" si="73"/>
        <v>UGA_JPC ENGING LAB</v>
      </c>
      <c r="C1183" t="s">
        <v>443</v>
      </c>
      <c r="D1183" s="180" t="s">
        <v>51</v>
      </c>
      <c r="E1183" t="s">
        <v>2930</v>
      </c>
      <c r="F1183" t="s">
        <v>2931</v>
      </c>
      <c r="G1183" s="180">
        <v>4000</v>
      </c>
      <c r="H1183">
        <v>2013</v>
      </c>
      <c r="J1183" s="1334" t="s">
        <v>475</v>
      </c>
      <c r="K1183" s="1335" t="s">
        <v>475</v>
      </c>
      <c r="L1183" s="180">
        <v>0</v>
      </c>
      <c r="M1183" t="s">
        <v>4</v>
      </c>
      <c r="N1183" t="str">
        <f t="shared" si="74"/>
        <v>JPC ENGING LAB (3212)</v>
      </c>
      <c r="O1183" t="s">
        <v>52</v>
      </c>
      <c r="P1183" t="str">
        <f t="shared" si="75"/>
        <v>18000_3212</v>
      </c>
      <c r="Q1183" s="180">
        <v>100</v>
      </c>
    </row>
    <row r="1184" spans="1:17">
      <c r="A1184" t="str">
        <f t="shared" si="72"/>
        <v>UGA_3213</v>
      </c>
      <c r="B1184" t="str">
        <f t="shared" si="73"/>
        <v>UGA_JPC FIELD POLLINATION STRUCTUR</v>
      </c>
      <c r="C1184" t="s">
        <v>443</v>
      </c>
      <c r="D1184" s="180" t="s">
        <v>51</v>
      </c>
      <c r="E1184" t="s">
        <v>7614</v>
      </c>
      <c r="F1184" t="s">
        <v>7738</v>
      </c>
      <c r="G1184" s="180">
        <v>2160</v>
      </c>
      <c r="H1184">
        <v>2023</v>
      </c>
      <c r="J1184" s="1334" t="s">
        <v>475</v>
      </c>
      <c r="K1184" s="1335" t="s">
        <v>475</v>
      </c>
      <c r="L1184" s="180">
        <v>0</v>
      </c>
      <c r="M1184" t="s">
        <v>4</v>
      </c>
      <c r="N1184" t="str">
        <f t="shared" si="74"/>
        <v>JPC FIELD POLLINATION STRUCTUR (3213)</v>
      </c>
      <c r="O1184" t="s">
        <v>52</v>
      </c>
      <c r="P1184" t="str">
        <f t="shared" si="75"/>
        <v>18000_3213</v>
      </c>
      <c r="Q1184" s="180">
        <v>100</v>
      </c>
    </row>
    <row r="1185" spans="1:17">
      <c r="A1185" t="str">
        <f t="shared" si="72"/>
        <v>UGA_3215</v>
      </c>
      <c r="B1185" t="str">
        <f t="shared" si="73"/>
        <v>UGA_JPC HYDRAL LAB</v>
      </c>
      <c r="C1185" t="s">
        <v>443</v>
      </c>
      <c r="D1185" s="180" t="s">
        <v>51</v>
      </c>
      <c r="E1185" t="s">
        <v>3905</v>
      </c>
      <c r="F1185" t="s">
        <v>3906</v>
      </c>
      <c r="G1185" s="180">
        <v>4000</v>
      </c>
      <c r="H1185">
        <v>2013</v>
      </c>
      <c r="J1185" s="1334" t="s">
        <v>475</v>
      </c>
      <c r="K1185" s="1335" t="s">
        <v>475</v>
      </c>
      <c r="L1185" s="180">
        <v>0</v>
      </c>
      <c r="M1185" t="s">
        <v>4</v>
      </c>
      <c r="N1185" t="str">
        <f t="shared" si="74"/>
        <v>JPC HYDRAL LAB (3215)</v>
      </c>
      <c r="O1185" t="s">
        <v>52</v>
      </c>
      <c r="P1185" t="str">
        <f t="shared" si="75"/>
        <v>18000_3215</v>
      </c>
      <c r="Q1185" s="180">
        <v>100</v>
      </c>
    </row>
    <row r="1186" spans="1:17">
      <c r="A1186" t="str">
        <f t="shared" si="72"/>
        <v>UGA_3216</v>
      </c>
      <c r="B1186" t="str">
        <f t="shared" si="73"/>
        <v>UGA_JPC DAIRY UNIT</v>
      </c>
      <c r="C1186" t="s">
        <v>443</v>
      </c>
      <c r="D1186" s="180" t="s">
        <v>51</v>
      </c>
      <c r="E1186" t="s">
        <v>4150</v>
      </c>
      <c r="F1186" t="s">
        <v>4151</v>
      </c>
      <c r="G1186" s="180">
        <v>5506</v>
      </c>
      <c r="H1186">
        <v>2013</v>
      </c>
      <c r="J1186" s="1334" t="s">
        <v>475</v>
      </c>
      <c r="K1186" s="1335" t="s">
        <v>475</v>
      </c>
      <c r="L1186" s="180">
        <v>0</v>
      </c>
      <c r="M1186" t="s">
        <v>4</v>
      </c>
      <c r="N1186" t="str">
        <f t="shared" si="74"/>
        <v>JPC DAIRY UNIT (3216)</v>
      </c>
      <c r="O1186" t="s">
        <v>52</v>
      </c>
      <c r="P1186" t="str">
        <f t="shared" si="75"/>
        <v>18000_3216</v>
      </c>
      <c r="Q1186" s="180">
        <v>100</v>
      </c>
    </row>
    <row r="1187" spans="1:17">
      <c r="A1187" t="str">
        <f t="shared" si="72"/>
        <v>UGA_3217</v>
      </c>
      <c r="B1187" t="str">
        <f t="shared" si="73"/>
        <v>UGA_JPC FESCUE BRN 27</v>
      </c>
      <c r="C1187" t="s">
        <v>443</v>
      </c>
      <c r="D1187" s="180" t="s">
        <v>51</v>
      </c>
      <c r="E1187" t="s">
        <v>3118</v>
      </c>
      <c r="F1187" t="s">
        <v>3119</v>
      </c>
      <c r="G1187" s="180">
        <v>3200</v>
      </c>
      <c r="H1187">
        <v>2013</v>
      </c>
      <c r="J1187" s="1334" t="s">
        <v>475</v>
      </c>
      <c r="K1187" s="1335" t="s">
        <v>475</v>
      </c>
      <c r="L1187" s="180">
        <v>0</v>
      </c>
      <c r="M1187" t="s">
        <v>4</v>
      </c>
      <c r="N1187" t="str">
        <f t="shared" si="74"/>
        <v>JPC FESCUE BRN 27 (3217)</v>
      </c>
      <c r="O1187" t="s">
        <v>52</v>
      </c>
      <c r="P1187" t="str">
        <f t="shared" si="75"/>
        <v>18000_3217</v>
      </c>
      <c r="Q1187" s="180">
        <v>100</v>
      </c>
    </row>
    <row r="1188" spans="1:17">
      <c r="A1188" t="str">
        <f t="shared" si="72"/>
        <v>UGA_3218</v>
      </c>
      <c r="B1188" t="str">
        <f t="shared" si="73"/>
        <v>UGA_JPC PESTICIDE BL</v>
      </c>
      <c r="C1188" t="s">
        <v>443</v>
      </c>
      <c r="D1188" s="180" t="s">
        <v>51</v>
      </c>
      <c r="E1188" t="s">
        <v>2837</v>
      </c>
      <c r="F1188" t="s">
        <v>2838</v>
      </c>
      <c r="G1188" s="180">
        <v>380</v>
      </c>
      <c r="H1188">
        <v>2013</v>
      </c>
      <c r="J1188" s="1334" t="s">
        <v>475</v>
      </c>
      <c r="K1188" s="1335" t="s">
        <v>475</v>
      </c>
      <c r="L1188" s="180">
        <v>0</v>
      </c>
      <c r="M1188" t="s">
        <v>4</v>
      </c>
      <c r="N1188" t="str">
        <f t="shared" si="74"/>
        <v>JPC PESTICIDE BL (3218)</v>
      </c>
      <c r="O1188" t="s">
        <v>52</v>
      </c>
      <c r="P1188" t="str">
        <f t="shared" si="75"/>
        <v>18000_3218</v>
      </c>
      <c r="Q1188" s="180">
        <v>100</v>
      </c>
    </row>
    <row r="1189" spans="1:17">
      <c r="A1189" t="str">
        <f t="shared" si="72"/>
        <v>UGA_3219</v>
      </c>
      <c r="B1189" t="str">
        <f t="shared" si="73"/>
        <v>UGA_JPC DAWSON POLE BARN</v>
      </c>
      <c r="C1189" t="s">
        <v>443</v>
      </c>
      <c r="D1189" s="180" t="s">
        <v>51</v>
      </c>
      <c r="E1189" t="s">
        <v>2996</v>
      </c>
      <c r="F1189" t="s">
        <v>7739</v>
      </c>
      <c r="G1189" s="180">
        <v>4800</v>
      </c>
      <c r="H1189">
        <v>2013</v>
      </c>
      <c r="J1189" s="1334" t="s">
        <v>475</v>
      </c>
      <c r="K1189" s="1335" t="s">
        <v>475</v>
      </c>
      <c r="L1189" s="180">
        <v>0</v>
      </c>
      <c r="M1189" t="s">
        <v>4</v>
      </c>
      <c r="N1189" t="str">
        <f t="shared" si="74"/>
        <v>JPC DAWSON POLE BARN (3219)</v>
      </c>
      <c r="O1189" t="s">
        <v>52</v>
      </c>
      <c r="P1189" t="str">
        <f t="shared" si="75"/>
        <v>18000_3219</v>
      </c>
      <c r="Q1189" s="180">
        <v>100</v>
      </c>
    </row>
    <row r="1190" spans="1:17">
      <c r="A1190" t="str">
        <f t="shared" si="72"/>
        <v>UGA_3220</v>
      </c>
      <c r="B1190" t="str">
        <f t="shared" si="73"/>
        <v>UGA_JPC WEST UNIT HAY BARN</v>
      </c>
      <c r="C1190" t="s">
        <v>443</v>
      </c>
      <c r="D1190" s="180" t="s">
        <v>51</v>
      </c>
      <c r="E1190" t="s">
        <v>2423</v>
      </c>
      <c r="F1190" t="s">
        <v>7740</v>
      </c>
      <c r="G1190" s="180">
        <v>8400</v>
      </c>
      <c r="H1190">
        <v>2014</v>
      </c>
      <c r="J1190" s="1334" t="s">
        <v>475</v>
      </c>
      <c r="K1190" s="1335" t="s">
        <v>475</v>
      </c>
      <c r="L1190" s="180">
        <v>0</v>
      </c>
      <c r="M1190" t="s">
        <v>4</v>
      </c>
      <c r="N1190" t="str">
        <f t="shared" si="74"/>
        <v>JPC WEST UNIT HAY BARN (3220)</v>
      </c>
      <c r="O1190" t="s">
        <v>52</v>
      </c>
      <c r="P1190" t="str">
        <f t="shared" si="75"/>
        <v>18000_3220</v>
      </c>
      <c r="Q1190" s="180">
        <v>100</v>
      </c>
    </row>
    <row r="1191" spans="1:17">
      <c r="A1191" t="str">
        <f t="shared" si="72"/>
        <v>UGA_3271</v>
      </c>
      <c r="B1191" t="str">
        <f t="shared" si="73"/>
        <v>UGA_SAMPLE PROC &amp; STRG</v>
      </c>
      <c r="C1191" t="s">
        <v>443</v>
      </c>
      <c r="D1191" s="180" t="s">
        <v>51</v>
      </c>
      <c r="E1191" t="s">
        <v>4016</v>
      </c>
      <c r="F1191" t="s">
        <v>4017</v>
      </c>
      <c r="G1191" s="180">
        <v>7014</v>
      </c>
      <c r="H1191">
        <v>2016</v>
      </c>
      <c r="J1191" s="1334" t="s">
        <v>475</v>
      </c>
      <c r="K1191" s="1335" t="s">
        <v>901</v>
      </c>
      <c r="L1191" s="180">
        <v>0</v>
      </c>
      <c r="M1191" t="s">
        <v>4</v>
      </c>
      <c r="N1191" t="str">
        <f t="shared" si="74"/>
        <v>SAMPLE PROC &amp; STRG (3271)</v>
      </c>
      <c r="O1191" t="s">
        <v>52</v>
      </c>
      <c r="P1191" t="str">
        <f t="shared" si="75"/>
        <v>18000_3271</v>
      </c>
      <c r="Q1191" s="180">
        <v>100</v>
      </c>
    </row>
    <row r="1192" spans="1:17">
      <c r="A1192" t="str">
        <f t="shared" si="72"/>
        <v>UGA_3272</v>
      </c>
      <c r="B1192" t="str">
        <f t="shared" si="73"/>
        <v>UGA_EQUIP STRG  WEST 1</v>
      </c>
      <c r="C1192" t="s">
        <v>443</v>
      </c>
      <c r="D1192" s="180" t="s">
        <v>51</v>
      </c>
      <c r="E1192" t="s">
        <v>2332</v>
      </c>
      <c r="F1192" t="s">
        <v>2333</v>
      </c>
      <c r="G1192" s="180">
        <v>8000</v>
      </c>
      <c r="H1192">
        <v>2016</v>
      </c>
      <c r="J1192" s="1334" t="s">
        <v>475</v>
      </c>
      <c r="K1192" s="1335" t="s">
        <v>475</v>
      </c>
      <c r="L1192" s="180">
        <v>0</v>
      </c>
      <c r="M1192" t="s">
        <v>4</v>
      </c>
      <c r="N1192" t="str">
        <f t="shared" si="74"/>
        <v>EQUIP STRG  WEST 1 (3272)</v>
      </c>
      <c r="O1192" t="s">
        <v>52</v>
      </c>
      <c r="P1192" t="str">
        <f t="shared" si="75"/>
        <v>18000_3272</v>
      </c>
      <c r="Q1192" s="180">
        <v>100</v>
      </c>
    </row>
    <row r="1193" spans="1:17">
      <c r="A1193" t="str">
        <f t="shared" si="72"/>
        <v>UGA_3273</v>
      </c>
      <c r="B1193" t="str">
        <f t="shared" si="73"/>
        <v>UGA_HEADQUARTERS BLDG</v>
      </c>
      <c r="C1193" t="s">
        <v>443</v>
      </c>
      <c r="D1193" s="180" t="s">
        <v>51</v>
      </c>
      <c r="E1193" t="s">
        <v>1645</v>
      </c>
      <c r="F1193" t="s">
        <v>1646</v>
      </c>
      <c r="G1193" s="180">
        <v>4958</v>
      </c>
      <c r="H1193">
        <v>2016</v>
      </c>
      <c r="J1193" s="1334" t="s">
        <v>475</v>
      </c>
      <c r="K1193" s="1335" t="s">
        <v>475</v>
      </c>
      <c r="L1193" s="180">
        <v>0</v>
      </c>
      <c r="M1193" t="s">
        <v>4</v>
      </c>
      <c r="N1193" t="str">
        <f t="shared" si="74"/>
        <v>HEADQUARTERS BLDG (3273)</v>
      </c>
      <c r="O1193" t="s">
        <v>52</v>
      </c>
      <c r="P1193" t="str">
        <f t="shared" si="75"/>
        <v>18000_3273</v>
      </c>
      <c r="Q1193" s="180">
        <v>100</v>
      </c>
    </row>
    <row r="1194" spans="1:17">
      <c r="A1194" t="str">
        <f t="shared" si="72"/>
        <v>UGA_3274</v>
      </c>
      <c r="B1194" t="str">
        <f t="shared" si="73"/>
        <v>UGA_FARM SHOP</v>
      </c>
      <c r="C1194" t="s">
        <v>443</v>
      </c>
      <c r="D1194" s="180" t="s">
        <v>51</v>
      </c>
      <c r="E1194" t="s">
        <v>4241</v>
      </c>
      <c r="F1194" t="s">
        <v>4242</v>
      </c>
      <c r="G1194" s="180">
        <v>20000</v>
      </c>
      <c r="H1194">
        <v>2016</v>
      </c>
      <c r="J1194" s="1334" t="s">
        <v>475</v>
      </c>
      <c r="K1194" s="1335" t="s">
        <v>475</v>
      </c>
      <c r="L1194" s="180">
        <v>0</v>
      </c>
      <c r="M1194" t="s">
        <v>4</v>
      </c>
      <c r="N1194" t="str">
        <f t="shared" si="74"/>
        <v>FARM SHOP (3274)</v>
      </c>
      <c r="O1194" t="s">
        <v>52</v>
      </c>
      <c r="P1194" t="str">
        <f t="shared" si="75"/>
        <v>18000_3274</v>
      </c>
      <c r="Q1194" s="180">
        <v>100</v>
      </c>
    </row>
    <row r="1195" spans="1:17">
      <c r="A1195" t="str">
        <f t="shared" si="72"/>
        <v>UGA_3275</v>
      </c>
      <c r="B1195" t="str">
        <f t="shared" si="73"/>
        <v>UGA_MANAGER'S RESIDENCE</v>
      </c>
      <c r="C1195" t="s">
        <v>443</v>
      </c>
      <c r="D1195" s="180" t="s">
        <v>51</v>
      </c>
      <c r="E1195" t="s">
        <v>1665</v>
      </c>
      <c r="F1195" t="s">
        <v>1666</v>
      </c>
      <c r="G1195" s="180">
        <v>3080</v>
      </c>
      <c r="H1195">
        <v>2016</v>
      </c>
      <c r="J1195" s="1334" t="s">
        <v>475</v>
      </c>
      <c r="K1195" s="1335" t="s">
        <v>475</v>
      </c>
      <c r="L1195" s="180">
        <v>0</v>
      </c>
      <c r="M1195" t="s">
        <v>4</v>
      </c>
      <c r="N1195" t="str">
        <f t="shared" si="74"/>
        <v>MANAGER'S RESIDENCE (3275)</v>
      </c>
      <c r="O1195" t="s">
        <v>52</v>
      </c>
      <c r="P1195" t="str">
        <f t="shared" si="75"/>
        <v>18000_3275</v>
      </c>
      <c r="Q1195" s="180">
        <v>100</v>
      </c>
    </row>
    <row r="1196" spans="1:17">
      <c r="A1196" t="str">
        <f t="shared" si="72"/>
        <v>UGA_3276</v>
      </c>
      <c r="B1196" t="str">
        <f t="shared" si="73"/>
        <v>UGA_IRRIGATION PUMP HS</v>
      </c>
      <c r="C1196" t="s">
        <v>443</v>
      </c>
      <c r="D1196" s="180" t="s">
        <v>51</v>
      </c>
      <c r="E1196" t="s">
        <v>4152</v>
      </c>
      <c r="F1196" t="s">
        <v>4153</v>
      </c>
      <c r="G1196" s="180">
        <v>920</v>
      </c>
      <c r="H1196">
        <v>2016</v>
      </c>
      <c r="J1196" s="1334" t="s">
        <v>475</v>
      </c>
      <c r="K1196" s="1335" t="s">
        <v>475</v>
      </c>
      <c r="L1196" s="180">
        <v>0</v>
      </c>
      <c r="M1196" t="s">
        <v>4</v>
      </c>
      <c r="N1196" t="str">
        <f t="shared" si="74"/>
        <v>IRRIGATION PUMP HS (3276)</v>
      </c>
      <c r="O1196" t="s">
        <v>52</v>
      </c>
      <c r="P1196" t="str">
        <f t="shared" si="75"/>
        <v>18000_3276</v>
      </c>
      <c r="Q1196" s="180">
        <v>100</v>
      </c>
    </row>
    <row r="1197" spans="1:17">
      <c r="A1197" t="str">
        <f t="shared" si="72"/>
        <v>UGA_3277</v>
      </c>
      <c r="B1197" t="str">
        <f t="shared" si="73"/>
        <v>UGA_WELL HOUSE</v>
      </c>
      <c r="C1197" t="s">
        <v>443</v>
      </c>
      <c r="D1197" s="180" t="s">
        <v>51</v>
      </c>
      <c r="E1197" t="s">
        <v>4154</v>
      </c>
      <c r="F1197" t="s">
        <v>4155</v>
      </c>
      <c r="G1197" s="180">
        <v>80</v>
      </c>
      <c r="H1197">
        <v>2016</v>
      </c>
      <c r="J1197" s="1334" t="s">
        <v>475</v>
      </c>
      <c r="K1197" s="1335" t="s">
        <v>475</v>
      </c>
      <c r="L1197" s="180">
        <v>0</v>
      </c>
      <c r="M1197" t="s">
        <v>4</v>
      </c>
      <c r="N1197" t="str">
        <f t="shared" si="74"/>
        <v>WELL HOUSE (3277)</v>
      </c>
      <c r="O1197" t="s">
        <v>52</v>
      </c>
      <c r="P1197" t="str">
        <f t="shared" si="75"/>
        <v>18000_3277</v>
      </c>
      <c r="Q1197" s="180">
        <v>100</v>
      </c>
    </row>
    <row r="1198" spans="1:17">
      <c r="A1198" t="str">
        <f t="shared" si="72"/>
        <v>UGA_3278</v>
      </c>
      <c r="B1198" t="str">
        <f t="shared" si="73"/>
        <v>UGA_EQUIP STRG WEST 2</v>
      </c>
      <c r="C1198" t="s">
        <v>443</v>
      </c>
      <c r="D1198" s="180" t="s">
        <v>51</v>
      </c>
      <c r="E1198" t="s">
        <v>1647</v>
      </c>
      <c r="F1198" t="s">
        <v>1648</v>
      </c>
      <c r="G1198" s="180">
        <v>6000</v>
      </c>
      <c r="H1198">
        <v>2016</v>
      </c>
      <c r="J1198" s="1334" t="s">
        <v>475</v>
      </c>
      <c r="K1198" s="1335" t="s">
        <v>475</v>
      </c>
      <c r="L1198" s="180">
        <v>0</v>
      </c>
      <c r="M1198" t="s">
        <v>4</v>
      </c>
      <c r="N1198" t="str">
        <f t="shared" si="74"/>
        <v>EQUIP STRG WEST 2 (3278)</v>
      </c>
      <c r="O1198" t="s">
        <v>52</v>
      </c>
      <c r="P1198" t="str">
        <f t="shared" si="75"/>
        <v>18000_3278</v>
      </c>
      <c r="Q1198" s="180">
        <v>100</v>
      </c>
    </row>
    <row r="1199" spans="1:17">
      <c r="A1199" t="str">
        <f t="shared" si="72"/>
        <v>UGA_3279</v>
      </c>
      <c r="B1199" t="str">
        <f t="shared" si="73"/>
        <v>UGA_EQUIP STRG EAST 1</v>
      </c>
      <c r="C1199" t="s">
        <v>443</v>
      </c>
      <c r="D1199" s="180" t="s">
        <v>51</v>
      </c>
      <c r="E1199" t="s">
        <v>4295</v>
      </c>
      <c r="F1199" t="s">
        <v>4296</v>
      </c>
      <c r="G1199" s="180">
        <v>8000</v>
      </c>
      <c r="H1199">
        <v>2016</v>
      </c>
      <c r="J1199" s="1334" t="s">
        <v>475</v>
      </c>
      <c r="K1199" s="1335" t="s">
        <v>475</v>
      </c>
      <c r="L1199" s="180">
        <v>0</v>
      </c>
      <c r="M1199" t="s">
        <v>4</v>
      </c>
      <c r="N1199" t="str">
        <f t="shared" si="74"/>
        <v>EQUIP STRG EAST 1 (3279)</v>
      </c>
      <c r="O1199" t="s">
        <v>52</v>
      </c>
      <c r="P1199" t="str">
        <f t="shared" si="75"/>
        <v>18000_3279</v>
      </c>
      <c r="Q1199" s="180">
        <v>100</v>
      </c>
    </row>
    <row r="1200" spans="1:17">
      <c r="A1200" t="str">
        <f t="shared" si="72"/>
        <v>UGA_3304</v>
      </c>
      <c r="B1200" t="str">
        <f t="shared" si="73"/>
        <v>UGA_SPRING SHED</v>
      </c>
      <c r="C1200" t="s">
        <v>443</v>
      </c>
      <c r="D1200" s="180" t="s">
        <v>51</v>
      </c>
      <c r="E1200" t="s">
        <v>3274</v>
      </c>
      <c r="F1200" t="s">
        <v>3275</v>
      </c>
      <c r="G1200" s="180">
        <v>480</v>
      </c>
      <c r="H1200">
        <v>1890</v>
      </c>
      <c r="J1200" s="1334" t="s">
        <v>475</v>
      </c>
      <c r="K1200" s="1335" t="s">
        <v>481</v>
      </c>
      <c r="L1200" s="180">
        <v>0</v>
      </c>
      <c r="M1200" t="s">
        <v>4</v>
      </c>
      <c r="N1200" t="str">
        <f t="shared" si="74"/>
        <v>SPRING SHED (3304)</v>
      </c>
      <c r="O1200" t="s">
        <v>52</v>
      </c>
      <c r="P1200" t="str">
        <f t="shared" si="75"/>
        <v>18000_3304</v>
      </c>
      <c r="Q1200" s="180">
        <v>100</v>
      </c>
    </row>
    <row r="1201" spans="1:17">
      <c r="A1201" t="str">
        <f t="shared" si="72"/>
        <v>UGA_3325</v>
      </c>
      <c r="B1201" t="str">
        <f t="shared" si="73"/>
        <v>UGA_FRS THOMP MILL P H</v>
      </c>
      <c r="C1201" t="s">
        <v>443</v>
      </c>
      <c r="D1201" s="180" t="s">
        <v>51</v>
      </c>
      <c r="E1201" t="s">
        <v>1763</v>
      </c>
      <c r="F1201" t="s">
        <v>1764</v>
      </c>
      <c r="G1201" s="180">
        <v>36</v>
      </c>
      <c r="H1201">
        <v>1989</v>
      </c>
      <c r="J1201" s="1334" t="s">
        <v>475</v>
      </c>
      <c r="K1201" s="1335" t="s">
        <v>475</v>
      </c>
      <c r="L1201" s="180">
        <v>0</v>
      </c>
      <c r="M1201" t="s">
        <v>4</v>
      </c>
      <c r="N1201" t="str">
        <f t="shared" si="74"/>
        <v>FRS THOMP MILL P H (3325)</v>
      </c>
      <c r="O1201" t="s">
        <v>52</v>
      </c>
      <c r="P1201" t="str">
        <f t="shared" si="75"/>
        <v>18000_3325</v>
      </c>
      <c r="Q1201" s="180">
        <v>100</v>
      </c>
    </row>
    <row r="1202" spans="1:17">
      <c r="A1202" t="str">
        <f t="shared" si="72"/>
        <v>UGA_3326</v>
      </c>
      <c r="B1202" t="str">
        <f t="shared" si="73"/>
        <v>UGA_FRS THOMP MILL FAC</v>
      </c>
      <c r="C1202" t="s">
        <v>443</v>
      </c>
      <c r="D1202" s="180" t="s">
        <v>51</v>
      </c>
      <c r="E1202" t="s">
        <v>1902</v>
      </c>
      <c r="F1202" t="s">
        <v>1903</v>
      </c>
      <c r="G1202" s="180">
        <v>792</v>
      </c>
      <c r="H1202">
        <v>1990</v>
      </c>
      <c r="J1202" s="1334" t="s">
        <v>475</v>
      </c>
      <c r="K1202" s="1335" t="s">
        <v>475</v>
      </c>
      <c r="L1202" s="180">
        <v>0</v>
      </c>
      <c r="M1202" t="s">
        <v>4</v>
      </c>
      <c r="N1202" t="str">
        <f t="shared" si="74"/>
        <v>FRS THOMP MILL FAC (3326)</v>
      </c>
      <c r="O1202" t="s">
        <v>52</v>
      </c>
      <c r="P1202" t="str">
        <f t="shared" si="75"/>
        <v>18000_3326</v>
      </c>
      <c r="Q1202" s="180">
        <v>100</v>
      </c>
    </row>
    <row r="1203" spans="1:17">
      <c r="A1203" t="str">
        <f t="shared" si="72"/>
        <v>UGA_3351</v>
      </c>
      <c r="B1203" t="str">
        <f t="shared" si="73"/>
        <v>UGA_FERTIGATE FAC</v>
      </c>
      <c r="C1203" t="s">
        <v>443</v>
      </c>
      <c r="D1203" s="180" t="s">
        <v>51</v>
      </c>
      <c r="E1203" t="s">
        <v>2027</v>
      </c>
      <c r="F1203" t="s">
        <v>2028</v>
      </c>
      <c r="G1203" s="180">
        <v>360</v>
      </c>
      <c r="H1203">
        <v>1997</v>
      </c>
      <c r="J1203" s="1334" t="s">
        <v>475</v>
      </c>
      <c r="K1203" s="1335" t="s">
        <v>475</v>
      </c>
      <c r="L1203" s="180">
        <v>0</v>
      </c>
      <c r="M1203" t="s">
        <v>4</v>
      </c>
      <c r="N1203" t="str">
        <f t="shared" si="74"/>
        <v>FERTIGATE FAC (3351)</v>
      </c>
      <c r="O1203" t="s">
        <v>52</v>
      </c>
      <c r="P1203" t="str">
        <f t="shared" si="75"/>
        <v>18000_3351</v>
      </c>
      <c r="Q1203" s="180">
        <v>100</v>
      </c>
    </row>
    <row r="1204" spans="1:17">
      <c r="A1204" t="str">
        <f t="shared" si="72"/>
        <v>UGA_3361</v>
      </c>
      <c r="B1204" t="str">
        <f t="shared" si="73"/>
        <v>UGA_FOR RES EDU CNTR</v>
      </c>
      <c r="C1204" t="s">
        <v>443</v>
      </c>
      <c r="D1204" s="180" t="s">
        <v>51</v>
      </c>
      <c r="E1204" t="s">
        <v>2424</v>
      </c>
      <c r="F1204" t="s">
        <v>2425</v>
      </c>
      <c r="G1204" s="180">
        <v>7834</v>
      </c>
      <c r="H1204">
        <v>2001</v>
      </c>
      <c r="J1204" s="1334" t="s">
        <v>475</v>
      </c>
      <c r="K1204" s="1335" t="s">
        <v>475</v>
      </c>
      <c r="L1204" s="180">
        <v>0</v>
      </c>
      <c r="M1204" t="s">
        <v>4</v>
      </c>
      <c r="N1204" t="str">
        <f t="shared" si="74"/>
        <v>FOR RES EDU CNTR (3361)</v>
      </c>
      <c r="O1204" t="s">
        <v>52</v>
      </c>
      <c r="P1204" t="str">
        <f t="shared" si="75"/>
        <v>18000_3361</v>
      </c>
      <c r="Q1204" s="180">
        <v>100</v>
      </c>
    </row>
    <row r="1205" spans="1:17">
      <c r="A1205" t="str">
        <f t="shared" si="72"/>
        <v>UGA_3362</v>
      </c>
      <c r="B1205" t="str">
        <f t="shared" si="73"/>
        <v>UGA_FOR RES STAFF RES</v>
      </c>
      <c r="C1205" t="s">
        <v>443</v>
      </c>
      <c r="D1205" s="180" t="s">
        <v>51</v>
      </c>
      <c r="E1205" t="s">
        <v>2215</v>
      </c>
      <c r="F1205" t="s">
        <v>2216</v>
      </c>
      <c r="G1205" s="180">
        <v>1550</v>
      </c>
      <c r="H1205">
        <v>2001</v>
      </c>
      <c r="J1205" s="1334" t="s">
        <v>475</v>
      </c>
      <c r="K1205" s="1335" t="s">
        <v>475</v>
      </c>
      <c r="L1205" s="180">
        <v>0</v>
      </c>
      <c r="M1205" t="s">
        <v>4</v>
      </c>
      <c r="N1205" t="str">
        <f t="shared" si="74"/>
        <v>FOR RES STAFF RES (3362)</v>
      </c>
      <c r="O1205" t="s">
        <v>52</v>
      </c>
      <c r="P1205" t="str">
        <f t="shared" si="75"/>
        <v>18000_3362</v>
      </c>
      <c r="Q1205" s="180">
        <v>100</v>
      </c>
    </row>
    <row r="1206" spans="1:17">
      <c r="A1206" t="str">
        <f t="shared" si="72"/>
        <v>UGA_3421</v>
      </c>
      <c r="B1206" t="str">
        <f t="shared" si="73"/>
        <v>UGA_PUB.SFTY TRNG CTR</v>
      </c>
      <c r="C1206" t="s">
        <v>443</v>
      </c>
      <c r="D1206" s="180" t="s">
        <v>51</v>
      </c>
      <c r="E1206" t="s">
        <v>3024</v>
      </c>
      <c r="F1206" t="s">
        <v>3025</v>
      </c>
      <c r="G1206" s="180">
        <v>879</v>
      </c>
      <c r="H1206">
        <v>1981</v>
      </c>
      <c r="J1206" s="1334" t="s">
        <v>475</v>
      </c>
      <c r="K1206" s="1335" t="s">
        <v>475</v>
      </c>
      <c r="L1206" s="180">
        <v>100</v>
      </c>
      <c r="M1206" t="s">
        <v>4</v>
      </c>
      <c r="N1206" t="str">
        <f t="shared" si="74"/>
        <v>PUB.SFTY TRNG CTR (3421)</v>
      </c>
      <c r="O1206" t="s">
        <v>52</v>
      </c>
      <c r="P1206" t="str">
        <f t="shared" si="75"/>
        <v>18000_3421</v>
      </c>
      <c r="Q1206" s="180">
        <v>100</v>
      </c>
    </row>
    <row r="1207" spans="1:17">
      <c r="A1207" t="str">
        <f t="shared" si="72"/>
        <v>UGA_3422</v>
      </c>
      <c r="B1207" t="str">
        <f t="shared" si="73"/>
        <v>UGA_FIRING RANGE SHED</v>
      </c>
      <c r="C1207" t="s">
        <v>443</v>
      </c>
      <c r="D1207" s="180" t="s">
        <v>51</v>
      </c>
      <c r="E1207" t="s">
        <v>2502</v>
      </c>
      <c r="F1207" t="s">
        <v>2503</v>
      </c>
      <c r="G1207" s="180">
        <v>468</v>
      </c>
      <c r="H1207">
        <v>1981</v>
      </c>
      <c r="J1207" s="1334" t="s">
        <v>475</v>
      </c>
      <c r="K1207" s="1335" t="s">
        <v>475</v>
      </c>
      <c r="L1207" s="180">
        <v>100</v>
      </c>
      <c r="M1207" t="s">
        <v>4</v>
      </c>
      <c r="N1207" t="str">
        <f t="shared" si="74"/>
        <v>FIRING RANGE SHED (3422)</v>
      </c>
      <c r="O1207" t="s">
        <v>52</v>
      </c>
      <c r="P1207" t="str">
        <f t="shared" si="75"/>
        <v>18000_3422</v>
      </c>
      <c r="Q1207" s="180">
        <v>100</v>
      </c>
    </row>
    <row r="1208" spans="1:17">
      <c r="A1208" t="str">
        <f t="shared" si="72"/>
        <v>UGA_3424</v>
      </c>
      <c r="B1208" t="str">
        <f t="shared" si="73"/>
        <v>UGA_HIGH SKEET HOUSE</v>
      </c>
      <c r="C1208" t="s">
        <v>443</v>
      </c>
      <c r="D1208" s="180" t="s">
        <v>51</v>
      </c>
      <c r="E1208" t="s">
        <v>3907</v>
      </c>
      <c r="F1208" t="s">
        <v>3908</v>
      </c>
      <c r="G1208" s="180">
        <v>128</v>
      </c>
      <c r="H1208">
        <v>1981</v>
      </c>
      <c r="J1208" s="1334" t="s">
        <v>475</v>
      </c>
      <c r="K1208" s="1335" t="s">
        <v>475</v>
      </c>
      <c r="L1208" s="180">
        <v>100</v>
      </c>
      <c r="M1208" t="s">
        <v>4</v>
      </c>
      <c r="N1208" t="str">
        <f t="shared" si="74"/>
        <v>HIGH SKEET HOUSE (3424)</v>
      </c>
      <c r="O1208" t="s">
        <v>52</v>
      </c>
      <c r="P1208" t="str">
        <f t="shared" si="75"/>
        <v>18000_3424</v>
      </c>
      <c r="Q1208" s="180">
        <v>100</v>
      </c>
    </row>
    <row r="1209" spans="1:17">
      <c r="A1209" t="str">
        <f t="shared" si="72"/>
        <v>UGA_3425</v>
      </c>
      <c r="B1209" t="str">
        <f t="shared" si="73"/>
        <v>UGA_LOW SKEET HOUSE</v>
      </c>
      <c r="C1209" t="s">
        <v>443</v>
      </c>
      <c r="D1209" s="180" t="s">
        <v>51</v>
      </c>
      <c r="E1209" t="s">
        <v>4372</v>
      </c>
      <c r="F1209" t="s">
        <v>4373</v>
      </c>
      <c r="G1209" s="180">
        <v>64</v>
      </c>
      <c r="H1209">
        <v>1981</v>
      </c>
      <c r="J1209" s="1334" t="s">
        <v>475</v>
      </c>
      <c r="K1209" s="1335" t="s">
        <v>475</v>
      </c>
      <c r="L1209" s="180">
        <v>100</v>
      </c>
      <c r="M1209" t="s">
        <v>4</v>
      </c>
      <c r="N1209" t="str">
        <f t="shared" si="74"/>
        <v>LOW SKEET HOUSE (3425)</v>
      </c>
      <c r="O1209" t="s">
        <v>52</v>
      </c>
      <c r="P1209" t="str">
        <f t="shared" si="75"/>
        <v>18000_3425</v>
      </c>
      <c r="Q1209" s="180">
        <v>100</v>
      </c>
    </row>
    <row r="1210" spans="1:17">
      <c r="A1210" t="str">
        <f t="shared" si="72"/>
        <v>UGA_3426</v>
      </c>
      <c r="B1210" t="str">
        <f t="shared" si="73"/>
        <v>UGA_A STRINGFELLOW BLD</v>
      </c>
      <c r="C1210" t="s">
        <v>443</v>
      </c>
      <c r="D1210" s="180" t="s">
        <v>51</v>
      </c>
      <c r="E1210" t="s">
        <v>3383</v>
      </c>
      <c r="F1210" t="s">
        <v>3384</v>
      </c>
      <c r="G1210" s="180">
        <v>1815</v>
      </c>
      <c r="H1210">
        <v>1980</v>
      </c>
      <c r="J1210" s="1334" t="s">
        <v>475</v>
      </c>
      <c r="K1210" s="1335" t="s">
        <v>1520</v>
      </c>
      <c r="L1210" s="180">
        <v>100</v>
      </c>
      <c r="M1210" t="s">
        <v>4</v>
      </c>
      <c r="N1210" t="str">
        <f t="shared" si="74"/>
        <v>A STRINGFELLOW BLD (3426)</v>
      </c>
      <c r="O1210" t="s">
        <v>52</v>
      </c>
      <c r="P1210" t="str">
        <f t="shared" si="75"/>
        <v>18000_3426</v>
      </c>
      <c r="Q1210" s="180">
        <v>75</v>
      </c>
    </row>
    <row r="1211" spans="1:17">
      <c r="A1211" t="str">
        <f t="shared" si="72"/>
        <v>UGA_3429</v>
      </c>
      <c r="B1211" t="str">
        <f t="shared" si="73"/>
        <v>UGA_PUB SAF RR FAC</v>
      </c>
      <c r="C1211" t="s">
        <v>443</v>
      </c>
      <c r="D1211" s="180" t="s">
        <v>51</v>
      </c>
      <c r="E1211" t="s">
        <v>3026</v>
      </c>
      <c r="F1211" t="s">
        <v>3027</v>
      </c>
      <c r="G1211" s="180">
        <v>528</v>
      </c>
      <c r="H1211">
        <v>1994</v>
      </c>
      <c r="J1211" s="1334" t="s">
        <v>475</v>
      </c>
      <c r="K1211" s="1335" t="s">
        <v>475</v>
      </c>
      <c r="L1211" s="180">
        <v>100</v>
      </c>
      <c r="M1211" t="s">
        <v>4</v>
      </c>
      <c r="N1211" t="str">
        <f t="shared" si="74"/>
        <v>PUB SAF RR FAC (3429)</v>
      </c>
      <c r="O1211" t="s">
        <v>52</v>
      </c>
      <c r="P1211" t="str">
        <f t="shared" si="75"/>
        <v>18000_3429</v>
      </c>
      <c r="Q1211" s="180">
        <v>50</v>
      </c>
    </row>
    <row r="1212" spans="1:17">
      <c r="A1212" t="str">
        <f t="shared" si="72"/>
        <v>UGA_3440</v>
      </c>
      <c r="B1212" t="str">
        <f t="shared" si="73"/>
        <v>UGA_DB SWINE FACILITY OFFICE</v>
      </c>
      <c r="C1212" t="s">
        <v>443</v>
      </c>
      <c r="D1212" s="180" t="s">
        <v>51</v>
      </c>
      <c r="E1212" t="s">
        <v>3975</v>
      </c>
      <c r="F1212" t="s">
        <v>3976</v>
      </c>
      <c r="G1212" s="180">
        <v>1111</v>
      </c>
      <c r="H1212">
        <v>2010</v>
      </c>
      <c r="J1212" s="1334" t="s">
        <v>475</v>
      </c>
      <c r="K1212" s="1335" t="s">
        <v>475</v>
      </c>
      <c r="L1212" s="180">
        <v>0</v>
      </c>
      <c r="M1212" t="s">
        <v>4</v>
      </c>
      <c r="N1212" t="str">
        <f t="shared" si="74"/>
        <v>DB SWINE FACILITY OFFICE (3440)</v>
      </c>
      <c r="O1212" t="s">
        <v>52</v>
      </c>
      <c r="P1212" t="str">
        <f t="shared" si="75"/>
        <v>18000_3440</v>
      </c>
      <c r="Q1212" s="180">
        <v>100</v>
      </c>
    </row>
    <row r="1213" spans="1:17">
      <c r="A1213" t="str">
        <f t="shared" si="72"/>
        <v>UGA_3441</v>
      </c>
      <c r="B1213" t="str">
        <f t="shared" si="73"/>
        <v>UGA_DB SWINE BREEDING BLDG</v>
      </c>
      <c r="C1213" t="s">
        <v>443</v>
      </c>
      <c r="D1213" s="180" t="s">
        <v>51</v>
      </c>
      <c r="E1213" t="s">
        <v>2504</v>
      </c>
      <c r="F1213" t="s">
        <v>2505</v>
      </c>
      <c r="G1213" s="180">
        <v>2087</v>
      </c>
      <c r="H1213">
        <v>2010</v>
      </c>
      <c r="J1213" s="1334" t="s">
        <v>475</v>
      </c>
      <c r="K1213" s="1335" t="s">
        <v>475</v>
      </c>
      <c r="L1213" s="180">
        <v>0</v>
      </c>
      <c r="M1213" t="s">
        <v>4</v>
      </c>
      <c r="N1213" t="str">
        <f t="shared" si="74"/>
        <v>DB SWINE BREEDING BLDG (3441)</v>
      </c>
      <c r="O1213" t="s">
        <v>52</v>
      </c>
      <c r="P1213" t="str">
        <f t="shared" si="75"/>
        <v>18000_3441</v>
      </c>
      <c r="Q1213" s="180">
        <v>100</v>
      </c>
    </row>
    <row r="1214" spans="1:17">
      <c r="A1214" t="str">
        <f t="shared" si="72"/>
        <v>UGA_3442</v>
      </c>
      <c r="B1214" t="str">
        <f t="shared" si="73"/>
        <v>UGA_DB SWINE GESTATION</v>
      </c>
      <c r="C1214" t="s">
        <v>443</v>
      </c>
      <c r="D1214" s="180" t="s">
        <v>51</v>
      </c>
      <c r="E1214" t="s">
        <v>1649</v>
      </c>
      <c r="F1214" t="s">
        <v>1650</v>
      </c>
      <c r="G1214" s="180">
        <v>2285</v>
      </c>
      <c r="H1214">
        <v>2010</v>
      </c>
      <c r="J1214" s="1334" t="s">
        <v>475</v>
      </c>
      <c r="K1214" s="1335" t="s">
        <v>475</v>
      </c>
      <c r="L1214" s="180">
        <v>0</v>
      </c>
      <c r="M1214" t="s">
        <v>4</v>
      </c>
      <c r="N1214" t="str">
        <f t="shared" si="74"/>
        <v>DB SWINE GESTATION (3442)</v>
      </c>
      <c r="O1214" t="s">
        <v>52</v>
      </c>
      <c r="P1214" t="str">
        <f t="shared" si="75"/>
        <v>18000_3442</v>
      </c>
      <c r="Q1214" s="180">
        <v>0</v>
      </c>
    </row>
    <row r="1215" spans="1:17">
      <c r="A1215" t="str">
        <f t="shared" si="72"/>
        <v>UGA_3443</v>
      </c>
      <c r="B1215" t="str">
        <f t="shared" si="73"/>
        <v>UGA_DB SWINE FINISHING BLDG 2</v>
      </c>
      <c r="C1215" t="s">
        <v>443</v>
      </c>
      <c r="D1215" s="180" t="s">
        <v>51</v>
      </c>
      <c r="E1215" t="s">
        <v>3171</v>
      </c>
      <c r="F1215" t="s">
        <v>3172</v>
      </c>
      <c r="G1215" s="180">
        <v>2078</v>
      </c>
      <c r="H1215">
        <v>2010</v>
      </c>
      <c r="J1215" s="1334" t="s">
        <v>475</v>
      </c>
      <c r="K1215" s="1335" t="s">
        <v>475</v>
      </c>
      <c r="L1215" s="180">
        <v>0</v>
      </c>
      <c r="M1215" t="s">
        <v>4</v>
      </c>
      <c r="N1215" t="str">
        <f t="shared" si="74"/>
        <v>DB SWINE FINISHING BLDG 2 (3443)</v>
      </c>
      <c r="O1215" t="s">
        <v>52</v>
      </c>
      <c r="P1215" t="str">
        <f t="shared" si="75"/>
        <v>18000_3443</v>
      </c>
      <c r="Q1215" s="180">
        <v>0</v>
      </c>
    </row>
    <row r="1216" spans="1:17">
      <c r="A1216" t="str">
        <f t="shared" si="72"/>
        <v>UGA_3445</v>
      </c>
      <c r="B1216" t="str">
        <f t="shared" si="73"/>
        <v>UGA_DB SWINE FINISHING BLDG 1</v>
      </c>
      <c r="C1216" t="s">
        <v>443</v>
      </c>
      <c r="D1216" s="180" t="s">
        <v>51</v>
      </c>
      <c r="E1216" t="s">
        <v>2136</v>
      </c>
      <c r="F1216" t="s">
        <v>2137</v>
      </c>
      <c r="G1216" s="180">
        <v>2078</v>
      </c>
      <c r="H1216">
        <v>2010</v>
      </c>
      <c r="J1216" s="1334" t="s">
        <v>475</v>
      </c>
      <c r="K1216" s="1335" t="s">
        <v>475</v>
      </c>
      <c r="L1216" s="180">
        <v>0</v>
      </c>
      <c r="M1216" t="s">
        <v>4</v>
      </c>
      <c r="N1216" t="str">
        <f t="shared" si="74"/>
        <v>DB SWINE FINISHING BLDG 1 (3445)</v>
      </c>
      <c r="O1216" t="s">
        <v>52</v>
      </c>
      <c r="P1216" t="str">
        <f t="shared" si="75"/>
        <v>18000_3445</v>
      </c>
      <c r="Q1216" s="180">
        <v>100</v>
      </c>
    </row>
    <row r="1217" spans="1:17">
      <c r="A1217" t="str">
        <f t="shared" si="72"/>
        <v>UGA_3449</v>
      </c>
      <c r="B1217" t="str">
        <f t="shared" si="73"/>
        <v>UGA_DB SWINE CONTROL BLDG</v>
      </c>
      <c r="C1217" t="s">
        <v>443</v>
      </c>
      <c r="D1217" s="180" t="s">
        <v>51</v>
      </c>
      <c r="E1217" t="s">
        <v>2217</v>
      </c>
      <c r="F1217" t="s">
        <v>2218</v>
      </c>
      <c r="G1217" s="180">
        <v>480</v>
      </c>
      <c r="H1217">
        <v>2010</v>
      </c>
      <c r="J1217" s="1334" t="s">
        <v>475</v>
      </c>
      <c r="K1217" s="1335" t="s">
        <v>475</v>
      </c>
      <c r="L1217" s="180">
        <v>0</v>
      </c>
      <c r="M1217" t="s">
        <v>4</v>
      </c>
      <c r="N1217" t="str">
        <f t="shared" si="74"/>
        <v>DB SWINE CONTROL BLDG (3449)</v>
      </c>
      <c r="O1217" t="s">
        <v>52</v>
      </c>
      <c r="P1217" t="str">
        <f t="shared" si="75"/>
        <v>18000_3449</v>
      </c>
      <c r="Q1217" s="180">
        <v>100</v>
      </c>
    </row>
    <row r="1218" spans="1:17">
      <c r="A1218" t="str">
        <f t="shared" si="72"/>
        <v>UGA_3450</v>
      </c>
      <c r="B1218" t="str">
        <f t="shared" si="73"/>
        <v>UGA_DB FARM BRICK HOUS</v>
      </c>
      <c r="C1218" t="s">
        <v>443</v>
      </c>
      <c r="D1218" s="180" t="s">
        <v>51</v>
      </c>
      <c r="E1218" t="s">
        <v>3448</v>
      </c>
      <c r="F1218" t="s">
        <v>3449</v>
      </c>
      <c r="G1218" s="180">
        <v>3781</v>
      </c>
      <c r="H1218">
        <v>2004</v>
      </c>
      <c r="J1218" s="1334" t="s">
        <v>475</v>
      </c>
      <c r="K1218" s="1335" t="s">
        <v>475</v>
      </c>
      <c r="L1218" s="180">
        <v>0</v>
      </c>
      <c r="M1218" t="s">
        <v>4</v>
      </c>
      <c r="N1218" t="str">
        <f t="shared" si="74"/>
        <v>DB FARM BRICK HOUS (3450)</v>
      </c>
      <c r="O1218" t="s">
        <v>52</v>
      </c>
      <c r="P1218" t="str">
        <f t="shared" si="75"/>
        <v>18000_3450</v>
      </c>
      <c r="Q1218" s="180">
        <v>100</v>
      </c>
    </row>
    <row r="1219" spans="1:17">
      <c r="A1219" t="str">
        <f t="shared" ref="A1219:A1282" si="76">_xlfn.CONCAT(D1219,"_",E1219)</f>
        <v>UGA_3451</v>
      </c>
      <c r="B1219" t="str">
        <f t="shared" ref="B1219:B1282" si="77">_xlfn.CONCAT(D1219,"_",F1219)</f>
        <v>UGA_DB FARM CABIN</v>
      </c>
      <c r="C1219" t="s">
        <v>443</v>
      </c>
      <c r="D1219" s="180" t="s">
        <v>51</v>
      </c>
      <c r="E1219" t="s">
        <v>1849</v>
      </c>
      <c r="F1219" t="s">
        <v>1850</v>
      </c>
      <c r="G1219" s="180">
        <v>1062</v>
      </c>
      <c r="H1219">
        <v>2004</v>
      </c>
      <c r="J1219" s="1334" t="s">
        <v>475</v>
      </c>
      <c r="K1219" s="1335" t="s">
        <v>475</v>
      </c>
      <c r="L1219" s="180">
        <v>0</v>
      </c>
      <c r="M1219" t="s">
        <v>4</v>
      </c>
      <c r="N1219" t="str">
        <f t="shared" ref="N1219:N1282" si="78">_xlfn.CONCAT(F1219," (",E1219,")")</f>
        <v>DB FARM CABIN (3451)</v>
      </c>
      <c r="O1219" t="s">
        <v>52</v>
      </c>
      <c r="P1219" t="str">
        <f t="shared" ref="P1219:P1282" si="79">_xlfn.CONCAT(C1219,"_",E1219)</f>
        <v>18000_3451</v>
      </c>
      <c r="Q1219" s="180">
        <v>100</v>
      </c>
    </row>
    <row r="1220" spans="1:17">
      <c r="A1220" t="str">
        <f t="shared" si="76"/>
        <v>UGA_3455</v>
      </c>
      <c r="B1220" t="str">
        <f t="shared" si="77"/>
        <v>UGA_DB SWINE FARROWING NURS 1</v>
      </c>
      <c r="C1220" t="s">
        <v>443</v>
      </c>
      <c r="D1220" s="180" t="s">
        <v>51</v>
      </c>
      <c r="E1220" t="s">
        <v>4093</v>
      </c>
      <c r="F1220" t="s">
        <v>4094</v>
      </c>
      <c r="G1220" s="180">
        <v>931</v>
      </c>
      <c r="H1220">
        <v>2010</v>
      </c>
      <c r="J1220" s="1334" t="s">
        <v>475</v>
      </c>
      <c r="K1220" s="1335" t="s">
        <v>475</v>
      </c>
      <c r="L1220" s="180">
        <v>0</v>
      </c>
      <c r="M1220" t="s">
        <v>4</v>
      </c>
      <c r="N1220" t="str">
        <f t="shared" si="78"/>
        <v>DB SWINE FARROWING NURS 1 (3455)</v>
      </c>
      <c r="O1220" t="s">
        <v>52</v>
      </c>
      <c r="P1220" t="str">
        <f t="shared" si="79"/>
        <v>18000_3455</v>
      </c>
      <c r="Q1220" s="180">
        <v>100</v>
      </c>
    </row>
    <row r="1221" spans="1:17">
      <c r="A1221" t="str">
        <f t="shared" si="76"/>
        <v>UGA_3456</v>
      </c>
      <c r="B1221" t="str">
        <f t="shared" si="77"/>
        <v>UGA_DB SWINE FARROWING BLDG</v>
      </c>
      <c r="C1221" t="s">
        <v>443</v>
      </c>
      <c r="D1221" s="180" t="s">
        <v>51</v>
      </c>
      <c r="E1221" t="s">
        <v>4018</v>
      </c>
      <c r="F1221" t="s">
        <v>4019</v>
      </c>
      <c r="G1221" s="180">
        <v>1123</v>
      </c>
      <c r="H1221">
        <v>2010</v>
      </c>
      <c r="J1221" s="1334" t="s">
        <v>475</v>
      </c>
      <c r="K1221" s="1335" t="s">
        <v>475</v>
      </c>
      <c r="L1221" s="180">
        <v>0</v>
      </c>
      <c r="M1221" t="s">
        <v>4</v>
      </c>
      <c r="N1221" t="str">
        <f t="shared" si="78"/>
        <v>DB SWINE FARROWING BLDG (3456)</v>
      </c>
      <c r="O1221" t="s">
        <v>52</v>
      </c>
      <c r="P1221" t="str">
        <f t="shared" si="79"/>
        <v>18000_3456</v>
      </c>
      <c r="Q1221" s="180">
        <v>100</v>
      </c>
    </row>
    <row r="1222" spans="1:17">
      <c r="A1222" t="str">
        <f t="shared" si="76"/>
        <v>UGA_3457</v>
      </c>
      <c r="B1222" t="str">
        <f t="shared" si="77"/>
        <v>UGA_DB SWINE FEED STRG</v>
      </c>
      <c r="C1222" t="s">
        <v>443</v>
      </c>
      <c r="D1222" s="180" t="s">
        <v>51</v>
      </c>
      <c r="E1222" t="s">
        <v>2426</v>
      </c>
      <c r="F1222" t="s">
        <v>2427</v>
      </c>
      <c r="G1222" s="180">
        <v>1743</v>
      </c>
      <c r="H1222">
        <v>2010</v>
      </c>
      <c r="J1222" s="1334" t="s">
        <v>475</v>
      </c>
      <c r="K1222" s="1335" t="s">
        <v>475</v>
      </c>
      <c r="L1222" s="180">
        <v>0</v>
      </c>
      <c r="M1222" t="s">
        <v>4</v>
      </c>
      <c r="N1222" t="str">
        <f t="shared" si="78"/>
        <v>DB SWINE FEED STRG (3457)</v>
      </c>
      <c r="O1222" t="s">
        <v>52</v>
      </c>
      <c r="P1222" t="str">
        <f t="shared" si="79"/>
        <v>18000_3457</v>
      </c>
      <c r="Q1222" s="180">
        <v>100</v>
      </c>
    </row>
    <row r="1223" spans="1:17">
      <c r="A1223" t="str">
        <f t="shared" si="76"/>
        <v>UGA_3458</v>
      </c>
      <c r="B1223" t="str">
        <f t="shared" si="77"/>
        <v>UGA_DB SWINE COMPOST</v>
      </c>
      <c r="C1223" t="s">
        <v>443</v>
      </c>
      <c r="D1223" s="180" t="s">
        <v>51</v>
      </c>
      <c r="E1223" t="s">
        <v>2997</v>
      </c>
      <c r="F1223" t="s">
        <v>2998</v>
      </c>
      <c r="G1223" s="180">
        <v>2169</v>
      </c>
      <c r="H1223">
        <v>2010</v>
      </c>
      <c r="J1223" s="1334" t="s">
        <v>475</v>
      </c>
      <c r="K1223" s="1335" t="s">
        <v>475</v>
      </c>
      <c r="L1223" s="180">
        <v>0</v>
      </c>
      <c r="M1223" t="s">
        <v>4</v>
      </c>
      <c r="N1223" t="str">
        <f t="shared" si="78"/>
        <v>DB SWINE COMPOST (3458)</v>
      </c>
      <c r="O1223" t="s">
        <v>52</v>
      </c>
      <c r="P1223" t="str">
        <f t="shared" si="79"/>
        <v>18000_3458</v>
      </c>
      <c r="Q1223" s="180">
        <v>100</v>
      </c>
    </row>
    <row r="1224" spans="1:17">
      <c r="A1224" t="str">
        <f t="shared" si="76"/>
        <v>UGA_3465</v>
      </c>
      <c r="B1224" t="str">
        <f t="shared" si="77"/>
        <v>UGA_DB BEEF SUPPORT BLDG</v>
      </c>
      <c r="C1224" t="s">
        <v>443</v>
      </c>
      <c r="D1224" s="180" t="s">
        <v>51</v>
      </c>
      <c r="E1224" t="s">
        <v>2506</v>
      </c>
      <c r="F1224" t="s">
        <v>2507</v>
      </c>
      <c r="G1224" s="180">
        <v>3520</v>
      </c>
      <c r="H1224">
        <v>2010</v>
      </c>
      <c r="J1224" s="1334" t="s">
        <v>475</v>
      </c>
      <c r="K1224" s="1335" t="s">
        <v>475</v>
      </c>
      <c r="L1224" s="180">
        <v>0</v>
      </c>
      <c r="M1224" t="s">
        <v>7818</v>
      </c>
      <c r="N1224" t="str">
        <f t="shared" si="78"/>
        <v>DB BEEF SUPPORT BLDG (3465)</v>
      </c>
      <c r="O1224" t="s">
        <v>52</v>
      </c>
      <c r="P1224" t="str">
        <f t="shared" si="79"/>
        <v>18000_3465</v>
      </c>
      <c r="Q1224" s="180">
        <v>100</v>
      </c>
    </row>
    <row r="1225" spans="1:17">
      <c r="A1225" t="str">
        <f t="shared" si="76"/>
        <v>UGA_3466</v>
      </c>
      <c r="B1225" t="str">
        <f t="shared" si="77"/>
        <v>UGA_DB BEEF PAVILION</v>
      </c>
      <c r="C1225" t="s">
        <v>443</v>
      </c>
      <c r="D1225" s="180" t="s">
        <v>51</v>
      </c>
      <c r="E1225" t="s">
        <v>2772</v>
      </c>
      <c r="F1225" t="s">
        <v>2773</v>
      </c>
      <c r="G1225" s="180">
        <v>4528</v>
      </c>
      <c r="H1225">
        <v>2010</v>
      </c>
      <c r="J1225" s="1334" t="s">
        <v>475</v>
      </c>
      <c r="K1225" s="1335" t="s">
        <v>475</v>
      </c>
      <c r="L1225" s="180">
        <v>0</v>
      </c>
      <c r="M1225" t="s">
        <v>7818</v>
      </c>
      <c r="N1225" t="str">
        <f t="shared" si="78"/>
        <v>DB BEEF PAVILION (3466)</v>
      </c>
      <c r="O1225" t="s">
        <v>52</v>
      </c>
      <c r="P1225" t="str">
        <f t="shared" si="79"/>
        <v>18000_3466</v>
      </c>
      <c r="Q1225" s="180">
        <v>97</v>
      </c>
    </row>
    <row r="1226" spans="1:17">
      <c r="A1226" t="str">
        <f t="shared" si="76"/>
        <v>UGA_3467</v>
      </c>
      <c r="B1226" t="str">
        <f t="shared" si="77"/>
        <v>UGA_DB BEEF FEED LOT</v>
      </c>
      <c r="C1226" t="s">
        <v>443</v>
      </c>
      <c r="D1226" s="180" t="s">
        <v>51</v>
      </c>
      <c r="E1226" t="s">
        <v>1739</v>
      </c>
      <c r="F1226" t="s">
        <v>1740</v>
      </c>
      <c r="G1226" s="180">
        <v>13559</v>
      </c>
      <c r="H1226">
        <v>2010</v>
      </c>
      <c r="J1226" s="1334" t="s">
        <v>475</v>
      </c>
      <c r="K1226" s="1335" t="s">
        <v>475</v>
      </c>
      <c r="L1226" s="180">
        <v>0</v>
      </c>
      <c r="M1226" t="s">
        <v>7818</v>
      </c>
      <c r="N1226" t="str">
        <f t="shared" si="78"/>
        <v>DB BEEF FEED LOT (3467)</v>
      </c>
      <c r="O1226" t="s">
        <v>52</v>
      </c>
      <c r="P1226" t="str">
        <f t="shared" si="79"/>
        <v>18000_3467</v>
      </c>
      <c r="Q1226" s="180">
        <v>100</v>
      </c>
    </row>
    <row r="1227" spans="1:17">
      <c r="A1227" t="str">
        <f t="shared" si="76"/>
        <v>UGA_3468</v>
      </c>
      <c r="B1227" t="str">
        <f t="shared" si="77"/>
        <v>UGA_SWINE WALKWAY CANOPY</v>
      </c>
      <c r="C1227" t="s">
        <v>443</v>
      </c>
      <c r="D1227" s="180" t="s">
        <v>51</v>
      </c>
      <c r="E1227" t="s">
        <v>1827</v>
      </c>
      <c r="F1227" t="s">
        <v>1828</v>
      </c>
      <c r="G1227" s="180">
        <v>2160</v>
      </c>
      <c r="H1227">
        <v>2016</v>
      </c>
      <c r="J1227" s="1334" t="s">
        <v>475</v>
      </c>
      <c r="K1227" s="1335" t="s">
        <v>475</v>
      </c>
      <c r="L1227" s="180">
        <v>0</v>
      </c>
      <c r="M1227" t="s">
        <v>7818</v>
      </c>
      <c r="N1227" t="str">
        <f t="shared" si="78"/>
        <v>SWINE WALKWAY CANOPY (3468)</v>
      </c>
      <c r="O1227" t="s">
        <v>52</v>
      </c>
      <c r="P1227" t="str">
        <f t="shared" si="79"/>
        <v>18000_3468</v>
      </c>
      <c r="Q1227" s="180">
        <v>100</v>
      </c>
    </row>
    <row r="1228" spans="1:17">
      <c r="A1228" t="str">
        <f t="shared" si="76"/>
        <v>UGA_3470</v>
      </c>
      <c r="B1228" t="str">
        <f t="shared" si="77"/>
        <v>UGA_DB SHEEP FACILITY</v>
      </c>
      <c r="C1228" t="s">
        <v>443</v>
      </c>
      <c r="D1228" s="180" t="s">
        <v>51</v>
      </c>
      <c r="E1228" t="s">
        <v>4425</v>
      </c>
      <c r="F1228" t="s">
        <v>4426</v>
      </c>
      <c r="G1228" s="180">
        <v>4586</v>
      </c>
      <c r="H1228">
        <v>2010</v>
      </c>
      <c r="J1228" s="1334" t="s">
        <v>475</v>
      </c>
      <c r="K1228" s="1335" t="s">
        <v>475</v>
      </c>
      <c r="L1228" s="180">
        <v>0</v>
      </c>
      <c r="M1228" t="s">
        <v>7818</v>
      </c>
      <c r="N1228" t="str">
        <f t="shared" si="78"/>
        <v>DB SHEEP FACILITY (3470)</v>
      </c>
      <c r="O1228" t="s">
        <v>52</v>
      </c>
      <c r="P1228" t="str">
        <f t="shared" si="79"/>
        <v>18000_3470</v>
      </c>
      <c r="Q1228" s="180">
        <v>100</v>
      </c>
    </row>
    <row r="1229" spans="1:17">
      <c r="A1229" t="str">
        <f t="shared" si="76"/>
        <v>UGA_3475</v>
      </c>
      <c r="B1229" t="str">
        <f t="shared" si="77"/>
        <v>UGA_EQUESTRIAN BARN</v>
      </c>
      <c r="C1229" t="s">
        <v>443</v>
      </c>
      <c r="D1229" s="180" t="s">
        <v>51</v>
      </c>
      <c r="E1229" t="s">
        <v>2774</v>
      </c>
      <c r="F1229" t="s">
        <v>2775</v>
      </c>
      <c r="G1229" s="180">
        <v>10630</v>
      </c>
      <c r="H1229">
        <v>2009</v>
      </c>
      <c r="J1229" s="1334" t="s">
        <v>475</v>
      </c>
      <c r="K1229" s="1335" t="s">
        <v>475</v>
      </c>
      <c r="L1229" s="180">
        <v>0</v>
      </c>
      <c r="M1229" t="s">
        <v>4</v>
      </c>
      <c r="N1229" t="str">
        <f t="shared" si="78"/>
        <v>EQUESTRIAN BARN (3475)</v>
      </c>
      <c r="O1229" t="s">
        <v>52</v>
      </c>
      <c r="P1229" t="str">
        <f t="shared" si="79"/>
        <v>18000_3475</v>
      </c>
      <c r="Q1229" s="180">
        <v>100</v>
      </c>
    </row>
    <row r="1230" spans="1:17">
      <c r="A1230" t="str">
        <f t="shared" si="76"/>
        <v>UGA_3477</v>
      </c>
      <c r="B1230" t="str">
        <f t="shared" si="77"/>
        <v>UGA_EF ARENA</v>
      </c>
      <c r="C1230" t="s">
        <v>443</v>
      </c>
      <c r="D1230" s="180" t="s">
        <v>51</v>
      </c>
      <c r="E1230" t="s">
        <v>2369</v>
      </c>
      <c r="F1230" t="s">
        <v>2370</v>
      </c>
      <c r="G1230" s="180">
        <v>17162</v>
      </c>
      <c r="H1230">
        <v>2009</v>
      </c>
      <c r="J1230" s="1334" t="s">
        <v>475</v>
      </c>
      <c r="K1230" s="1335" t="s">
        <v>475</v>
      </c>
      <c r="L1230" s="180">
        <v>0</v>
      </c>
      <c r="M1230" t="s">
        <v>4</v>
      </c>
      <c r="N1230" t="str">
        <f t="shared" si="78"/>
        <v>EF ARENA (3477)</v>
      </c>
      <c r="O1230" t="s">
        <v>52</v>
      </c>
      <c r="P1230" t="str">
        <f t="shared" si="79"/>
        <v>18000_3477</v>
      </c>
      <c r="Q1230" s="180">
        <v>100</v>
      </c>
    </row>
    <row r="1231" spans="1:17">
      <c r="A1231" t="str">
        <f t="shared" si="76"/>
        <v>UGA_3478</v>
      </c>
      <c r="B1231" t="str">
        <f t="shared" si="77"/>
        <v>UGA_EF RED ROOF BARN</v>
      </c>
      <c r="C1231" t="s">
        <v>443</v>
      </c>
      <c r="D1231" s="180" t="s">
        <v>51</v>
      </c>
      <c r="E1231" t="s">
        <v>2638</v>
      </c>
      <c r="F1231" t="s">
        <v>2639</v>
      </c>
      <c r="G1231" s="180">
        <v>1118</v>
      </c>
      <c r="H1231">
        <v>2009</v>
      </c>
      <c r="J1231" s="1334" t="s">
        <v>475</v>
      </c>
      <c r="K1231" s="1335" t="s">
        <v>475</v>
      </c>
      <c r="L1231" s="180">
        <v>0</v>
      </c>
      <c r="M1231" t="s">
        <v>4</v>
      </c>
      <c r="N1231" t="str">
        <f t="shared" si="78"/>
        <v>EF RED ROOF BARN (3478)</v>
      </c>
      <c r="O1231" t="s">
        <v>52</v>
      </c>
      <c r="P1231" t="str">
        <f t="shared" si="79"/>
        <v>18000_3478</v>
      </c>
      <c r="Q1231" s="180">
        <v>100</v>
      </c>
    </row>
    <row r="1232" spans="1:17">
      <c r="A1232" t="str">
        <f t="shared" si="76"/>
        <v>UGA_3480</v>
      </c>
      <c r="B1232" t="str">
        <f t="shared" si="77"/>
        <v>UGA_EF STORAGE SHED</v>
      </c>
      <c r="C1232" t="s">
        <v>443</v>
      </c>
      <c r="D1232" s="180" t="s">
        <v>51</v>
      </c>
      <c r="E1232" t="s">
        <v>1651</v>
      </c>
      <c r="F1232" t="s">
        <v>1652</v>
      </c>
      <c r="G1232" s="180">
        <v>803</v>
      </c>
      <c r="H1232">
        <v>2009</v>
      </c>
      <c r="J1232" s="1334" t="s">
        <v>475</v>
      </c>
      <c r="K1232" s="1335" t="s">
        <v>475</v>
      </c>
      <c r="L1232" s="180">
        <v>0</v>
      </c>
      <c r="M1232" t="s">
        <v>4</v>
      </c>
      <c r="N1232" t="str">
        <f t="shared" si="78"/>
        <v>EF STORAGE SHED (3480)</v>
      </c>
      <c r="O1232" t="s">
        <v>52</v>
      </c>
      <c r="P1232" t="str">
        <f t="shared" si="79"/>
        <v>18000_3480</v>
      </c>
      <c r="Q1232" s="180">
        <v>100</v>
      </c>
    </row>
    <row r="1233" spans="1:17">
      <c r="A1233" t="str">
        <f t="shared" si="76"/>
        <v>UGA_3486</v>
      </c>
      <c r="B1233" t="str">
        <f t="shared" si="77"/>
        <v>UGA_EF SHED</v>
      </c>
      <c r="C1233" t="s">
        <v>443</v>
      </c>
      <c r="D1233" s="180" t="s">
        <v>51</v>
      </c>
      <c r="E1233" t="s">
        <v>3734</v>
      </c>
      <c r="F1233" t="s">
        <v>3735</v>
      </c>
      <c r="G1233" s="180">
        <v>904</v>
      </c>
      <c r="H1233">
        <v>2009</v>
      </c>
      <c r="J1233" s="1334" t="s">
        <v>475</v>
      </c>
      <c r="K1233" s="1335" t="s">
        <v>475</v>
      </c>
      <c r="L1233" s="180">
        <v>0</v>
      </c>
      <c r="M1233" t="s">
        <v>4</v>
      </c>
      <c r="N1233" t="str">
        <f t="shared" si="78"/>
        <v>EF SHED (3486)</v>
      </c>
      <c r="O1233" t="s">
        <v>52</v>
      </c>
      <c r="P1233" t="str">
        <f t="shared" si="79"/>
        <v>18000_3486</v>
      </c>
      <c r="Q1233" s="180">
        <v>100</v>
      </c>
    </row>
    <row r="1234" spans="1:17">
      <c r="A1234" t="str">
        <f t="shared" si="76"/>
        <v>UGA_3491</v>
      </c>
      <c r="B1234" t="str">
        <f t="shared" si="77"/>
        <v>UGA_EF HAY BARN</v>
      </c>
      <c r="C1234" t="s">
        <v>443</v>
      </c>
      <c r="D1234" s="180" t="s">
        <v>51</v>
      </c>
      <c r="E1234" t="s">
        <v>1960</v>
      </c>
      <c r="F1234" t="s">
        <v>1961</v>
      </c>
      <c r="G1234" s="180">
        <v>1841</v>
      </c>
      <c r="H1234">
        <v>2009</v>
      </c>
      <c r="J1234" s="1334" t="s">
        <v>475</v>
      </c>
      <c r="K1234" s="1335" t="s">
        <v>475</v>
      </c>
      <c r="L1234" s="180">
        <v>0</v>
      </c>
      <c r="M1234" t="s">
        <v>4</v>
      </c>
      <c r="N1234" t="str">
        <f t="shared" si="78"/>
        <v>EF HAY BARN (3491)</v>
      </c>
      <c r="O1234" t="s">
        <v>52</v>
      </c>
      <c r="P1234" t="str">
        <f t="shared" si="79"/>
        <v>18000_3491</v>
      </c>
      <c r="Q1234" s="180">
        <v>100</v>
      </c>
    </row>
    <row r="1235" spans="1:17">
      <c r="A1235" t="str">
        <f t="shared" si="76"/>
        <v>UGA_3492</v>
      </c>
      <c r="B1235" t="str">
        <f t="shared" si="77"/>
        <v>UGA_EQUESTR CLUBHOUSE</v>
      </c>
      <c r="C1235" t="s">
        <v>443</v>
      </c>
      <c r="D1235" s="180" t="s">
        <v>51</v>
      </c>
      <c r="E1235" t="s">
        <v>2999</v>
      </c>
      <c r="F1235" t="s">
        <v>3000</v>
      </c>
      <c r="G1235" s="180">
        <v>8258</v>
      </c>
      <c r="H1235">
        <v>2019</v>
      </c>
      <c r="J1235" s="1334" t="s">
        <v>475</v>
      </c>
      <c r="K1235" s="1335" t="s">
        <v>475</v>
      </c>
      <c r="L1235" s="180">
        <v>0</v>
      </c>
      <c r="M1235" t="s">
        <v>4</v>
      </c>
      <c r="N1235" t="str">
        <f t="shared" si="78"/>
        <v>EQUESTR CLUBHOUSE (3492)</v>
      </c>
      <c r="O1235" t="s">
        <v>52</v>
      </c>
      <c r="P1235" t="str">
        <f t="shared" si="79"/>
        <v>18000_3492</v>
      </c>
      <c r="Q1235" s="180">
        <v>0</v>
      </c>
    </row>
    <row r="1236" spans="1:17">
      <c r="A1236" t="str">
        <f t="shared" si="76"/>
        <v>UGA_3501</v>
      </c>
      <c r="B1236" t="str">
        <f t="shared" si="77"/>
        <v>UGA_ADMINISTRATION GMB</v>
      </c>
      <c r="C1236" t="s">
        <v>443</v>
      </c>
      <c r="D1236" s="180" t="s">
        <v>51</v>
      </c>
      <c r="E1236" t="s">
        <v>4095</v>
      </c>
      <c r="F1236" t="s">
        <v>4096</v>
      </c>
      <c r="G1236" s="180">
        <v>3393</v>
      </c>
      <c r="H1236">
        <v>1953</v>
      </c>
      <c r="J1236" s="1334" t="s">
        <v>475</v>
      </c>
      <c r="K1236" s="1335" t="s">
        <v>475</v>
      </c>
      <c r="L1236" s="180">
        <v>0</v>
      </c>
      <c r="M1236" t="s">
        <v>4</v>
      </c>
      <c r="N1236" t="str">
        <f t="shared" si="78"/>
        <v>ADMINISTRATION GMB (3501)</v>
      </c>
      <c r="O1236" t="s">
        <v>52</v>
      </c>
      <c r="P1236" t="str">
        <f t="shared" si="79"/>
        <v>18000_3501</v>
      </c>
      <c r="Q1236" s="180">
        <v>100</v>
      </c>
    </row>
    <row r="1237" spans="1:17">
      <c r="A1237" t="str">
        <f t="shared" si="76"/>
        <v>UGA_3506</v>
      </c>
      <c r="B1237" t="str">
        <f t="shared" si="77"/>
        <v>UGA_WORK CTR / STORAGE</v>
      </c>
      <c r="C1237" t="s">
        <v>443</v>
      </c>
      <c r="D1237" s="180" t="s">
        <v>51</v>
      </c>
      <c r="E1237" t="s">
        <v>4374</v>
      </c>
      <c r="F1237" t="s">
        <v>4375</v>
      </c>
      <c r="G1237" s="180">
        <v>1129</v>
      </c>
      <c r="H1237">
        <v>1937</v>
      </c>
      <c r="J1237" s="1334" t="s">
        <v>475</v>
      </c>
      <c r="K1237" s="1335" t="s">
        <v>475</v>
      </c>
      <c r="L1237" s="180">
        <v>0</v>
      </c>
      <c r="M1237" t="s">
        <v>4</v>
      </c>
      <c r="N1237" t="str">
        <f t="shared" si="78"/>
        <v>WORK CTR / STORAGE (3506)</v>
      </c>
      <c r="O1237" t="s">
        <v>52</v>
      </c>
      <c r="P1237" t="str">
        <f t="shared" si="79"/>
        <v>18000_3506</v>
      </c>
      <c r="Q1237" s="180">
        <v>100</v>
      </c>
    </row>
    <row r="1238" spans="1:17">
      <c r="A1238" t="str">
        <f t="shared" si="76"/>
        <v>UGA_3508</v>
      </c>
      <c r="B1238" t="str">
        <f t="shared" si="77"/>
        <v>UGA_JARRET HOUSE</v>
      </c>
      <c r="C1238" t="s">
        <v>443</v>
      </c>
      <c r="D1238" s="180" t="s">
        <v>51</v>
      </c>
      <c r="E1238" t="s">
        <v>3072</v>
      </c>
      <c r="F1238" t="s">
        <v>3073</v>
      </c>
      <c r="G1238" s="180">
        <v>2489</v>
      </c>
      <c r="H1238">
        <v>1900</v>
      </c>
      <c r="J1238" s="1334" t="s">
        <v>475</v>
      </c>
      <c r="K1238" s="1335" t="s">
        <v>481</v>
      </c>
      <c r="L1238" s="180">
        <v>0</v>
      </c>
      <c r="M1238" t="s">
        <v>4</v>
      </c>
      <c r="N1238" t="str">
        <f t="shared" si="78"/>
        <v>JARRET HOUSE (3508)</v>
      </c>
      <c r="O1238" t="s">
        <v>52</v>
      </c>
      <c r="P1238" t="str">
        <f t="shared" si="79"/>
        <v>18000_3508</v>
      </c>
      <c r="Q1238" s="180">
        <v>100</v>
      </c>
    </row>
    <row r="1239" spans="1:17">
      <c r="A1239" t="str">
        <f t="shared" si="76"/>
        <v>UGA_3511</v>
      </c>
      <c r="B1239" t="str">
        <f t="shared" si="77"/>
        <v>UGA_SEC DWELLING 2</v>
      </c>
      <c r="C1239" t="s">
        <v>443</v>
      </c>
      <c r="D1239" s="180" t="s">
        <v>51</v>
      </c>
      <c r="E1239" t="s">
        <v>4020</v>
      </c>
      <c r="F1239" t="s">
        <v>7141</v>
      </c>
      <c r="G1239" s="180">
        <v>983</v>
      </c>
      <c r="H1239">
        <v>1930</v>
      </c>
      <c r="J1239" s="1334" t="s">
        <v>475</v>
      </c>
      <c r="K1239" s="1335" t="s">
        <v>475</v>
      </c>
      <c r="L1239" s="180">
        <v>0</v>
      </c>
      <c r="M1239" t="s">
        <v>4</v>
      </c>
      <c r="N1239" t="str">
        <f t="shared" si="78"/>
        <v>SEC DWELLING 2 (3511)</v>
      </c>
      <c r="O1239" t="s">
        <v>52</v>
      </c>
      <c r="P1239" t="str">
        <f t="shared" si="79"/>
        <v>18000_3511</v>
      </c>
      <c r="Q1239" s="180">
        <v>66</v>
      </c>
    </row>
    <row r="1240" spans="1:17">
      <c r="A1240" t="str">
        <f t="shared" si="76"/>
        <v>UGA_3512</v>
      </c>
      <c r="B1240" t="str">
        <f t="shared" si="77"/>
        <v>UGA_OFFICE / LAB</v>
      </c>
      <c r="C1240" t="s">
        <v>443</v>
      </c>
      <c r="D1240" s="180" t="s">
        <v>51</v>
      </c>
      <c r="E1240" t="s">
        <v>3639</v>
      </c>
      <c r="F1240" t="s">
        <v>3640</v>
      </c>
      <c r="G1240" s="180">
        <v>1818</v>
      </c>
      <c r="H1240">
        <v>1937</v>
      </c>
      <c r="J1240" s="1334" t="s">
        <v>475</v>
      </c>
      <c r="K1240" s="1335" t="s">
        <v>1520</v>
      </c>
      <c r="L1240" s="180">
        <v>0</v>
      </c>
      <c r="M1240" t="s">
        <v>4</v>
      </c>
      <c r="N1240" t="str">
        <f t="shared" si="78"/>
        <v>OFFICE / LAB (3512)</v>
      </c>
      <c r="O1240" t="s">
        <v>52</v>
      </c>
      <c r="P1240" t="str">
        <f t="shared" si="79"/>
        <v>18000_3512</v>
      </c>
      <c r="Q1240" s="180">
        <v>100</v>
      </c>
    </row>
    <row r="1241" spans="1:17">
      <c r="A1241" t="str">
        <f t="shared" si="76"/>
        <v>UGA_3516</v>
      </c>
      <c r="B1241" t="str">
        <f t="shared" si="77"/>
        <v>UGA_FOOD PREP SHED</v>
      </c>
      <c r="C1241" t="s">
        <v>443</v>
      </c>
      <c r="D1241" s="180" t="s">
        <v>51</v>
      </c>
      <c r="E1241" t="s">
        <v>1904</v>
      </c>
      <c r="F1241" t="s">
        <v>1905</v>
      </c>
      <c r="G1241" s="180">
        <v>640</v>
      </c>
      <c r="H1241">
        <v>1940</v>
      </c>
      <c r="J1241" s="1334" t="s">
        <v>475</v>
      </c>
      <c r="K1241" s="1335" t="s">
        <v>475</v>
      </c>
      <c r="L1241" s="180">
        <v>0</v>
      </c>
      <c r="M1241" t="s">
        <v>4</v>
      </c>
      <c r="N1241" t="str">
        <f t="shared" si="78"/>
        <v>FOOD PREP SHED (3516)</v>
      </c>
      <c r="O1241" t="s">
        <v>52</v>
      </c>
      <c r="P1241" t="str">
        <f t="shared" si="79"/>
        <v>18000_3516</v>
      </c>
      <c r="Q1241" s="180">
        <v>100</v>
      </c>
    </row>
    <row r="1242" spans="1:17">
      <c r="A1242" t="str">
        <f t="shared" si="76"/>
        <v>UGA_3517</v>
      </c>
      <c r="B1242" t="str">
        <f t="shared" si="77"/>
        <v>UGA_TOOL STORAGE SHED</v>
      </c>
      <c r="C1242" t="s">
        <v>443</v>
      </c>
      <c r="D1242" s="180" t="s">
        <v>51</v>
      </c>
      <c r="E1242" t="s">
        <v>4021</v>
      </c>
      <c r="F1242" t="s">
        <v>4022</v>
      </c>
      <c r="G1242" s="180">
        <v>278</v>
      </c>
      <c r="H1242">
        <v>1937</v>
      </c>
      <c r="J1242" s="1334" t="s">
        <v>475</v>
      </c>
      <c r="K1242" s="1335" t="s">
        <v>481</v>
      </c>
      <c r="L1242" s="180">
        <v>0</v>
      </c>
      <c r="M1242" t="s">
        <v>4</v>
      </c>
      <c r="N1242" t="str">
        <f t="shared" si="78"/>
        <v>TOOL STORAGE SHED (3517)</v>
      </c>
      <c r="O1242" t="s">
        <v>52</v>
      </c>
      <c r="P1242" t="str">
        <f t="shared" si="79"/>
        <v>18000_3517</v>
      </c>
      <c r="Q1242" s="180">
        <v>0</v>
      </c>
    </row>
    <row r="1243" spans="1:17">
      <c r="A1243" t="str">
        <f t="shared" si="76"/>
        <v>UGA_3518</v>
      </c>
      <c r="B1243" t="str">
        <f t="shared" si="77"/>
        <v>UGA_UTILITY WAREHOUSE</v>
      </c>
      <c r="C1243" t="s">
        <v>443</v>
      </c>
      <c r="D1243" s="180" t="s">
        <v>51</v>
      </c>
      <c r="E1243" t="s">
        <v>2029</v>
      </c>
      <c r="F1243" t="s">
        <v>2030</v>
      </c>
      <c r="G1243" s="180">
        <v>4982</v>
      </c>
      <c r="H1243">
        <v>1959</v>
      </c>
      <c r="J1243" s="1334" t="s">
        <v>475</v>
      </c>
      <c r="K1243" s="1335" t="s">
        <v>486</v>
      </c>
      <c r="L1243" s="180">
        <v>0</v>
      </c>
      <c r="M1243" t="s">
        <v>4</v>
      </c>
      <c r="N1243" t="str">
        <f t="shared" si="78"/>
        <v>UTILITY WAREHOUSE (3518)</v>
      </c>
      <c r="O1243" t="s">
        <v>52</v>
      </c>
      <c r="P1243" t="str">
        <f t="shared" si="79"/>
        <v>18000_3518</v>
      </c>
      <c r="Q1243" s="180">
        <v>100</v>
      </c>
    </row>
    <row r="1244" spans="1:17">
      <c r="A1244" t="str">
        <f t="shared" si="76"/>
        <v>UGA_3519</v>
      </c>
      <c r="B1244" t="str">
        <f t="shared" si="77"/>
        <v>UGA_STORAGE SHED</v>
      </c>
      <c r="C1244" t="s">
        <v>443</v>
      </c>
      <c r="D1244" s="180" t="s">
        <v>51</v>
      </c>
      <c r="E1244" t="s">
        <v>2138</v>
      </c>
      <c r="F1244" t="s">
        <v>2139</v>
      </c>
      <c r="G1244" s="180">
        <v>480</v>
      </c>
      <c r="H1244">
        <v>1935</v>
      </c>
      <c r="J1244" s="1334" t="s">
        <v>475</v>
      </c>
      <c r="K1244" s="1335" t="s">
        <v>486</v>
      </c>
      <c r="L1244" s="180">
        <v>0</v>
      </c>
      <c r="M1244" t="s">
        <v>4</v>
      </c>
      <c r="N1244" t="str">
        <f t="shared" si="78"/>
        <v>STORAGE SHED (3519)</v>
      </c>
      <c r="O1244" t="s">
        <v>52</v>
      </c>
      <c r="P1244" t="str">
        <f t="shared" si="79"/>
        <v>18000_3519</v>
      </c>
      <c r="Q1244" s="180">
        <v>100</v>
      </c>
    </row>
    <row r="1245" spans="1:17">
      <c r="A1245" t="str">
        <f t="shared" si="76"/>
        <v>UGA_3520</v>
      </c>
      <c r="B1245" t="str">
        <f t="shared" si="77"/>
        <v>UGA_STORAGE BUILDING</v>
      </c>
      <c r="C1245" t="s">
        <v>443</v>
      </c>
      <c r="D1245" s="180" t="s">
        <v>51</v>
      </c>
      <c r="E1245" t="s">
        <v>2508</v>
      </c>
      <c r="F1245" t="s">
        <v>2509</v>
      </c>
      <c r="G1245" s="180">
        <v>300</v>
      </c>
      <c r="H1245">
        <v>1935</v>
      </c>
      <c r="J1245" s="1334" t="s">
        <v>475</v>
      </c>
      <c r="K1245" s="1335" t="s">
        <v>475</v>
      </c>
      <c r="L1245" s="180">
        <v>0</v>
      </c>
      <c r="M1245" t="s">
        <v>4</v>
      </c>
      <c r="N1245" t="str">
        <f t="shared" si="78"/>
        <v>STORAGE BUILDING (3520)</v>
      </c>
      <c r="O1245" t="s">
        <v>52</v>
      </c>
      <c r="P1245" t="str">
        <f t="shared" si="79"/>
        <v>18000_3520</v>
      </c>
      <c r="Q1245" s="180">
        <v>100</v>
      </c>
    </row>
    <row r="1246" spans="1:17">
      <c r="A1246" t="str">
        <f t="shared" si="76"/>
        <v>UGA_3521</v>
      </c>
      <c r="B1246" t="str">
        <f t="shared" si="77"/>
        <v>UGA_BARBECUE HOUSE</v>
      </c>
      <c r="C1246" t="s">
        <v>443</v>
      </c>
      <c r="D1246" s="180" t="s">
        <v>51</v>
      </c>
      <c r="E1246" t="s">
        <v>2542</v>
      </c>
      <c r="F1246" t="s">
        <v>2543</v>
      </c>
      <c r="G1246" s="180">
        <v>660</v>
      </c>
      <c r="H1246">
        <v>1940</v>
      </c>
      <c r="J1246" s="1334" t="s">
        <v>475</v>
      </c>
      <c r="K1246" s="1335" t="s">
        <v>486</v>
      </c>
      <c r="L1246" s="180">
        <v>0</v>
      </c>
      <c r="M1246" t="s">
        <v>4</v>
      </c>
      <c r="N1246" t="str">
        <f t="shared" si="78"/>
        <v>BARBECUE HOUSE (3521)</v>
      </c>
      <c r="O1246" t="s">
        <v>52</v>
      </c>
      <c r="P1246" t="str">
        <f t="shared" si="79"/>
        <v>18000_3521</v>
      </c>
      <c r="Q1246" s="180">
        <v>100</v>
      </c>
    </row>
    <row r="1247" spans="1:17">
      <c r="A1247" t="str">
        <f t="shared" si="76"/>
        <v>UGA_3522</v>
      </c>
      <c r="B1247" t="str">
        <f t="shared" si="77"/>
        <v>UGA_PESTICIDE STOR</v>
      </c>
      <c r="C1247" t="s">
        <v>443</v>
      </c>
      <c r="D1247" s="180" t="s">
        <v>51</v>
      </c>
      <c r="E1247" t="s">
        <v>3528</v>
      </c>
      <c r="F1247" t="s">
        <v>2889</v>
      </c>
      <c r="G1247" s="180">
        <v>1800</v>
      </c>
      <c r="H1247">
        <v>1976</v>
      </c>
      <c r="J1247" s="1334" t="s">
        <v>475</v>
      </c>
      <c r="K1247" s="1335" t="s">
        <v>486</v>
      </c>
      <c r="L1247" s="180">
        <v>0</v>
      </c>
      <c r="M1247" t="s">
        <v>4</v>
      </c>
      <c r="N1247" t="str">
        <f t="shared" si="78"/>
        <v>PESTICIDE STOR (3522)</v>
      </c>
      <c r="O1247" t="s">
        <v>52</v>
      </c>
      <c r="P1247" t="str">
        <f t="shared" si="79"/>
        <v>18000_3522</v>
      </c>
      <c r="Q1247" s="180">
        <v>100</v>
      </c>
    </row>
    <row r="1248" spans="1:17">
      <c r="A1248" t="str">
        <f t="shared" si="76"/>
        <v>UGA_3523</v>
      </c>
      <c r="B1248" t="str">
        <f t="shared" si="77"/>
        <v>UGA_PAVILION</v>
      </c>
      <c r="C1248" t="s">
        <v>443</v>
      </c>
      <c r="D1248" s="180" t="s">
        <v>51</v>
      </c>
      <c r="E1248" t="s">
        <v>4156</v>
      </c>
      <c r="F1248" t="s">
        <v>1511</v>
      </c>
      <c r="G1248" s="180">
        <v>2107</v>
      </c>
      <c r="H1248">
        <v>1964</v>
      </c>
      <c r="J1248" s="1334" t="s">
        <v>475</v>
      </c>
      <c r="K1248" s="1335" t="s">
        <v>475</v>
      </c>
      <c r="L1248" s="180">
        <v>0</v>
      </c>
      <c r="M1248" t="s">
        <v>4</v>
      </c>
      <c r="N1248" t="str">
        <f t="shared" si="78"/>
        <v>PAVILION (3523)</v>
      </c>
      <c r="O1248" t="s">
        <v>52</v>
      </c>
      <c r="P1248" t="str">
        <f t="shared" si="79"/>
        <v>18000_3523</v>
      </c>
      <c r="Q1248" s="180">
        <v>100</v>
      </c>
    </row>
    <row r="1249" spans="1:17">
      <c r="A1249" t="str">
        <f t="shared" si="76"/>
        <v>UGA_3524</v>
      </c>
      <c r="B1249" t="str">
        <f t="shared" si="77"/>
        <v>UGA_POLE BARN - CORRAL</v>
      </c>
      <c r="C1249" t="s">
        <v>443</v>
      </c>
      <c r="D1249" s="180" t="s">
        <v>51</v>
      </c>
      <c r="E1249" t="s">
        <v>2882</v>
      </c>
      <c r="F1249" t="s">
        <v>2883</v>
      </c>
      <c r="G1249" s="180">
        <v>2400</v>
      </c>
      <c r="H1249">
        <v>1980</v>
      </c>
      <c r="J1249" s="1334" t="s">
        <v>475</v>
      </c>
      <c r="K1249" s="1335" t="s">
        <v>475</v>
      </c>
      <c r="L1249" s="180">
        <v>0</v>
      </c>
      <c r="M1249" t="s">
        <v>4</v>
      </c>
      <c r="N1249" t="str">
        <f t="shared" si="78"/>
        <v>POLE BARN - CORRAL (3524)</v>
      </c>
      <c r="O1249" t="s">
        <v>52</v>
      </c>
      <c r="P1249" t="str">
        <f t="shared" si="79"/>
        <v>18000_3524</v>
      </c>
      <c r="Q1249" s="180">
        <v>100</v>
      </c>
    </row>
    <row r="1250" spans="1:17">
      <c r="A1250" t="str">
        <f t="shared" si="76"/>
        <v>UGA_3525</v>
      </c>
      <c r="B1250" t="str">
        <f t="shared" si="77"/>
        <v>UGA_EQUIP STRG BLDG</v>
      </c>
      <c r="C1250" t="s">
        <v>443</v>
      </c>
      <c r="D1250" s="180" t="s">
        <v>51</v>
      </c>
      <c r="E1250" t="s">
        <v>2776</v>
      </c>
      <c r="F1250" t="s">
        <v>2777</v>
      </c>
      <c r="G1250" s="180">
        <v>2448</v>
      </c>
      <c r="H1250">
        <v>1976</v>
      </c>
      <c r="J1250" s="1334" t="s">
        <v>475</v>
      </c>
      <c r="K1250" s="1335" t="s">
        <v>481</v>
      </c>
      <c r="L1250" s="180">
        <v>0</v>
      </c>
      <c r="M1250" t="s">
        <v>4</v>
      </c>
      <c r="N1250" t="str">
        <f t="shared" si="78"/>
        <v>EQUIP STRG BLDG (3525)</v>
      </c>
      <c r="O1250" t="s">
        <v>52</v>
      </c>
      <c r="P1250" t="str">
        <f t="shared" si="79"/>
        <v>18000_3525</v>
      </c>
      <c r="Q1250" s="180">
        <v>100</v>
      </c>
    </row>
    <row r="1251" spans="1:17">
      <c r="A1251" t="str">
        <f t="shared" si="76"/>
        <v>UGA_3527</v>
      </c>
      <c r="B1251" t="str">
        <f t="shared" si="77"/>
        <v>UGA_SEC DWELLING 1</v>
      </c>
      <c r="C1251" t="s">
        <v>443</v>
      </c>
      <c r="D1251" s="180" t="s">
        <v>51</v>
      </c>
      <c r="E1251" t="s">
        <v>4297</v>
      </c>
      <c r="F1251" t="s">
        <v>7142</v>
      </c>
      <c r="G1251" s="180">
        <v>1754</v>
      </c>
      <c r="H1251">
        <v>1981</v>
      </c>
      <c r="J1251" s="1334" t="s">
        <v>475</v>
      </c>
      <c r="K1251" s="1335" t="s">
        <v>475</v>
      </c>
      <c r="L1251" s="180">
        <v>0</v>
      </c>
      <c r="M1251" t="s">
        <v>4</v>
      </c>
      <c r="N1251" t="str">
        <f t="shared" si="78"/>
        <v>SEC DWELLING 1 (3527)</v>
      </c>
      <c r="O1251" t="s">
        <v>52</v>
      </c>
      <c r="P1251" t="str">
        <f t="shared" si="79"/>
        <v>18000_3527</v>
      </c>
      <c r="Q1251" s="180">
        <v>100</v>
      </c>
    </row>
    <row r="1252" spans="1:17">
      <c r="A1252" t="str">
        <f t="shared" si="76"/>
        <v>UGA_3528</v>
      </c>
      <c r="B1252" t="str">
        <f t="shared" si="77"/>
        <v>UGA_MAINTENANCE BLDG</v>
      </c>
      <c r="C1252" t="s">
        <v>443</v>
      </c>
      <c r="D1252" s="180" t="s">
        <v>51</v>
      </c>
      <c r="E1252" t="s">
        <v>3306</v>
      </c>
      <c r="F1252" t="s">
        <v>7143</v>
      </c>
      <c r="G1252" s="180">
        <v>4000</v>
      </c>
      <c r="H1252">
        <v>1983</v>
      </c>
      <c r="J1252" s="1334" t="s">
        <v>475</v>
      </c>
      <c r="K1252" s="1335" t="s">
        <v>475</v>
      </c>
      <c r="L1252" s="180">
        <v>0</v>
      </c>
      <c r="M1252" t="s">
        <v>4</v>
      </c>
      <c r="N1252" t="str">
        <f t="shared" si="78"/>
        <v>MAINTENANCE BLDG (3528)</v>
      </c>
      <c r="O1252" t="s">
        <v>52</v>
      </c>
      <c r="P1252" t="str">
        <f t="shared" si="79"/>
        <v>18000_3528</v>
      </c>
      <c r="Q1252" s="180">
        <v>100</v>
      </c>
    </row>
    <row r="1253" spans="1:17">
      <c r="A1253" t="str">
        <f t="shared" si="76"/>
        <v>UGA_3529</v>
      </c>
      <c r="B1253" t="str">
        <f t="shared" si="77"/>
        <v>UGA_FEED BARN</v>
      </c>
      <c r="C1253" t="s">
        <v>443</v>
      </c>
      <c r="D1253" s="180" t="s">
        <v>51</v>
      </c>
      <c r="E1253" t="s">
        <v>2461</v>
      </c>
      <c r="F1253" t="s">
        <v>2462</v>
      </c>
      <c r="G1253" s="180">
        <v>3744</v>
      </c>
      <c r="H1253">
        <v>1952</v>
      </c>
      <c r="J1253" s="1334" t="s">
        <v>475</v>
      </c>
      <c r="K1253" s="1335" t="s">
        <v>486</v>
      </c>
      <c r="L1253" s="180">
        <v>0</v>
      </c>
      <c r="M1253" t="s">
        <v>4</v>
      </c>
      <c r="N1253" t="str">
        <f t="shared" si="78"/>
        <v>FEED BARN (3529)</v>
      </c>
      <c r="O1253" t="s">
        <v>52</v>
      </c>
      <c r="P1253" t="str">
        <f t="shared" si="79"/>
        <v>18000_3529</v>
      </c>
      <c r="Q1253" s="180">
        <v>100</v>
      </c>
    </row>
    <row r="1254" spans="1:17">
      <c r="A1254" t="str">
        <f t="shared" si="76"/>
        <v>UGA_3532</v>
      </c>
      <c r="B1254" t="str">
        <f t="shared" si="77"/>
        <v>UGA_METAL MACH STOR</v>
      </c>
      <c r="C1254" t="s">
        <v>443</v>
      </c>
      <c r="D1254" s="180" t="s">
        <v>51</v>
      </c>
      <c r="E1254" t="s">
        <v>3074</v>
      </c>
      <c r="F1254" t="s">
        <v>3075</v>
      </c>
      <c r="G1254" s="180">
        <v>1200</v>
      </c>
      <c r="H1254">
        <v>1980</v>
      </c>
      <c r="J1254" s="1334" t="s">
        <v>475</v>
      </c>
      <c r="K1254" s="1335" t="s">
        <v>475</v>
      </c>
      <c r="L1254" s="180">
        <v>0</v>
      </c>
      <c r="M1254" t="s">
        <v>4</v>
      </c>
      <c r="N1254" t="str">
        <f t="shared" si="78"/>
        <v>METAL MACH STOR (3532)</v>
      </c>
      <c r="O1254" t="s">
        <v>52</v>
      </c>
      <c r="P1254" t="str">
        <f t="shared" si="79"/>
        <v>18000_3532</v>
      </c>
      <c r="Q1254" s="180">
        <v>100</v>
      </c>
    </row>
    <row r="1255" spans="1:17">
      <c r="A1255" t="str">
        <f t="shared" si="76"/>
        <v>UGA_3534</v>
      </c>
      <c r="B1255" t="str">
        <f t="shared" si="77"/>
        <v>UGA_PAVILION RESTROOMS</v>
      </c>
      <c r="C1255" t="s">
        <v>443</v>
      </c>
      <c r="D1255" s="180" t="s">
        <v>51</v>
      </c>
      <c r="E1255" t="s">
        <v>1668</v>
      </c>
      <c r="F1255" t="s">
        <v>7144</v>
      </c>
      <c r="G1255" s="180">
        <v>180</v>
      </c>
      <c r="H1255">
        <v>1989</v>
      </c>
      <c r="J1255" s="1334" t="s">
        <v>475</v>
      </c>
      <c r="K1255" s="1335" t="s">
        <v>475</v>
      </c>
      <c r="L1255" s="180">
        <v>0</v>
      </c>
      <c r="M1255" t="s">
        <v>4</v>
      </c>
      <c r="N1255" t="str">
        <f t="shared" si="78"/>
        <v>PAVILION RESTROOMS (3534)</v>
      </c>
      <c r="O1255" t="s">
        <v>52</v>
      </c>
      <c r="P1255" t="str">
        <f t="shared" si="79"/>
        <v>18000_3534</v>
      </c>
      <c r="Q1255" s="180">
        <v>100</v>
      </c>
    </row>
    <row r="1256" spans="1:17">
      <c r="A1256" t="str">
        <f t="shared" si="76"/>
        <v>UGA_3535</v>
      </c>
      <c r="B1256" t="str">
        <f t="shared" si="77"/>
        <v>UGA_GA MTN EQUIP STORG</v>
      </c>
      <c r="C1256" t="s">
        <v>443</v>
      </c>
      <c r="D1256" s="180" t="s">
        <v>51</v>
      </c>
      <c r="E1256" t="s">
        <v>3926</v>
      </c>
      <c r="F1256" t="s">
        <v>3927</v>
      </c>
      <c r="G1256" s="180">
        <v>2240</v>
      </c>
      <c r="H1256">
        <v>1996</v>
      </c>
      <c r="J1256" s="1334" t="s">
        <v>475</v>
      </c>
      <c r="K1256" s="1335" t="s">
        <v>475</v>
      </c>
      <c r="L1256" s="180">
        <v>0</v>
      </c>
      <c r="M1256" t="s">
        <v>4</v>
      </c>
      <c r="N1256" t="str">
        <f t="shared" si="78"/>
        <v>GA MTN EQUIP STORG (3535)</v>
      </c>
      <c r="O1256" t="s">
        <v>52</v>
      </c>
      <c r="P1256" t="str">
        <f t="shared" si="79"/>
        <v>18000_3535</v>
      </c>
      <c r="Q1256" s="180">
        <v>100</v>
      </c>
    </row>
    <row r="1257" spans="1:17">
      <c r="A1257" t="str">
        <f t="shared" si="76"/>
        <v>UGA_3602</v>
      </c>
      <c r="B1257" t="str">
        <f t="shared" si="77"/>
        <v>UGA_ASST SUPT HOME</v>
      </c>
      <c r="C1257" t="s">
        <v>443</v>
      </c>
      <c r="D1257" s="180" t="s">
        <v>51</v>
      </c>
      <c r="E1257" t="s">
        <v>2140</v>
      </c>
      <c r="F1257" t="s">
        <v>2141</v>
      </c>
      <c r="G1257" s="180">
        <v>1808</v>
      </c>
      <c r="H1257">
        <v>1964</v>
      </c>
      <c r="J1257" s="1334" t="s">
        <v>475</v>
      </c>
      <c r="K1257" s="1335" t="s">
        <v>475</v>
      </c>
      <c r="L1257" s="180">
        <v>0</v>
      </c>
      <c r="M1257" t="s">
        <v>4</v>
      </c>
      <c r="N1257" t="str">
        <f t="shared" si="78"/>
        <v>ASST SUPT HOME (3602)</v>
      </c>
      <c r="O1257" t="s">
        <v>52</v>
      </c>
      <c r="P1257" t="str">
        <f t="shared" si="79"/>
        <v>18000_3602</v>
      </c>
      <c r="Q1257" s="180">
        <v>99</v>
      </c>
    </row>
    <row r="1258" spans="1:17">
      <c r="A1258" t="str">
        <f t="shared" si="76"/>
        <v>UGA_3604</v>
      </c>
      <c r="B1258" t="str">
        <f t="shared" si="77"/>
        <v>UGA_AN SCIENTIST HOME</v>
      </c>
      <c r="C1258" t="s">
        <v>443</v>
      </c>
      <c r="D1258" s="180" t="s">
        <v>51</v>
      </c>
      <c r="E1258" t="s">
        <v>1653</v>
      </c>
      <c r="F1258" t="s">
        <v>1654</v>
      </c>
      <c r="G1258" s="180">
        <v>2632</v>
      </c>
      <c r="H1258">
        <v>1962</v>
      </c>
      <c r="J1258" s="1334" t="s">
        <v>475</v>
      </c>
      <c r="K1258" s="1335" t="s">
        <v>475</v>
      </c>
      <c r="L1258" s="180">
        <v>0</v>
      </c>
      <c r="M1258" t="s">
        <v>4</v>
      </c>
      <c r="N1258" t="str">
        <f t="shared" si="78"/>
        <v>AN SCIENTIST HOME (3604)</v>
      </c>
      <c r="O1258" t="s">
        <v>52</v>
      </c>
      <c r="P1258" t="str">
        <f t="shared" si="79"/>
        <v>18000_3604</v>
      </c>
      <c r="Q1258" s="180">
        <v>100</v>
      </c>
    </row>
    <row r="1259" spans="1:17">
      <c r="A1259" t="str">
        <f t="shared" si="76"/>
        <v>UGA_3634</v>
      </c>
      <c r="B1259" t="str">
        <f t="shared" si="77"/>
        <v>UGA_MACHINERY SHOP</v>
      </c>
      <c r="C1259" t="s">
        <v>443</v>
      </c>
      <c r="D1259" s="180" t="s">
        <v>51</v>
      </c>
      <c r="E1259" t="s">
        <v>2545</v>
      </c>
      <c r="F1259" t="s">
        <v>2546</v>
      </c>
      <c r="G1259" s="180">
        <v>7344</v>
      </c>
      <c r="H1259">
        <v>1968</v>
      </c>
      <c r="J1259" s="1334" t="s">
        <v>475</v>
      </c>
      <c r="K1259" s="1335" t="s">
        <v>475</v>
      </c>
      <c r="L1259" s="180">
        <v>0</v>
      </c>
      <c r="M1259" t="s">
        <v>4</v>
      </c>
      <c r="N1259" t="str">
        <f t="shared" si="78"/>
        <v>MACHINERY SHOP (3634)</v>
      </c>
      <c r="O1259" t="s">
        <v>52</v>
      </c>
      <c r="P1259" t="str">
        <f t="shared" si="79"/>
        <v>18000_3634</v>
      </c>
      <c r="Q1259" s="180">
        <v>100</v>
      </c>
    </row>
    <row r="1260" spans="1:17">
      <c r="A1260" t="str">
        <f t="shared" si="76"/>
        <v>UGA_3640</v>
      </c>
      <c r="B1260" t="str">
        <f t="shared" si="77"/>
        <v>UGA_LOAFING BARN 1</v>
      </c>
      <c r="C1260" t="s">
        <v>443</v>
      </c>
      <c r="D1260" s="180" t="s">
        <v>51</v>
      </c>
      <c r="E1260" t="s">
        <v>2257</v>
      </c>
      <c r="F1260" t="s">
        <v>2258</v>
      </c>
      <c r="G1260" s="180">
        <v>19379</v>
      </c>
      <c r="H1260">
        <v>1959</v>
      </c>
      <c r="J1260" s="1334" t="s">
        <v>475</v>
      </c>
      <c r="K1260" s="1335" t="s">
        <v>475</v>
      </c>
      <c r="L1260" s="180">
        <v>0</v>
      </c>
      <c r="M1260" t="s">
        <v>4</v>
      </c>
      <c r="N1260" t="str">
        <f t="shared" si="78"/>
        <v>LOAFING BARN 1 (3640)</v>
      </c>
      <c r="O1260" t="s">
        <v>52</v>
      </c>
      <c r="P1260" t="str">
        <f t="shared" si="79"/>
        <v>18000_3640</v>
      </c>
      <c r="Q1260" s="180">
        <v>78</v>
      </c>
    </row>
    <row r="1261" spans="1:17">
      <c r="A1261" t="str">
        <f t="shared" si="76"/>
        <v>UGA_3641</v>
      </c>
      <c r="B1261" t="str">
        <f t="shared" si="77"/>
        <v>UGA_STORAGE</v>
      </c>
      <c r="C1261" t="s">
        <v>443</v>
      </c>
      <c r="D1261" s="180" t="s">
        <v>51</v>
      </c>
      <c r="E1261" t="s">
        <v>4097</v>
      </c>
      <c r="F1261" t="s">
        <v>4098</v>
      </c>
      <c r="G1261" s="180">
        <v>4595</v>
      </c>
      <c r="H1261">
        <v>1945</v>
      </c>
      <c r="J1261" s="1334" t="s">
        <v>475</v>
      </c>
      <c r="K1261" s="1335" t="s">
        <v>475</v>
      </c>
      <c r="L1261" s="180">
        <v>0</v>
      </c>
      <c r="M1261" t="s">
        <v>4</v>
      </c>
      <c r="N1261" t="str">
        <f t="shared" si="78"/>
        <v>STORAGE (3641)</v>
      </c>
      <c r="O1261" t="s">
        <v>52</v>
      </c>
      <c r="P1261" t="str">
        <f t="shared" si="79"/>
        <v>18000_3641</v>
      </c>
      <c r="Q1261" s="180">
        <v>100</v>
      </c>
    </row>
    <row r="1262" spans="1:17">
      <c r="A1262" t="str">
        <f t="shared" si="76"/>
        <v>UGA_3653</v>
      </c>
      <c r="B1262" t="str">
        <f t="shared" si="77"/>
        <v>UGA_SCALE BLDG LIVESTO</v>
      </c>
      <c r="C1262" t="s">
        <v>443</v>
      </c>
      <c r="D1262" s="180" t="s">
        <v>51</v>
      </c>
      <c r="E1262" t="s">
        <v>1851</v>
      </c>
      <c r="F1262" t="s">
        <v>1852</v>
      </c>
      <c r="G1262" s="180">
        <v>5000</v>
      </c>
      <c r="H1262">
        <v>1973</v>
      </c>
      <c r="J1262" s="1334" t="s">
        <v>475</v>
      </c>
      <c r="K1262" s="1335" t="s">
        <v>475</v>
      </c>
      <c r="L1262" s="180">
        <v>0</v>
      </c>
      <c r="M1262" t="s">
        <v>4</v>
      </c>
      <c r="N1262" t="str">
        <f t="shared" si="78"/>
        <v>SCALE BLDG LIVESTO (3653)</v>
      </c>
      <c r="O1262" t="s">
        <v>52</v>
      </c>
      <c r="P1262" t="str">
        <f t="shared" si="79"/>
        <v>18000_3653</v>
      </c>
      <c r="Q1262" s="180">
        <v>100</v>
      </c>
    </row>
    <row r="1263" spans="1:17">
      <c r="A1263" t="str">
        <f t="shared" si="76"/>
        <v>UGA_3654</v>
      </c>
      <c r="B1263" t="str">
        <f t="shared" si="77"/>
        <v>UGA_LIVESTOCK PAVILION</v>
      </c>
      <c r="C1263" t="s">
        <v>443</v>
      </c>
      <c r="D1263" s="180" t="s">
        <v>51</v>
      </c>
      <c r="E1263" t="s">
        <v>3276</v>
      </c>
      <c r="F1263" t="s">
        <v>3277</v>
      </c>
      <c r="G1263" s="180">
        <v>17760</v>
      </c>
      <c r="H1263">
        <v>1975</v>
      </c>
      <c r="J1263" s="1334" t="s">
        <v>475</v>
      </c>
      <c r="K1263" s="1335" t="s">
        <v>475</v>
      </c>
      <c r="L1263" s="180">
        <v>0</v>
      </c>
      <c r="M1263" t="s">
        <v>4</v>
      </c>
      <c r="N1263" t="str">
        <f t="shared" si="78"/>
        <v>LIVESTOCK PAVILION (3654)</v>
      </c>
      <c r="O1263" t="s">
        <v>52</v>
      </c>
      <c r="P1263" t="str">
        <f t="shared" si="79"/>
        <v>18000_3654</v>
      </c>
      <c r="Q1263" s="180">
        <v>97</v>
      </c>
    </row>
    <row r="1264" spans="1:17">
      <c r="A1264" t="str">
        <f t="shared" si="76"/>
        <v>UGA_3655</v>
      </c>
      <c r="B1264" t="str">
        <f t="shared" si="77"/>
        <v>UGA_FEED MILL FACILITY</v>
      </c>
      <c r="C1264" t="s">
        <v>443</v>
      </c>
      <c r="D1264" s="180" t="s">
        <v>51</v>
      </c>
      <c r="E1264" t="s">
        <v>3216</v>
      </c>
      <c r="F1264" t="s">
        <v>3217</v>
      </c>
      <c r="G1264" s="180">
        <v>4538</v>
      </c>
      <c r="H1264">
        <v>1976</v>
      </c>
      <c r="J1264" s="1334" t="s">
        <v>475</v>
      </c>
      <c r="K1264" s="1335" t="s">
        <v>475</v>
      </c>
      <c r="L1264" s="180">
        <v>0</v>
      </c>
      <c r="M1264" t="s">
        <v>4</v>
      </c>
      <c r="N1264" t="str">
        <f t="shared" si="78"/>
        <v>FEED MILL FACILITY (3655)</v>
      </c>
      <c r="O1264" t="s">
        <v>52</v>
      </c>
      <c r="P1264" t="str">
        <f t="shared" si="79"/>
        <v>18000_3655</v>
      </c>
      <c r="Q1264" s="180">
        <v>100</v>
      </c>
    </row>
    <row r="1265" spans="1:17">
      <c r="A1265" t="str">
        <f t="shared" si="76"/>
        <v>UGA_3657</v>
      </c>
      <c r="B1265" t="str">
        <f t="shared" si="77"/>
        <v>UGA_FIELD OFFICE 2</v>
      </c>
      <c r="C1265" t="s">
        <v>443</v>
      </c>
      <c r="D1265" s="180" t="s">
        <v>51</v>
      </c>
      <c r="E1265" t="s">
        <v>1454</v>
      </c>
      <c r="F1265" t="s">
        <v>1455</v>
      </c>
      <c r="G1265" s="180">
        <v>504</v>
      </c>
      <c r="H1265">
        <v>1955</v>
      </c>
      <c r="J1265" s="1334" t="s">
        <v>475</v>
      </c>
      <c r="K1265" s="1335" t="s">
        <v>475</v>
      </c>
      <c r="L1265" s="180">
        <v>0</v>
      </c>
      <c r="M1265" t="s">
        <v>4</v>
      </c>
      <c r="N1265" t="str">
        <f t="shared" si="78"/>
        <v>FIELD OFFICE 2 (3657)</v>
      </c>
      <c r="O1265" t="s">
        <v>52</v>
      </c>
      <c r="P1265" t="str">
        <f t="shared" si="79"/>
        <v>18000_3657</v>
      </c>
      <c r="Q1265" s="180">
        <v>100</v>
      </c>
    </row>
    <row r="1266" spans="1:17">
      <c r="A1266" t="str">
        <f t="shared" si="76"/>
        <v>UGA_3658</v>
      </c>
      <c r="B1266" t="str">
        <f t="shared" si="77"/>
        <v>UGA_MACHINE SHOP</v>
      </c>
      <c r="C1266" t="s">
        <v>443</v>
      </c>
      <c r="D1266" s="180" t="s">
        <v>51</v>
      </c>
      <c r="E1266" t="s">
        <v>3450</v>
      </c>
      <c r="F1266" t="s">
        <v>3451</v>
      </c>
      <c r="G1266" s="180">
        <v>5904</v>
      </c>
      <c r="H1266">
        <v>1986</v>
      </c>
      <c r="J1266" s="1334" t="s">
        <v>475</v>
      </c>
      <c r="K1266" s="1335" t="s">
        <v>475</v>
      </c>
      <c r="L1266" s="180">
        <v>0</v>
      </c>
      <c r="M1266" t="s">
        <v>4</v>
      </c>
      <c r="N1266" t="str">
        <f t="shared" si="78"/>
        <v>MACHINE SHOP (3658)</v>
      </c>
      <c r="O1266" t="s">
        <v>52</v>
      </c>
      <c r="P1266" t="str">
        <f t="shared" si="79"/>
        <v>18000_3658</v>
      </c>
      <c r="Q1266" s="180">
        <v>100</v>
      </c>
    </row>
    <row r="1267" spans="1:17">
      <c r="A1267" t="str">
        <f t="shared" si="76"/>
        <v>UGA_3663</v>
      </c>
      <c r="B1267" t="str">
        <f t="shared" si="77"/>
        <v>UGA_HAY BARN 3</v>
      </c>
      <c r="C1267" t="s">
        <v>443</v>
      </c>
      <c r="D1267" s="180" t="s">
        <v>51</v>
      </c>
      <c r="E1267" t="s">
        <v>1829</v>
      </c>
      <c r="F1267" t="s">
        <v>1830</v>
      </c>
      <c r="G1267" s="180">
        <v>3200</v>
      </c>
      <c r="H1267">
        <v>1987</v>
      </c>
      <c r="J1267" s="1334" t="s">
        <v>475</v>
      </c>
      <c r="K1267" s="1335" t="s">
        <v>475</v>
      </c>
      <c r="L1267" s="180">
        <v>0</v>
      </c>
      <c r="M1267" t="s">
        <v>4</v>
      </c>
      <c r="N1267" t="str">
        <f t="shared" si="78"/>
        <v>HAY BARN 3 (3663)</v>
      </c>
      <c r="O1267" t="s">
        <v>52</v>
      </c>
      <c r="P1267" t="str">
        <f t="shared" si="79"/>
        <v>18000_3663</v>
      </c>
      <c r="Q1267" s="180">
        <v>0</v>
      </c>
    </row>
    <row r="1268" spans="1:17">
      <c r="A1268" t="str">
        <f t="shared" si="76"/>
        <v>UGA_3675</v>
      </c>
      <c r="B1268" t="str">
        <f t="shared" si="77"/>
        <v>UGA_METAL HAY BARN</v>
      </c>
      <c r="C1268" t="s">
        <v>443</v>
      </c>
      <c r="D1268" s="180" t="s">
        <v>51</v>
      </c>
      <c r="E1268" t="s">
        <v>1741</v>
      </c>
      <c r="F1268" t="s">
        <v>1742</v>
      </c>
      <c r="G1268" s="180">
        <v>5000</v>
      </c>
      <c r="H1268">
        <v>2002</v>
      </c>
      <c r="J1268" s="1334" t="s">
        <v>475</v>
      </c>
      <c r="K1268" s="1335" t="s">
        <v>475</v>
      </c>
      <c r="L1268" s="180">
        <v>0</v>
      </c>
      <c r="M1268" t="s">
        <v>4</v>
      </c>
      <c r="N1268" t="str">
        <f t="shared" si="78"/>
        <v>METAL HAY BARN (3675)</v>
      </c>
      <c r="O1268" t="s">
        <v>52</v>
      </c>
      <c r="P1268" t="str">
        <f t="shared" si="79"/>
        <v>18000_3675</v>
      </c>
      <c r="Q1268" s="180">
        <v>0</v>
      </c>
    </row>
    <row r="1269" spans="1:17">
      <c r="A1269" t="str">
        <f t="shared" si="76"/>
        <v>UGA_3677</v>
      </c>
      <c r="B1269" t="str">
        <f t="shared" si="77"/>
        <v>UGA_EQUIPMENT STRG SHELTER</v>
      </c>
      <c r="C1269" t="s">
        <v>443</v>
      </c>
      <c r="D1269" s="180" t="s">
        <v>51</v>
      </c>
      <c r="E1269" t="s">
        <v>3928</v>
      </c>
      <c r="F1269" t="s">
        <v>3929</v>
      </c>
      <c r="G1269" s="180">
        <v>5000</v>
      </c>
      <c r="H1269">
        <v>2011</v>
      </c>
      <c r="J1269" s="1334" t="s">
        <v>475</v>
      </c>
      <c r="K1269" s="1335" t="s">
        <v>475</v>
      </c>
      <c r="L1269" s="180">
        <v>0</v>
      </c>
      <c r="M1269" t="s">
        <v>4</v>
      </c>
      <c r="N1269" t="str">
        <f t="shared" si="78"/>
        <v>EQUIPMENT STRG SHELTER (3677)</v>
      </c>
      <c r="O1269" t="s">
        <v>52</v>
      </c>
      <c r="P1269" t="str">
        <f t="shared" si="79"/>
        <v>18000_3677</v>
      </c>
      <c r="Q1269" s="180">
        <v>100</v>
      </c>
    </row>
    <row r="1270" spans="1:17">
      <c r="A1270" t="str">
        <f t="shared" si="76"/>
        <v>UGA_3678</v>
      </c>
      <c r="B1270" t="str">
        <f t="shared" si="77"/>
        <v>UGA_HORSE BARN</v>
      </c>
      <c r="C1270" t="s">
        <v>443</v>
      </c>
      <c r="D1270" s="180" t="s">
        <v>51</v>
      </c>
      <c r="E1270" t="s">
        <v>1669</v>
      </c>
      <c r="F1270" t="s">
        <v>1670</v>
      </c>
      <c r="G1270" s="180">
        <v>3551</v>
      </c>
      <c r="H1270">
        <v>1965</v>
      </c>
      <c r="J1270" s="1334" t="s">
        <v>475</v>
      </c>
      <c r="K1270" s="1335" t="s">
        <v>475</v>
      </c>
      <c r="L1270" s="180">
        <v>0</v>
      </c>
      <c r="M1270" t="s">
        <v>4</v>
      </c>
      <c r="N1270" t="str">
        <f t="shared" si="78"/>
        <v>HORSE BARN (3678)</v>
      </c>
      <c r="O1270" t="s">
        <v>52</v>
      </c>
      <c r="P1270" t="str">
        <f t="shared" si="79"/>
        <v>18000_3678</v>
      </c>
      <c r="Q1270" s="180">
        <v>100</v>
      </c>
    </row>
    <row r="1271" spans="1:17">
      <c r="A1271" t="str">
        <f t="shared" si="76"/>
        <v>UGA_3690</v>
      </c>
      <c r="B1271" t="str">
        <f t="shared" si="77"/>
        <v>UGA_ANI SCI HAY BARN 4</v>
      </c>
      <c r="C1271" t="s">
        <v>443</v>
      </c>
      <c r="D1271" s="180" t="s">
        <v>51</v>
      </c>
      <c r="E1271" t="s">
        <v>4376</v>
      </c>
      <c r="F1271" t="s">
        <v>4377</v>
      </c>
      <c r="G1271" s="180">
        <v>5000</v>
      </c>
      <c r="H1271">
        <v>2000</v>
      </c>
      <c r="J1271" s="1334" t="s">
        <v>475</v>
      </c>
      <c r="K1271" s="1335" t="s">
        <v>475</v>
      </c>
      <c r="L1271" s="180">
        <v>0</v>
      </c>
      <c r="M1271" t="s">
        <v>4</v>
      </c>
      <c r="N1271" t="str">
        <f t="shared" si="78"/>
        <v>ANI SCI HAY BARN 4 (3690)</v>
      </c>
      <c r="O1271" t="s">
        <v>52</v>
      </c>
      <c r="P1271" t="str">
        <f t="shared" si="79"/>
        <v>18000_3690</v>
      </c>
      <c r="Q1271" s="180">
        <v>100</v>
      </c>
    </row>
    <row r="1272" spans="1:17">
      <c r="A1272" t="str">
        <f t="shared" si="76"/>
        <v>UGA_3701</v>
      </c>
      <c r="B1272" t="str">
        <f t="shared" si="77"/>
        <v>UGA_HQ OFFICE BUILDING</v>
      </c>
      <c r="C1272" t="s">
        <v>443</v>
      </c>
      <c r="D1272" s="180" t="s">
        <v>51</v>
      </c>
      <c r="E1272" t="s">
        <v>2428</v>
      </c>
      <c r="F1272" t="s">
        <v>2429</v>
      </c>
      <c r="G1272" s="180">
        <v>1981</v>
      </c>
      <c r="H1272">
        <v>1954</v>
      </c>
      <c r="J1272" s="1334" t="s">
        <v>475</v>
      </c>
      <c r="K1272" s="1335" t="s">
        <v>475</v>
      </c>
      <c r="L1272" s="180">
        <v>0</v>
      </c>
      <c r="M1272" t="s">
        <v>4</v>
      </c>
      <c r="N1272" t="str">
        <f t="shared" si="78"/>
        <v>HQ OFFICE BUILDING (3701)</v>
      </c>
      <c r="O1272" t="s">
        <v>52</v>
      </c>
      <c r="P1272" t="str">
        <f t="shared" si="79"/>
        <v>18000_3701</v>
      </c>
      <c r="Q1272" s="180">
        <v>100</v>
      </c>
    </row>
    <row r="1273" spans="1:17">
      <c r="A1273" t="str">
        <f t="shared" si="76"/>
        <v>UGA_3702</v>
      </c>
      <c r="B1273" t="str">
        <f t="shared" si="77"/>
        <v>UGA_HQ LAB BLDG</v>
      </c>
      <c r="C1273" t="s">
        <v>443</v>
      </c>
      <c r="D1273" s="180" t="s">
        <v>51</v>
      </c>
      <c r="E1273" t="s">
        <v>2884</v>
      </c>
      <c r="F1273" t="s">
        <v>2885</v>
      </c>
      <c r="G1273" s="180">
        <v>1346</v>
      </c>
      <c r="H1273">
        <v>1950</v>
      </c>
      <c r="J1273" s="1334" t="s">
        <v>475</v>
      </c>
      <c r="K1273" s="1335" t="s">
        <v>475</v>
      </c>
      <c r="L1273" s="180">
        <v>0</v>
      </c>
      <c r="M1273" t="s">
        <v>4</v>
      </c>
      <c r="N1273" t="str">
        <f t="shared" si="78"/>
        <v>HQ LAB BLDG (3702)</v>
      </c>
      <c r="O1273" t="s">
        <v>52</v>
      </c>
      <c r="P1273" t="str">
        <f t="shared" si="79"/>
        <v>18000_3702</v>
      </c>
      <c r="Q1273" s="180">
        <v>100</v>
      </c>
    </row>
    <row r="1274" spans="1:17">
      <c r="A1274" t="str">
        <f t="shared" si="76"/>
        <v>UGA_3705</v>
      </c>
      <c r="B1274" t="str">
        <f t="shared" si="77"/>
        <v>UGA_HQ ASSTNT SUP RES</v>
      </c>
      <c r="C1274" t="s">
        <v>443</v>
      </c>
      <c r="D1274" s="180" t="s">
        <v>51</v>
      </c>
      <c r="E1274" t="s">
        <v>3173</v>
      </c>
      <c r="F1274" t="s">
        <v>3174</v>
      </c>
      <c r="G1274" s="180">
        <v>2196</v>
      </c>
      <c r="H1274">
        <v>1936</v>
      </c>
      <c r="J1274" s="1334" t="s">
        <v>475</v>
      </c>
      <c r="K1274" s="1335" t="s">
        <v>1520</v>
      </c>
      <c r="L1274" s="180">
        <v>0</v>
      </c>
      <c r="M1274" t="s">
        <v>4</v>
      </c>
      <c r="N1274" t="str">
        <f t="shared" si="78"/>
        <v>HQ ASSTNT SUP RES (3705)</v>
      </c>
      <c r="O1274" t="s">
        <v>52</v>
      </c>
      <c r="P1274" t="str">
        <f t="shared" si="79"/>
        <v>18000_3705</v>
      </c>
      <c r="Q1274" s="180">
        <v>100</v>
      </c>
    </row>
    <row r="1275" spans="1:17">
      <c r="A1275" t="str">
        <f t="shared" si="76"/>
        <v>UGA_3706</v>
      </c>
      <c r="B1275" t="str">
        <f t="shared" si="77"/>
        <v>UGA_HQ FIRE TOWER</v>
      </c>
      <c r="C1275" t="s">
        <v>443</v>
      </c>
      <c r="D1275" s="180" t="s">
        <v>51</v>
      </c>
      <c r="E1275" t="s">
        <v>1541</v>
      </c>
      <c r="F1275" t="s">
        <v>1542</v>
      </c>
      <c r="G1275" s="180">
        <v>64</v>
      </c>
      <c r="H1275">
        <v>1936</v>
      </c>
      <c r="J1275" s="1334" t="s">
        <v>475</v>
      </c>
      <c r="K1275" s="1335" t="s">
        <v>475</v>
      </c>
      <c r="L1275" s="180">
        <v>0</v>
      </c>
      <c r="M1275" t="s">
        <v>4</v>
      </c>
      <c r="N1275" t="str">
        <f t="shared" si="78"/>
        <v>HQ FIRE TOWER (3706)</v>
      </c>
      <c r="O1275" t="s">
        <v>52</v>
      </c>
      <c r="P1275" t="str">
        <f t="shared" si="79"/>
        <v>18000_3706</v>
      </c>
      <c r="Q1275" s="180">
        <v>100</v>
      </c>
    </row>
    <row r="1276" spans="1:17">
      <c r="A1276" t="str">
        <f t="shared" si="76"/>
        <v>UGA_3710</v>
      </c>
      <c r="B1276" t="str">
        <f t="shared" si="77"/>
        <v>UGA_HQ METAL SHED</v>
      </c>
      <c r="C1276" t="s">
        <v>443</v>
      </c>
      <c r="D1276" s="180" t="s">
        <v>51</v>
      </c>
      <c r="E1276" t="s">
        <v>4378</v>
      </c>
      <c r="F1276" t="s">
        <v>4379</v>
      </c>
      <c r="G1276" s="180">
        <v>1739</v>
      </c>
      <c r="H1276">
        <v>1952</v>
      </c>
      <c r="J1276" s="1334" t="s">
        <v>475</v>
      </c>
      <c r="K1276" s="1335" t="s">
        <v>475</v>
      </c>
      <c r="L1276" s="180">
        <v>0</v>
      </c>
      <c r="M1276" t="s">
        <v>4</v>
      </c>
      <c r="N1276" t="str">
        <f t="shared" si="78"/>
        <v>HQ METAL SHED (3710)</v>
      </c>
      <c r="O1276" t="s">
        <v>52</v>
      </c>
      <c r="P1276" t="str">
        <f t="shared" si="79"/>
        <v>18000_3710</v>
      </c>
      <c r="Q1276" s="180">
        <v>100</v>
      </c>
    </row>
    <row r="1277" spans="1:17">
      <c r="A1277" t="str">
        <f t="shared" si="76"/>
        <v>UGA_3712</v>
      </c>
      <c r="B1277" t="str">
        <f t="shared" si="77"/>
        <v>UGA_HQ RED BARN</v>
      </c>
      <c r="C1277" t="s">
        <v>443</v>
      </c>
      <c r="D1277" s="180" t="s">
        <v>51</v>
      </c>
      <c r="E1277" t="s">
        <v>4380</v>
      </c>
      <c r="F1277" t="s">
        <v>4381</v>
      </c>
      <c r="G1277" s="180">
        <v>10816</v>
      </c>
      <c r="H1277">
        <v>1936</v>
      </c>
      <c r="J1277" s="1334" t="s">
        <v>475</v>
      </c>
      <c r="K1277" s="1335" t="s">
        <v>481</v>
      </c>
      <c r="L1277" s="180">
        <v>0</v>
      </c>
      <c r="M1277" t="s">
        <v>4</v>
      </c>
      <c r="N1277" t="str">
        <f t="shared" si="78"/>
        <v>HQ RED BARN (3712)</v>
      </c>
      <c r="O1277" t="s">
        <v>52</v>
      </c>
      <c r="P1277" t="str">
        <f t="shared" si="79"/>
        <v>18000_3712</v>
      </c>
      <c r="Q1277" s="180">
        <v>100</v>
      </c>
    </row>
    <row r="1278" spans="1:17">
      <c r="A1278" t="str">
        <f t="shared" si="76"/>
        <v>UGA_3716</v>
      </c>
      <c r="B1278" t="str">
        <f t="shared" si="77"/>
        <v>UGA_HQ EQUIPMENT SHED</v>
      </c>
      <c r="C1278" t="s">
        <v>443</v>
      </c>
      <c r="D1278" s="180" t="s">
        <v>51</v>
      </c>
      <c r="E1278" t="s">
        <v>2003</v>
      </c>
      <c r="F1278" t="s">
        <v>2004</v>
      </c>
      <c r="G1278" s="180">
        <v>4846</v>
      </c>
      <c r="H1278">
        <v>1956</v>
      </c>
      <c r="J1278" s="1334" t="s">
        <v>475</v>
      </c>
      <c r="K1278" s="1335" t="s">
        <v>475</v>
      </c>
      <c r="L1278" s="180">
        <v>0</v>
      </c>
      <c r="M1278" t="s">
        <v>4</v>
      </c>
      <c r="N1278" t="str">
        <f t="shared" si="78"/>
        <v>HQ EQUIPMENT SHED (3716)</v>
      </c>
      <c r="O1278" t="s">
        <v>52</v>
      </c>
      <c r="P1278" t="str">
        <f t="shared" si="79"/>
        <v>18000_3716</v>
      </c>
      <c r="Q1278" s="180">
        <v>100</v>
      </c>
    </row>
    <row r="1279" spans="1:17">
      <c r="A1279" t="str">
        <f t="shared" si="76"/>
        <v>UGA_3724</v>
      </c>
      <c r="B1279" t="str">
        <f t="shared" si="77"/>
        <v>UGA_HQ ERIC'S HOUSE</v>
      </c>
      <c r="C1279" t="s">
        <v>443</v>
      </c>
      <c r="D1279" s="180" t="s">
        <v>51</v>
      </c>
      <c r="E1279" t="s">
        <v>2686</v>
      </c>
      <c r="F1279" t="s">
        <v>2687</v>
      </c>
      <c r="G1279" s="180">
        <v>2080</v>
      </c>
      <c r="H1279">
        <v>1880</v>
      </c>
      <c r="J1279" s="1334" t="s">
        <v>475</v>
      </c>
      <c r="K1279" s="1335" t="s">
        <v>481</v>
      </c>
      <c r="L1279" s="180">
        <v>0</v>
      </c>
      <c r="M1279" t="s">
        <v>4</v>
      </c>
      <c r="N1279" t="str">
        <f t="shared" si="78"/>
        <v>HQ ERIC'S HOUSE (3724)</v>
      </c>
      <c r="O1279" t="s">
        <v>52</v>
      </c>
      <c r="P1279" t="str">
        <f t="shared" si="79"/>
        <v>18000_3724</v>
      </c>
      <c r="Q1279" s="180">
        <v>100</v>
      </c>
    </row>
    <row r="1280" spans="1:17">
      <c r="A1280" t="str">
        <f t="shared" si="76"/>
        <v>UGA_3731</v>
      </c>
      <c r="B1280" t="str">
        <f t="shared" si="77"/>
        <v>UGA_GAR JOHNNYS HOUSE</v>
      </c>
      <c r="C1280" t="s">
        <v>443</v>
      </c>
      <c r="D1280" s="180" t="s">
        <v>51</v>
      </c>
      <c r="E1280" t="s">
        <v>3308</v>
      </c>
      <c r="F1280" t="s">
        <v>3309</v>
      </c>
      <c r="G1280" s="180">
        <v>2332</v>
      </c>
      <c r="H1280">
        <v>1920</v>
      </c>
      <c r="J1280" s="1334" t="s">
        <v>475</v>
      </c>
      <c r="K1280" s="1335" t="s">
        <v>481</v>
      </c>
      <c r="L1280" s="180">
        <v>0</v>
      </c>
      <c r="M1280" t="s">
        <v>4</v>
      </c>
      <c r="N1280" t="str">
        <f t="shared" si="78"/>
        <v>GAR JOHNNYS HOUSE (3731)</v>
      </c>
      <c r="O1280" t="s">
        <v>52</v>
      </c>
      <c r="P1280" t="str">
        <f t="shared" si="79"/>
        <v>18000_3731</v>
      </c>
      <c r="Q1280" s="180">
        <v>100</v>
      </c>
    </row>
    <row r="1281" spans="1:17">
      <c r="A1281" t="str">
        <f t="shared" si="76"/>
        <v>UGA_3733</v>
      </c>
      <c r="B1281" t="str">
        <f t="shared" si="77"/>
        <v>UGA_GAR 6 ROW POLE BRN</v>
      </c>
      <c r="C1281" t="s">
        <v>443</v>
      </c>
      <c r="D1281" s="180" t="s">
        <v>51</v>
      </c>
      <c r="E1281" t="s">
        <v>4158</v>
      </c>
      <c r="F1281" t="s">
        <v>4159</v>
      </c>
      <c r="G1281" s="180">
        <v>2160</v>
      </c>
      <c r="H1281">
        <v>1954</v>
      </c>
      <c r="J1281" s="1334" t="s">
        <v>475</v>
      </c>
      <c r="K1281" s="1335" t="s">
        <v>475</v>
      </c>
      <c r="L1281" s="180">
        <v>0</v>
      </c>
      <c r="M1281" t="s">
        <v>4</v>
      </c>
      <c r="N1281" t="str">
        <f t="shared" si="78"/>
        <v>GAR 6 ROW POLE BRN (3733)</v>
      </c>
      <c r="O1281" t="s">
        <v>52</v>
      </c>
      <c r="P1281" t="str">
        <f t="shared" si="79"/>
        <v>18000_3733</v>
      </c>
      <c r="Q1281" s="180">
        <v>100</v>
      </c>
    </row>
    <row r="1282" spans="1:17">
      <c r="A1282" t="str">
        <f t="shared" si="76"/>
        <v>UGA_3745</v>
      </c>
      <c r="B1282" t="str">
        <f t="shared" si="77"/>
        <v>UGA_TH POLE BARN 2</v>
      </c>
      <c r="C1282" t="s">
        <v>443</v>
      </c>
      <c r="D1282" s="180" t="s">
        <v>51</v>
      </c>
      <c r="E1282" t="s">
        <v>3529</v>
      </c>
      <c r="F1282" t="s">
        <v>3530</v>
      </c>
      <c r="G1282" s="180">
        <v>1440</v>
      </c>
      <c r="H1282">
        <v>1973</v>
      </c>
      <c r="J1282" s="1334" t="s">
        <v>475</v>
      </c>
      <c r="K1282" s="1335" t="s">
        <v>475</v>
      </c>
      <c r="L1282" s="180">
        <v>0</v>
      </c>
      <c r="M1282" t="s">
        <v>4</v>
      </c>
      <c r="N1282" t="str">
        <f t="shared" si="78"/>
        <v>TH POLE BARN 2 (3745)</v>
      </c>
      <c r="O1282" t="s">
        <v>52</v>
      </c>
      <c r="P1282" t="str">
        <f t="shared" si="79"/>
        <v>18000_3745</v>
      </c>
      <c r="Q1282" s="180">
        <v>100</v>
      </c>
    </row>
    <row r="1283" spans="1:17">
      <c r="A1283" t="str">
        <f t="shared" ref="A1283:A1346" si="80">_xlfn.CONCAT(D1283,"_",E1283)</f>
        <v>UGA_3753</v>
      </c>
      <c r="B1283" t="str">
        <f t="shared" ref="B1283:B1346" si="81">_xlfn.CONCAT(D1283,"_",F1283)</f>
        <v>UGA_HQ FEED ML &amp; BIN</v>
      </c>
      <c r="C1283" t="s">
        <v>443</v>
      </c>
      <c r="D1283" s="180" t="s">
        <v>51</v>
      </c>
      <c r="E1283" t="s">
        <v>3175</v>
      </c>
      <c r="F1283" t="s">
        <v>3176</v>
      </c>
      <c r="G1283" s="180">
        <v>3438</v>
      </c>
      <c r="H1283">
        <v>1983</v>
      </c>
      <c r="J1283" s="1334" t="s">
        <v>475</v>
      </c>
      <c r="K1283" s="1335" t="s">
        <v>475</v>
      </c>
      <c r="L1283" s="180">
        <v>0</v>
      </c>
      <c r="M1283" t="s">
        <v>4</v>
      </c>
      <c r="N1283" t="str">
        <f t="shared" ref="N1283:N1346" si="82">_xlfn.CONCAT(F1283," (",E1283,")")</f>
        <v>HQ FEED ML &amp; BIN (3753)</v>
      </c>
      <c r="O1283" t="s">
        <v>52</v>
      </c>
      <c r="P1283" t="str">
        <f t="shared" ref="P1283:P1346" si="83">_xlfn.CONCAT(C1283,"_",E1283)</f>
        <v>18000_3753</v>
      </c>
      <c r="Q1283" s="180">
        <v>0</v>
      </c>
    </row>
    <row r="1284" spans="1:17">
      <c r="A1284" t="str">
        <f t="shared" si="80"/>
        <v>UGA_3755</v>
      </c>
      <c r="B1284" t="str">
        <f t="shared" si="81"/>
        <v>UGA_FRS WELL HOUSE 1</v>
      </c>
      <c r="C1284" t="s">
        <v>443</v>
      </c>
      <c r="D1284" s="180" t="s">
        <v>51</v>
      </c>
      <c r="E1284" t="s">
        <v>3553</v>
      </c>
      <c r="F1284" t="s">
        <v>3554</v>
      </c>
      <c r="G1284" s="180">
        <v>81</v>
      </c>
      <c r="H1284">
        <v>1971</v>
      </c>
      <c r="J1284" s="1334" t="s">
        <v>475</v>
      </c>
      <c r="K1284" s="1335" t="s">
        <v>475</v>
      </c>
      <c r="L1284" s="180">
        <v>0</v>
      </c>
      <c r="M1284" t="s">
        <v>4</v>
      </c>
      <c r="N1284" t="str">
        <f t="shared" si="82"/>
        <v>FRS WELL HOUSE 1 (3755)</v>
      </c>
      <c r="O1284" t="s">
        <v>52</v>
      </c>
      <c r="P1284" t="str">
        <f t="shared" si="83"/>
        <v>18000_3755</v>
      </c>
      <c r="Q1284" s="180">
        <v>0</v>
      </c>
    </row>
    <row r="1285" spans="1:17">
      <c r="A1285" t="str">
        <f t="shared" si="80"/>
        <v>UGA_3756</v>
      </c>
      <c r="B1285" t="str">
        <f t="shared" si="81"/>
        <v>UGA_FRS GAS/PAINT STRG</v>
      </c>
      <c r="C1285" t="s">
        <v>443</v>
      </c>
      <c r="D1285" s="180" t="s">
        <v>51</v>
      </c>
      <c r="E1285" t="s">
        <v>1853</v>
      </c>
      <c r="F1285" t="s">
        <v>1854</v>
      </c>
      <c r="G1285" s="180">
        <v>382</v>
      </c>
      <c r="H1285">
        <v>1978</v>
      </c>
      <c r="J1285" s="1334" t="s">
        <v>475</v>
      </c>
      <c r="K1285" s="1335" t="s">
        <v>475</v>
      </c>
      <c r="L1285" s="180">
        <v>0</v>
      </c>
      <c r="M1285" t="s">
        <v>4</v>
      </c>
      <c r="N1285" t="str">
        <f t="shared" si="82"/>
        <v>FRS GAS/PAINT STRG (3756)</v>
      </c>
      <c r="O1285" t="s">
        <v>52</v>
      </c>
      <c r="P1285" t="str">
        <f t="shared" si="83"/>
        <v>18000_3756</v>
      </c>
      <c r="Q1285" s="180">
        <v>100</v>
      </c>
    </row>
    <row r="1286" spans="1:17">
      <c r="A1286" t="str">
        <f t="shared" si="80"/>
        <v>UGA_3757</v>
      </c>
      <c r="B1286" t="str">
        <f t="shared" si="81"/>
        <v>UGA_FRS QUONSET HUT</v>
      </c>
      <c r="C1286" t="s">
        <v>443</v>
      </c>
      <c r="D1286" s="180" t="s">
        <v>51</v>
      </c>
      <c r="E1286" t="s">
        <v>3978</v>
      </c>
      <c r="F1286" t="s">
        <v>3979</v>
      </c>
      <c r="G1286" s="180">
        <v>942</v>
      </c>
      <c r="H1286">
        <v>1972</v>
      </c>
      <c r="J1286" s="1334" t="s">
        <v>475</v>
      </c>
      <c r="K1286" s="1335" t="s">
        <v>486</v>
      </c>
      <c r="L1286" s="180">
        <v>0</v>
      </c>
      <c r="M1286" t="s">
        <v>4</v>
      </c>
      <c r="N1286" t="str">
        <f t="shared" si="82"/>
        <v>FRS QUONSET HUT (3757)</v>
      </c>
      <c r="O1286" t="s">
        <v>52</v>
      </c>
      <c r="P1286" t="str">
        <f t="shared" si="83"/>
        <v>18000_3757</v>
      </c>
      <c r="Q1286" s="180">
        <v>100</v>
      </c>
    </row>
    <row r="1287" spans="1:17">
      <c r="A1287" t="str">
        <f t="shared" si="80"/>
        <v>UGA_3760</v>
      </c>
      <c r="B1287" t="str">
        <f t="shared" si="81"/>
        <v>UGA_HQ FARM SERV CNTR</v>
      </c>
      <c r="C1287" t="s">
        <v>443</v>
      </c>
      <c r="D1287" s="180" t="s">
        <v>51</v>
      </c>
      <c r="E1287" t="s">
        <v>1962</v>
      </c>
      <c r="F1287" t="s">
        <v>1963</v>
      </c>
      <c r="G1287" s="180">
        <v>5648</v>
      </c>
      <c r="H1287">
        <v>1987</v>
      </c>
      <c r="J1287" s="1334" t="s">
        <v>475</v>
      </c>
      <c r="K1287" s="1335" t="s">
        <v>475</v>
      </c>
      <c r="L1287" s="180">
        <v>0</v>
      </c>
      <c r="M1287" t="s">
        <v>4</v>
      </c>
      <c r="N1287" t="str">
        <f t="shared" si="82"/>
        <v>HQ FARM SERV CNTR (3760)</v>
      </c>
      <c r="O1287" t="s">
        <v>52</v>
      </c>
      <c r="P1287" t="str">
        <f t="shared" si="83"/>
        <v>18000_3760</v>
      </c>
      <c r="Q1287" s="180">
        <v>100</v>
      </c>
    </row>
    <row r="1288" spans="1:17">
      <c r="A1288" t="str">
        <f t="shared" si="80"/>
        <v>UGA_3761</v>
      </c>
      <c r="B1288" t="str">
        <f t="shared" si="81"/>
        <v>UGA_FRS WELL HSE 3</v>
      </c>
      <c r="C1288" t="s">
        <v>443</v>
      </c>
      <c r="D1288" s="180" t="s">
        <v>51</v>
      </c>
      <c r="E1288" t="s">
        <v>3076</v>
      </c>
      <c r="F1288" t="s">
        <v>3077</v>
      </c>
      <c r="G1288" s="180">
        <v>64</v>
      </c>
      <c r="H1288">
        <v>1930</v>
      </c>
      <c r="J1288" s="1334" t="s">
        <v>475</v>
      </c>
      <c r="K1288" s="1335" t="s">
        <v>475</v>
      </c>
      <c r="L1288" s="180">
        <v>0</v>
      </c>
      <c r="M1288" t="s">
        <v>4</v>
      </c>
      <c r="N1288" t="str">
        <f t="shared" si="82"/>
        <v>FRS WELL HSE 3 (3761)</v>
      </c>
      <c r="O1288" t="s">
        <v>52</v>
      </c>
      <c r="P1288" t="str">
        <f t="shared" si="83"/>
        <v>18000_3761</v>
      </c>
      <c r="Q1288" s="180">
        <v>100</v>
      </c>
    </row>
    <row r="1289" spans="1:17">
      <c r="A1289" t="str">
        <f t="shared" si="80"/>
        <v>UGA_3762</v>
      </c>
      <c r="B1289" t="str">
        <f t="shared" si="81"/>
        <v>UGA_FRS WELL HSE 4</v>
      </c>
      <c r="C1289" t="s">
        <v>443</v>
      </c>
      <c r="D1289" s="180" t="s">
        <v>51</v>
      </c>
      <c r="E1289" t="s">
        <v>2220</v>
      </c>
      <c r="F1289" t="s">
        <v>2221</v>
      </c>
      <c r="G1289" s="180">
        <v>64</v>
      </c>
      <c r="H1289">
        <v>1930</v>
      </c>
      <c r="J1289" s="1334" t="s">
        <v>475</v>
      </c>
      <c r="K1289" s="1335" t="s">
        <v>475</v>
      </c>
      <c r="L1289" s="180">
        <v>0</v>
      </c>
      <c r="M1289" t="s">
        <v>4</v>
      </c>
      <c r="N1289" t="str">
        <f t="shared" si="82"/>
        <v>FRS WELL HSE 4 (3762)</v>
      </c>
      <c r="O1289" t="s">
        <v>52</v>
      </c>
      <c r="P1289" t="str">
        <f t="shared" si="83"/>
        <v>18000_3762</v>
      </c>
      <c r="Q1289" s="180">
        <v>100</v>
      </c>
    </row>
    <row r="1290" spans="1:17">
      <c r="A1290" t="str">
        <f t="shared" si="80"/>
        <v>UGA_3763</v>
      </c>
      <c r="B1290" t="str">
        <f t="shared" si="81"/>
        <v>UGA_PUMP HOUSE 13</v>
      </c>
      <c r="C1290" t="s">
        <v>443</v>
      </c>
      <c r="D1290" s="180" t="s">
        <v>51</v>
      </c>
      <c r="E1290" t="s">
        <v>3225</v>
      </c>
      <c r="F1290" t="s">
        <v>3226</v>
      </c>
      <c r="G1290" s="180">
        <v>48</v>
      </c>
      <c r="H1290">
        <v>1986</v>
      </c>
      <c r="J1290" s="1334" t="s">
        <v>475</v>
      </c>
      <c r="K1290" s="1335" t="s">
        <v>475</v>
      </c>
      <c r="L1290" s="180">
        <v>0</v>
      </c>
      <c r="M1290" t="s">
        <v>4</v>
      </c>
      <c r="N1290" t="str">
        <f t="shared" si="82"/>
        <v>PUMP HOUSE 13 (3763)</v>
      </c>
      <c r="O1290" t="s">
        <v>52</v>
      </c>
      <c r="P1290" t="str">
        <f t="shared" si="83"/>
        <v>18000_3763</v>
      </c>
      <c r="Q1290" s="180">
        <v>100</v>
      </c>
    </row>
    <row r="1291" spans="1:17">
      <c r="A1291" t="str">
        <f t="shared" si="80"/>
        <v>UGA_3764</v>
      </c>
      <c r="B1291" t="str">
        <f t="shared" si="81"/>
        <v>UGA_PUMP HOUSE 16</v>
      </c>
      <c r="C1291" t="s">
        <v>443</v>
      </c>
      <c r="D1291" s="180" t="s">
        <v>51</v>
      </c>
      <c r="E1291" t="s">
        <v>3278</v>
      </c>
      <c r="F1291" t="s">
        <v>3279</v>
      </c>
      <c r="G1291" s="180">
        <v>48</v>
      </c>
      <c r="H1291">
        <v>1988</v>
      </c>
      <c r="J1291" s="1334" t="s">
        <v>475</v>
      </c>
      <c r="K1291" s="1335" t="s">
        <v>475</v>
      </c>
      <c r="L1291" s="180">
        <v>0</v>
      </c>
      <c r="M1291" t="s">
        <v>4</v>
      </c>
      <c r="N1291" t="str">
        <f t="shared" si="82"/>
        <v>PUMP HOUSE 16 (3764)</v>
      </c>
      <c r="O1291" t="s">
        <v>52</v>
      </c>
      <c r="P1291" t="str">
        <f t="shared" si="83"/>
        <v>18000_3764</v>
      </c>
      <c r="Q1291" s="180">
        <v>100</v>
      </c>
    </row>
    <row r="1292" spans="1:17">
      <c r="A1292" t="str">
        <f t="shared" si="80"/>
        <v>UGA_3765</v>
      </c>
      <c r="B1292" t="str">
        <f t="shared" si="81"/>
        <v>UGA_HQ METAL POLE BARN</v>
      </c>
      <c r="C1292" t="s">
        <v>443</v>
      </c>
      <c r="D1292" s="180" t="s">
        <v>51</v>
      </c>
      <c r="E1292" t="s">
        <v>2142</v>
      </c>
      <c r="F1292" t="s">
        <v>2143</v>
      </c>
      <c r="G1292" s="180">
        <v>2106</v>
      </c>
      <c r="H1292">
        <v>1990</v>
      </c>
      <c r="J1292" s="1334" t="s">
        <v>475</v>
      </c>
      <c r="K1292" s="1335" t="s">
        <v>475</v>
      </c>
      <c r="L1292" s="180">
        <v>0</v>
      </c>
      <c r="M1292" t="s">
        <v>4</v>
      </c>
      <c r="N1292" t="str">
        <f t="shared" si="82"/>
        <v>HQ METAL POLE BARN (3765)</v>
      </c>
      <c r="O1292" t="s">
        <v>52</v>
      </c>
      <c r="P1292" t="str">
        <f t="shared" si="83"/>
        <v>18000_3765</v>
      </c>
      <c r="Q1292" s="180">
        <v>100</v>
      </c>
    </row>
    <row r="1293" spans="1:17">
      <c r="A1293" t="str">
        <f t="shared" si="80"/>
        <v>UGA_3766</v>
      </c>
      <c r="B1293" t="str">
        <f t="shared" si="81"/>
        <v>UGA_HQ OIL STG HOUSE</v>
      </c>
      <c r="C1293" t="s">
        <v>443</v>
      </c>
      <c r="D1293" s="180" t="s">
        <v>51</v>
      </c>
      <c r="E1293" t="s">
        <v>2005</v>
      </c>
      <c r="F1293" t="s">
        <v>2006</v>
      </c>
      <c r="G1293" s="180">
        <v>36</v>
      </c>
      <c r="H1293">
        <v>1990</v>
      </c>
      <c r="J1293" s="1334" t="s">
        <v>475</v>
      </c>
      <c r="K1293" s="1335" t="s">
        <v>475</v>
      </c>
      <c r="L1293" s="180">
        <v>0</v>
      </c>
      <c r="M1293" t="s">
        <v>4</v>
      </c>
      <c r="N1293" t="str">
        <f t="shared" si="82"/>
        <v>HQ OIL STG HOUSE (3766)</v>
      </c>
      <c r="O1293" t="s">
        <v>52</v>
      </c>
      <c r="P1293" t="str">
        <f t="shared" si="83"/>
        <v>18000_3766</v>
      </c>
      <c r="Q1293" s="180">
        <v>100</v>
      </c>
    </row>
    <row r="1294" spans="1:17">
      <c r="A1294" t="str">
        <f t="shared" si="80"/>
        <v>UGA_3767</v>
      </c>
      <c r="B1294" t="str">
        <f t="shared" si="81"/>
        <v>UGA_HQ SUPERS GARAGE</v>
      </c>
      <c r="C1294" t="s">
        <v>443</v>
      </c>
      <c r="D1294" s="180" t="s">
        <v>51</v>
      </c>
      <c r="E1294" t="s">
        <v>3001</v>
      </c>
      <c r="F1294" t="s">
        <v>3002</v>
      </c>
      <c r="G1294" s="180">
        <v>899</v>
      </c>
      <c r="H1294">
        <v>1990</v>
      </c>
      <c r="J1294" s="1334" t="s">
        <v>475</v>
      </c>
      <c r="K1294" s="1335" t="s">
        <v>475</v>
      </c>
      <c r="L1294" s="180">
        <v>0</v>
      </c>
      <c r="M1294" t="s">
        <v>4</v>
      </c>
      <c r="N1294" t="str">
        <f t="shared" si="82"/>
        <v>HQ SUPERS GARAGE (3767)</v>
      </c>
      <c r="O1294" t="s">
        <v>52</v>
      </c>
      <c r="P1294" t="str">
        <f t="shared" si="83"/>
        <v>18000_3767</v>
      </c>
      <c r="Q1294" s="180">
        <v>97</v>
      </c>
    </row>
    <row r="1295" spans="1:17">
      <c r="A1295" t="str">
        <f t="shared" si="80"/>
        <v>UGA_3768</v>
      </c>
      <c r="B1295" t="str">
        <f t="shared" si="81"/>
        <v>UGA_TH METAL POLE BARN</v>
      </c>
      <c r="C1295" t="s">
        <v>443</v>
      </c>
      <c r="D1295" s="180" t="s">
        <v>51</v>
      </c>
      <c r="E1295" t="s">
        <v>3310</v>
      </c>
      <c r="F1295" t="s">
        <v>3311</v>
      </c>
      <c r="G1295" s="180">
        <v>1500</v>
      </c>
      <c r="H1295">
        <v>2002</v>
      </c>
      <c r="J1295" s="1334" t="s">
        <v>475</v>
      </c>
      <c r="K1295" s="1335" t="s">
        <v>475</v>
      </c>
      <c r="L1295" s="180">
        <v>0</v>
      </c>
      <c r="M1295" t="s">
        <v>4</v>
      </c>
      <c r="N1295" t="str">
        <f t="shared" si="82"/>
        <v>TH METAL POLE BARN (3768)</v>
      </c>
      <c r="O1295" t="s">
        <v>52</v>
      </c>
      <c r="P1295" t="str">
        <f t="shared" si="83"/>
        <v>18000_3768</v>
      </c>
      <c r="Q1295" s="180">
        <v>100</v>
      </c>
    </row>
    <row r="1296" spans="1:17">
      <c r="A1296" t="str">
        <f t="shared" si="80"/>
        <v>UGA_3769</v>
      </c>
      <c r="B1296" t="str">
        <f t="shared" si="81"/>
        <v>UGA_HQ PMP HS FIRE TWR</v>
      </c>
      <c r="C1296" t="s">
        <v>443</v>
      </c>
      <c r="D1296" s="180" t="s">
        <v>51</v>
      </c>
      <c r="E1296" t="s">
        <v>3386</v>
      </c>
      <c r="F1296" t="s">
        <v>3387</v>
      </c>
      <c r="G1296" s="180">
        <v>41</v>
      </c>
      <c r="H1296">
        <v>2001</v>
      </c>
      <c r="J1296" s="1334" t="s">
        <v>475</v>
      </c>
      <c r="K1296" s="1335" t="s">
        <v>475</v>
      </c>
      <c r="L1296" s="180">
        <v>0</v>
      </c>
      <c r="M1296" t="s">
        <v>4</v>
      </c>
      <c r="N1296" t="str">
        <f t="shared" si="82"/>
        <v>HQ PMP HS FIRE TWR (3769)</v>
      </c>
      <c r="O1296" t="s">
        <v>52</v>
      </c>
      <c r="P1296" t="str">
        <f t="shared" si="83"/>
        <v>18000_3769</v>
      </c>
      <c r="Q1296" s="180">
        <v>100</v>
      </c>
    </row>
    <row r="1297" spans="1:17">
      <c r="A1297" t="str">
        <f t="shared" si="80"/>
        <v>UGA_3770</v>
      </c>
      <c r="B1297" t="str">
        <f t="shared" si="81"/>
        <v>UGA_HQ PMP HS SUPR RES</v>
      </c>
      <c r="C1297" t="s">
        <v>443</v>
      </c>
      <c r="D1297" s="180" t="s">
        <v>51</v>
      </c>
      <c r="E1297" t="s">
        <v>3856</v>
      </c>
      <c r="F1297" t="s">
        <v>3857</v>
      </c>
      <c r="G1297" s="180">
        <v>17</v>
      </c>
      <c r="H1297">
        <v>1990</v>
      </c>
      <c r="J1297" s="1334" t="s">
        <v>475</v>
      </c>
      <c r="K1297" s="1335" t="s">
        <v>475</v>
      </c>
      <c r="L1297" s="180">
        <v>0</v>
      </c>
      <c r="M1297" t="s">
        <v>4</v>
      </c>
      <c r="N1297" t="str">
        <f t="shared" si="82"/>
        <v>HQ PMP HS SUPR RES (3770)</v>
      </c>
      <c r="O1297" t="s">
        <v>52</v>
      </c>
      <c r="P1297" t="str">
        <f t="shared" si="83"/>
        <v>18000_3770</v>
      </c>
      <c r="Q1297" s="180">
        <v>100</v>
      </c>
    </row>
    <row r="1298" spans="1:17">
      <c r="A1298" t="str">
        <f t="shared" si="80"/>
        <v>UGA_3771</v>
      </c>
      <c r="B1298" t="str">
        <f t="shared" si="81"/>
        <v>UGA_GLDS PUMP HOUSE</v>
      </c>
      <c r="C1298" t="s">
        <v>443</v>
      </c>
      <c r="D1298" s="180" t="s">
        <v>51</v>
      </c>
      <c r="E1298" t="s">
        <v>2007</v>
      </c>
      <c r="F1298" t="s">
        <v>2008</v>
      </c>
      <c r="G1298" s="180">
        <v>47</v>
      </c>
      <c r="H1298">
        <v>2001</v>
      </c>
      <c r="J1298" s="1334" t="s">
        <v>475</v>
      </c>
      <c r="K1298" s="1335" t="s">
        <v>475</v>
      </c>
      <c r="L1298" s="180">
        <v>0</v>
      </c>
      <c r="M1298" t="s">
        <v>4</v>
      </c>
      <c r="N1298" t="str">
        <f t="shared" si="82"/>
        <v>GLDS PUMP HOUSE (3771)</v>
      </c>
      <c r="O1298" t="s">
        <v>52</v>
      </c>
      <c r="P1298" t="str">
        <f t="shared" si="83"/>
        <v>18000_3771</v>
      </c>
      <c r="Q1298" s="180">
        <v>100</v>
      </c>
    </row>
    <row r="1299" spans="1:17">
      <c r="A1299" t="str">
        <f t="shared" si="80"/>
        <v>UGA_3772</v>
      </c>
      <c r="B1299" t="str">
        <f t="shared" si="81"/>
        <v>UGA_FRS WELL HSE 5</v>
      </c>
      <c r="C1299" t="s">
        <v>443</v>
      </c>
      <c r="D1299" s="180" t="s">
        <v>51</v>
      </c>
      <c r="E1299" t="s">
        <v>3028</v>
      </c>
      <c r="F1299" t="s">
        <v>3029</v>
      </c>
      <c r="G1299" s="180">
        <v>100</v>
      </c>
      <c r="H1299">
        <v>1985</v>
      </c>
      <c r="J1299" s="1334" t="s">
        <v>475</v>
      </c>
      <c r="K1299" s="1335" t="s">
        <v>475</v>
      </c>
      <c r="L1299" s="180">
        <v>0</v>
      </c>
      <c r="M1299" t="s">
        <v>4</v>
      </c>
      <c r="N1299" t="str">
        <f t="shared" si="82"/>
        <v>FRS WELL HSE 5 (3772)</v>
      </c>
      <c r="O1299" t="s">
        <v>52</v>
      </c>
      <c r="P1299" t="str">
        <f t="shared" si="83"/>
        <v>18000_3772</v>
      </c>
      <c r="Q1299" s="180">
        <v>0</v>
      </c>
    </row>
    <row r="1300" spans="1:17">
      <c r="A1300" t="str">
        <f t="shared" si="80"/>
        <v>UGA_3773</v>
      </c>
      <c r="B1300" t="str">
        <f t="shared" si="81"/>
        <v>UGA_FRS WELL HSE 6</v>
      </c>
      <c r="C1300" t="s">
        <v>443</v>
      </c>
      <c r="D1300" s="180" t="s">
        <v>51</v>
      </c>
      <c r="E1300" t="s">
        <v>3177</v>
      </c>
      <c r="F1300" t="s">
        <v>3178</v>
      </c>
      <c r="G1300" s="180">
        <v>64</v>
      </c>
      <c r="H1300">
        <v>1990</v>
      </c>
      <c r="J1300" s="1334" t="s">
        <v>475</v>
      </c>
      <c r="K1300" s="1335" t="s">
        <v>475</v>
      </c>
      <c r="L1300" s="180">
        <v>0</v>
      </c>
      <c r="M1300" t="s">
        <v>4</v>
      </c>
      <c r="N1300" t="str">
        <f t="shared" si="82"/>
        <v>FRS WELL HSE 6 (3773)</v>
      </c>
      <c r="O1300" t="s">
        <v>52</v>
      </c>
      <c r="P1300" t="str">
        <f t="shared" si="83"/>
        <v>18000_3773</v>
      </c>
      <c r="Q1300" s="180">
        <v>100</v>
      </c>
    </row>
    <row r="1301" spans="1:17">
      <c r="A1301" t="str">
        <f t="shared" si="80"/>
        <v>UGA_3774</v>
      </c>
      <c r="B1301" t="str">
        <f t="shared" si="81"/>
        <v>UGA_FRS EPRI RSCH BLDG</v>
      </c>
      <c r="C1301" t="s">
        <v>443</v>
      </c>
      <c r="D1301" s="180" t="s">
        <v>51</v>
      </c>
      <c r="E1301" t="s">
        <v>1456</v>
      </c>
      <c r="F1301" t="s">
        <v>1457</v>
      </c>
      <c r="G1301" s="180">
        <v>64</v>
      </c>
      <c r="H1301">
        <v>1988</v>
      </c>
      <c r="J1301" s="1334" t="s">
        <v>475</v>
      </c>
      <c r="K1301" s="1335" t="s">
        <v>475</v>
      </c>
      <c r="L1301" s="180">
        <v>0</v>
      </c>
      <c r="M1301" t="s">
        <v>4</v>
      </c>
      <c r="N1301" t="str">
        <f t="shared" si="82"/>
        <v>FRS EPRI RSCH BLDG (3774)</v>
      </c>
      <c r="O1301" t="s">
        <v>52</v>
      </c>
      <c r="P1301" t="str">
        <f t="shared" si="83"/>
        <v>18000_3774</v>
      </c>
      <c r="Q1301" s="180">
        <v>100</v>
      </c>
    </row>
    <row r="1302" spans="1:17">
      <c r="A1302" t="str">
        <f t="shared" si="80"/>
        <v>UGA_3775</v>
      </c>
      <c r="B1302" t="str">
        <f t="shared" si="81"/>
        <v>UGA_FRS SUPT RESIDENCE</v>
      </c>
      <c r="C1302" t="s">
        <v>443</v>
      </c>
      <c r="D1302" s="180" t="s">
        <v>51</v>
      </c>
      <c r="E1302" t="s">
        <v>2430</v>
      </c>
      <c r="F1302" t="s">
        <v>2431</v>
      </c>
      <c r="G1302" s="180">
        <v>4658</v>
      </c>
      <c r="H1302">
        <v>1980</v>
      </c>
      <c r="J1302" s="1334" t="s">
        <v>475</v>
      </c>
      <c r="K1302" s="1335" t="s">
        <v>1520</v>
      </c>
      <c r="L1302" s="180">
        <v>0</v>
      </c>
      <c r="M1302" t="s">
        <v>4</v>
      </c>
      <c r="N1302" t="str">
        <f t="shared" si="82"/>
        <v>FRS SUPT RESIDENCE (3775)</v>
      </c>
      <c r="O1302" t="s">
        <v>52</v>
      </c>
      <c r="P1302" t="str">
        <f t="shared" si="83"/>
        <v>18000_3775</v>
      </c>
      <c r="Q1302" s="180">
        <v>100</v>
      </c>
    </row>
    <row r="1303" spans="1:17">
      <c r="A1303" t="str">
        <f t="shared" si="80"/>
        <v>UGA_3776</v>
      </c>
      <c r="B1303" t="str">
        <f t="shared" si="81"/>
        <v>UGA_FRS LAB &amp; LODGE</v>
      </c>
      <c r="C1303" t="s">
        <v>443</v>
      </c>
      <c r="D1303" s="180" t="s">
        <v>51</v>
      </c>
      <c r="E1303" t="s">
        <v>1831</v>
      </c>
      <c r="F1303" t="s">
        <v>1832</v>
      </c>
      <c r="G1303" s="180">
        <v>4829</v>
      </c>
      <c r="H1303">
        <v>1974</v>
      </c>
      <c r="J1303" s="1334" t="s">
        <v>475</v>
      </c>
      <c r="K1303" s="1335" t="s">
        <v>475</v>
      </c>
      <c r="L1303" s="180">
        <v>0</v>
      </c>
      <c r="M1303" t="s">
        <v>4</v>
      </c>
      <c r="N1303" t="str">
        <f t="shared" si="82"/>
        <v>FRS LAB &amp; LODGE (3776)</v>
      </c>
      <c r="O1303" t="s">
        <v>52</v>
      </c>
      <c r="P1303" t="str">
        <f t="shared" si="83"/>
        <v>18000_3776</v>
      </c>
      <c r="Q1303" s="180">
        <v>100</v>
      </c>
    </row>
    <row r="1304" spans="1:17">
      <c r="A1304" t="str">
        <f t="shared" si="80"/>
        <v>UGA_3777</v>
      </c>
      <c r="B1304" t="str">
        <f t="shared" si="81"/>
        <v>UGA_FRS AUTO SHOP</v>
      </c>
      <c r="C1304" t="s">
        <v>443</v>
      </c>
      <c r="D1304" s="180" t="s">
        <v>51</v>
      </c>
      <c r="E1304" t="s">
        <v>4314</v>
      </c>
      <c r="F1304" t="s">
        <v>4315</v>
      </c>
      <c r="G1304" s="180">
        <v>3374</v>
      </c>
      <c r="H1304">
        <v>1974</v>
      </c>
      <c r="J1304" s="1334" t="s">
        <v>475</v>
      </c>
      <c r="K1304" s="1335" t="s">
        <v>475</v>
      </c>
      <c r="L1304" s="180">
        <v>0</v>
      </c>
      <c r="M1304" t="s">
        <v>4</v>
      </c>
      <c r="N1304" t="str">
        <f t="shared" si="82"/>
        <v>FRS AUTO SHOP (3777)</v>
      </c>
      <c r="O1304" t="s">
        <v>52</v>
      </c>
      <c r="P1304" t="str">
        <f t="shared" si="83"/>
        <v>18000_3777</v>
      </c>
      <c r="Q1304" s="180">
        <v>100</v>
      </c>
    </row>
    <row r="1305" spans="1:17">
      <c r="A1305" t="str">
        <f t="shared" si="80"/>
        <v>UGA_3778</v>
      </c>
      <c r="B1305" t="str">
        <f t="shared" si="81"/>
        <v>UGA_HQ PMP HS - ERIC</v>
      </c>
      <c r="C1305" t="s">
        <v>443</v>
      </c>
      <c r="D1305" s="180" t="s">
        <v>51</v>
      </c>
      <c r="E1305" t="s">
        <v>3405</v>
      </c>
      <c r="F1305" t="s">
        <v>3406</v>
      </c>
      <c r="G1305" s="180">
        <v>64</v>
      </c>
      <c r="H1305">
        <v>1954</v>
      </c>
      <c r="J1305" s="1334" t="s">
        <v>475</v>
      </c>
      <c r="K1305" s="1335" t="s">
        <v>475</v>
      </c>
      <c r="L1305" s="180">
        <v>0</v>
      </c>
      <c r="M1305" t="s">
        <v>4</v>
      </c>
      <c r="N1305" t="str">
        <f t="shared" si="82"/>
        <v>HQ PMP HS - ERIC (3778)</v>
      </c>
      <c r="O1305" t="s">
        <v>52</v>
      </c>
      <c r="P1305" t="str">
        <f t="shared" si="83"/>
        <v>18000_3778</v>
      </c>
      <c r="Q1305" s="180">
        <v>60</v>
      </c>
    </row>
    <row r="1306" spans="1:17">
      <c r="A1306" t="str">
        <f t="shared" si="80"/>
        <v>UGA_3779</v>
      </c>
      <c r="B1306" t="str">
        <f t="shared" si="81"/>
        <v>UGA_TH PUMP HOUSE</v>
      </c>
      <c r="C1306" t="s">
        <v>443</v>
      </c>
      <c r="D1306" s="180" t="s">
        <v>51</v>
      </c>
      <c r="E1306" t="s">
        <v>3555</v>
      </c>
      <c r="F1306" t="s">
        <v>3556</v>
      </c>
      <c r="G1306" s="180">
        <v>64</v>
      </c>
      <c r="H1306">
        <v>1968</v>
      </c>
      <c r="J1306" s="1334" t="s">
        <v>475</v>
      </c>
      <c r="K1306" s="1335" t="s">
        <v>475</v>
      </c>
      <c r="L1306" s="180">
        <v>0</v>
      </c>
      <c r="M1306" t="s">
        <v>4</v>
      </c>
      <c r="N1306" t="str">
        <f t="shared" si="82"/>
        <v>TH PUMP HOUSE (3779)</v>
      </c>
      <c r="O1306" t="s">
        <v>52</v>
      </c>
      <c r="P1306" t="str">
        <f t="shared" si="83"/>
        <v>18000_3779</v>
      </c>
      <c r="Q1306" s="180">
        <v>100</v>
      </c>
    </row>
    <row r="1307" spans="1:17">
      <c r="A1307" t="str">
        <f t="shared" si="80"/>
        <v>UGA_3781</v>
      </c>
      <c r="B1307" t="str">
        <f t="shared" si="81"/>
        <v>UGA_HQ PMP HS - GREG</v>
      </c>
      <c r="C1307" t="s">
        <v>443</v>
      </c>
      <c r="D1307" s="180" t="s">
        <v>51</v>
      </c>
      <c r="E1307" t="s">
        <v>3030</v>
      </c>
      <c r="F1307" t="s">
        <v>3031</v>
      </c>
      <c r="G1307" s="180">
        <v>64</v>
      </c>
      <c r="H1307">
        <v>1968</v>
      </c>
      <c r="J1307" s="1334" t="s">
        <v>475</v>
      </c>
      <c r="K1307" s="1335" t="s">
        <v>475</v>
      </c>
      <c r="L1307" s="180">
        <v>0</v>
      </c>
      <c r="M1307" t="s">
        <v>4</v>
      </c>
      <c r="N1307" t="str">
        <f t="shared" si="82"/>
        <v>HQ PMP HS - GREG (3781)</v>
      </c>
      <c r="O1307" t="s">
        <v>52</v>
      </c>
      <c r="P1307" t="str">
        <f t="shared" si="83"/>
        <v>18000_3781</v>
      </c>
      <c r="Q1307" s="180">
        <v>100</v>
      </c>
    </row>
    <row r="1308" spans="1:17">
      <c r="A1308" t="str">
        <f t="shared" si="80"/>
        <v>UGA_3783</v>
      </c>
      <c r="B1308" t="str">
        <f t="shared" si="81"/>
        <v>UGA_HQ PMP HS AST SUPT</v>
      </c>
      <c r="C1308" t="s">
        <v>443</v>
      </c>
      <c r="D1308" s="180" t="s">
        <v>51</v>
      </c>
      <c r="E1308" t="s">
        <v>2222</v>
      </c>
      <c r="F1308" t="s">
        <v>2223</v>
      </c>
      <c r="G1308" s="180">
        <v>64</v>
      </c>
      <c r="H1308">
        <v>1968</v>
      </c>
      <c r="J1308" s="1334" t="s">
        <v>475</v>
      </c>
      <c r="K1308" s="1335" t="s">
        <v>475</v>
      </c>
      <c r="L1308" s="180">
        <v>0</v>
      </c>
      <c r="M1308" t="s">
        <v>4</v>
      </c>
      <c r="N1308" t="str">
        <f t="shared" si="82"/>
        <v>HQ PMP HS AST SUPT (3783)</v>
      </c>
      <c r="O1308" t="s">
        <v>52</v>
      </c>
      <c r="P1308" t="str">
        <f t="shared" si="83"/>
        <v>18000_3783</v>
      </c>
      <c r="Q1308" s="180">
        <v>99</v>
      </c>
    </row>
    <row r="1309" spans="1:17">
      <c r="A1309" t="str">
        <f t="shared" si="80"/>
        <v>UGA_3784</v>
      </c>
      <c r="B1309" t="str">
        <f t="shared" si="81"/>
        <v>UGA_HQ PMP HS BIG WELL</v>
      </c>
      <c r="C1309" t="s">
        <v>443</v>
      </c>
      <c r="D1309" s="180" t="s">
        <v>51</v>
      </c>
      <c r="E1309" t="s">
        <v>2822</v>
      </c>
      <c r="F1309" t="s">
        <v>2823</v>
      </c>
      <c r="G1309" s="180">
        <v>124</v>
      </c>
      <c r="H1309">
        <v>1968</v>
      </c>
      <c r="J1309" s="1334" t="s">
        <v>475</v>
      </c>
      <c r="K1309" s="1335" t="s">
        <v>475</v>
      </c>
      <c r="L1309" s="180">
        <v>0</v>
      </c>
      <c r="M1309" t="s">
        <v>4</v>
      </c>
      <c r="N1309" t="str">
        <f t="shared" si="82"/>
        <v>HQ PMP HS BIG WELL (3784)</v>
      </c>
      <c r="O1309" t="s">
        <v>52</v>
      </c>
      <c r="P1309" t="str">
        <f t="shared" si="83"/>
        <v>18000_3784</v>
      </c>
      <c r="Q1309" s="180">
        <v>100</v>
      </c>
    </row>
    <row r="1310" spans="1:17">
      <c r="A1310" t="str">
        <f t="shared" si="80"/>
        <v>UGA_3785</v>
      </c>
      <c r="B1310" t="str">
        <f t="shared" si="81"/>
        <v>UGA_FRS WELL HSE 2</v>
      </c>
      <c r="C1310" t="s">
        <v>443</v>
      </c>
      <c r="D1310" s="180" t="s">
        <v>51</v>
      </c>
      <c r="E1310" t="s">
        <v>4160</v>
      </c>
      <c r="F1310" t="s">
        <v>4161</v>
      </c>
      <c r="G1310" s="180">
        <v>64</v>
      </c>
      <c r="H1310">
        <v>1968</v>
      </c>
      <c r="J1310" s="1334" t="s">
        <v>475</v>
      </c>
      <c r="K1310" s="1335" t="s">
        <v>475</v>
      </c>
      <c r="L1310" s="180">
        <v>0</v>
      </c>
      <c r="M1310" t="s">
        <v>4</v>
      </c>
      <c r="N1310" t="str">
        <f t="shared" si="82"/>
        <v>FRS WELL HSE 2 (3785)</v>
      </c>
      <c r="O1310" t="s">
        <v>52</v>
      </c>
      <c r="P1310" t="str">
        <f t="shared" si="83"/>
        <v>18000_3785</v>
      </c>
      <c r="Q1310" s="180">
        <v>100</v>
      </c>
    </row>
    <row r="1311" spans="1:17">
      <c r="A1311" t="str">
        <f t="shared" si="80"/>
        <v>UGA_3786</v>
      </c>
      <c r="B1311" t="str">
        <f t="shared" si="81"/>
        <v>UGA_GLDS WELL RED BARN</v>
      </c>
      <c r="C1311" t="s">
        <v>443</v>
      </c>
      <c r="D1311" s="180" t="s">
        <v>51</v>
      </c>
      <c r="E1311" t="s">
        <v>4427</v>
      </c>
      <c r="F1311" t="s">
        <v>4428</v>
      </c>
      <c r="G1311" s="180">
        <v>64</v>
      </c>
      <c r="H1311">
        <v>1968</v>
      </c>
      <c r="J1311" s="1334" t="s">
        <v>475</v>
      </c>
      <c r="K1311" s="1335" t="s">
        <v>475</v>
      </c>
      <c r="L1311" s="180">
        <v>0</v>
      </c>
      <c r="M1311" t="s">
        <v>4</v>
      </c>
      <c r="N1311" t="str">
        <f t="shared" si="82"/>
        <v>GLDS WELL RED BARN (3786)</v>
      </c>
      <c r="O1311" t="s">
        <v>52</v>
      </c>
      <c r="P1311" t="str">
        <f t="shared" si="83"/>
        <v>18000_3786</v>
      </c>
      <c r="Q1311" s="180">
        <v>100</v>
      </c>
    </row>
    <row r="1312" spans="1:17">
      <c r="A1312" t="str">
        <f t="shared" si="80"/>
        <v>UGA_3787</v>
      </c>
      <c r="B1312" t="str">
        <f t="shared" si="81"/>
        <v>UGA_GAR PUMP HOUSE</v>
      </c>
      <c r="C1312" t="s">
        <v>443</v>
      </c>
      <c r="D1312" s="180" t="s">
        <v>51</v>
      </c>
      <c r="E1312" t="s">
        <v>2094</v>
      </c>
      <c r="F1312" t="s">
        <v>2095</v>
      </c>
      <c r="G1312" s="180">
        <v>64</v>
      </c>
      <c r="H1312">
        <v>1968</v>
      </c>
      <c r="J1312" s="1334" t="s">
        <v>475</v>
      </c>
      <c r="K1312" s="1335" t="s">
        <v>475</v>
      </c>
      <c r="L1312" s="180">
        <v>0</v>
      </c>
      <c r="M1312" t="s">
        <v>4</v>
      </c>
      <c r="N1312" t="str">
        <f t="shared" si="82"/>
        <v>GAR PUMP HOUSE (3787)</v>
      </c>
      <c r="O1312" t="s">
        <v>52</v>
      </c>
      <c r="P1312" t="str">
        <f t="shared" si="83"/>
        <v>18000_3787</v>
      </c>
      <c r="Q1312" s="180">
        <v>100</v>
      </c>
    </row>
    <row r="1313" spans="1:17">
      <c r="A1313" t="str">
        <f t="shared" si="80"/>
        <v>UGA_3788</v>
      </c>
      <c r="B1313" t="str">
        <f t="shared" si="81"/>
        <v>UGA_GAR JOHNNYS WELL</v>
      </c>
      <c r="C1313" t="s">
        <v>443</v>
      </c>
      <c r="D1313" s="180" t="s">
        <v>51</v>
      </c>
      <c r="E1313" t="s">
        <v>4298</v>
      </c>
      <c r="F1313" t="s">
        <v>4299</v>
      </c>
      <c r="G1313" s="180">
        <v>64</v>
      </c>
      <c r="H1313">
        <v>1968</v>
      </c>
      <c r="J1313" s="1334" t="s">
        <v>475</v>
      </c>
      <c r="K1313" s="1335" t="s">
        <v>475</v>
      </c>
      <c r="L1313" s="180">
        <v>0</v>
      </c>
      <c r="M1313" t="s">
        <v>4</v>
      </c>
      <c r="N1313" t="str">
        <f t="shared" si="82"/>
        <v>GAR JOHNNYS WELL (3788)</v>
      </c>
      <c r="O1313" t="s">
        <v>52</v>
      </c>
      <c r="P1313" t="str">
        <f t="shared" si="83"/>
        <v>18000_3788</v>
      </c>
      <c r="Q1313" s="180">
        <v>93</v>
      </c>
    </row>
    <row r="1314" spans="1:17">
      <c r="A1314" t="str">
        <f t="shared" si="80"/>
        <v>UGA_3796</v>
      </c>
      <c r="B1314" t="str">
        <f t="shared" si="81"/>
        <v>UGA_TH PMP HS CORRAL</v>
      </c>
      <c r="C1314" t="s">
        <v>443</v>
      </c>
      <c r="D1314" s="180" t="s">
        <v>51</v>
      </c>
      <c r="E1314" t="s">
        <v>2432</v>
      </c>
      <c r="F1314" t="s">
        <v>2433</v>
      </c>
      <c r="G1314" s="180">
        <v>64</v>
      </c>
      <c r="H1314">
        <v>1968</v>
      </c>
      <c r="J1314" s="1334" t="s">
        <v>475</v>
      </c>
      <c r="K1314" s="1335" t="s">
        <v>475</v>
      </c>
      <c r="L1314" s="180">
        <v>0</v>
      </c>
      <c r="M1314" t="s">
        <v>4</v>
      </c>
      <c r="N1314" t="str">
        <f t="shared" si="82"/>
        <v>TH PMP HS CORRAL (3796)</v>
      </c>
      <c r="O1314" t="s">
        <v>52</v>
      </c>
      <c r="P1314" t="str">
        <f t="shared" si="83"/>
        <v>18000_3796</v>
      </c>
      <c r="Q1314" s="180">
        <v>100</v>
      </c>
    </row>
    <row r="1315" spans="1:17">
      <c r="A1315" t="str">
        <f t="shared" si="80"/>
        <v>UGA_3797</v>
      </c>
      <c r="B1315" t="str">
        <f t="shared" si="81"/>
        <v>UGA_HQ SUPERNTNDNT RES</v>
      </c>
      <c r="C1315" t="s">
        <v>443</v>
      </c>
      <c r="D1315" s="180" t="s">
        <v>51</v>
      </c>
      <c r="E1315" t="s">
        <v>3736</v>
      </c>
      <c r="F1315" t="s">
        <v>3737</v>
      </c>
      <c r="G1315" s="180">
        <v>2927</v>
      </c>
      <c r="H1315">
        <v>1989</v>
      </c>
      <c r="J1315" s="1334" t="s">
        <v>475</v>
      </c>
      <c r="K1315" s="1335" t="s">
        <v>475</v>
      </c>
      <c r="L1315" s="180">
        <v>0</v>
      </c>
      <c r="M1315" t="s">
        <v>4</v>
      </c>
      <c r="N1315" t="str">
        <f t="shared" si="82"/>
        <v>HQ SUPERNTNDNT RES (3797)</v>
      </c>
      <c r="O1315" t="s">
        <v>52</v>
      </c>
      <c r="P1315" t="str">
        <f t="shared" si="83"/>
        <v>18000_3797</v>
      </c>
      <c r="Q1315" s="180">
        <v>100</v>
      </c>
    </row>
    <row r="1316" spans="1:17">
      <c r="A1316" t="str">
        <f t="shared" si="80"/>
        <v>UGA_3798</v>
      </c>
      <c r="B1316" t="str">
        <f t="shared" si="81"/>
        <v>UGA_RCH PUMP HOUSE</v>
      </c>
      <c r="C1316" t="s">
        <v>443</v>
      </c>
      <c r="D1316" s="180" t="s">
        <v>51</v>
      </c>
      <c r="E1316" t="s">
        <v>2605</v>
      </c>
      <c r="F1316" t="s">
        <v>2606</v>
      </c>
      <c r="G1316" s="180">
        <v>48</v>
      </c>
      <c r="H1316">
        <v>1986</v>
      </c>
      <c r="J1316" s="1334" t="s">
        <v>475</v>
      </c>
      <c r="K1316" s="1335" t="s">
        <v>475</v>
      </c>
      <c r="L1316" s="180">
        <v>0</v>
      </c>
      <c r="M1316" t="s">
        <v>4</v>
      </c>
      <c r="N1316" t="str">
        <f t="shared" si="82"/>
        <v>RCH PUMP HOUSE (3798)</v>
      </c>
      <c r="O1316" t="s">
        <v>52</v>
      </c>
      <c r="P1316" t="str">
        <f t="shared" si="83"/>
        <v>18000_3798</v>
      </c>
      <c r="Q1316" s="180">
        <v>100</v>
      </c>
    </row>
    <row r="1317" spans="1:17">
      <c r="A1317" t="str">
        <f t="shared" si="80"/>
        <v>UGA_3799</v>
      </c>
      <c r="B1317" t="str">
        <f t="shared" si="81"/>
        <v>UGA_BNX PUMP HOUSE</v>
      </c>
      <c r="C1317" t="s">
        <v>443</v>
      </c>
      <c r="D1317" s="180" t="s">
        <v>51</v>
      </c>
      <c r="E1317" t="s">
        <v>2032</v>
      </c>
      <c r="F1317" t="s">
        <v>2033</v>
      </c>
      <c r="G1317" s="180">
        <v>48</v>
      </c>
      <c r="H1317">
        <v>1986</v>
      </c>
      <c r="J1317" s="1334" t="s">
        <v>475</v>
      </c>
      <c r="K1317" s="1335" t="s">
        <v>475</v>
      </c>
      <c r="L1317" s="180">
        <v>0</v>
      </c>
      <c r="M1317" t="s">
        <v>4</v>
      </c>
      <c r="N1317" t="str">
        <f t="shared" si="82"/>
        <v>BNX PUMP HOUSE (3799)</v>
      </c>
      <c r="O1317" t="s">
        <v>52</v>
      </c>
      <c r="P1317" t="str">
        <f t="shared" si="83"/>
        <v>18000_3799</v>
      </c>
      <c r="Q1317" s="180">
        <v>41</v>
      </c>
    </row>
    <row r="1318" spans="1:17">
      <c r="A1318" t="str">
        <f t="shared" si="80"/>
        <v>UGA_3801</v>
      </c>
      <c r="B1318" t="str">
        <f t="shared" si="81"/>
        <v>UGA_ADMIN BLDG</v>
      </c>
      <c r="C1318" t="s">
        <v>443</v>
      </c>
      <c r="D1318" s="180" t="s">
        <v>51</v>
      </c>
      <c r="E1318" t="s">
        <v>2009</v>
      </c>
      <c r="F1318" t="s">
        <v>2010</v>
      </c>
      <c r="G1318" s="180">
        <v>3345</v>
      </c>
      <c r="H1318">
        <v>1960</v>
      </c>
      <c r="J1318" s="1334" t="s">
        <v>475</v>
      </c>
      <c r="K1318" s="1335" t="s">
        <v>1520</v>
      </c>
      <c r="L1318" s="180">
        <v>0</v>
      </c>
      <c r="M1318" t="s">
        <v>4</v>
      </c>
      <c r="N1318" t="str">
        <f t="shared" si="82"/>
        <v>ADMIN BLDG (3801)</v>
      </c>
      <c r="O1318" t="s">
        <v>52</v>
      </c>
      <c r="P1318" t="str">
        <f t="shared" si="83"/>
        <v>18000_3801</v>
      </c>
      <c r="Q1318" s="180">
        <v>100</v>
      </c>
    </row>
    <row r="1319" spans="1:17">
      <c r="A1319" t="str">
        <f t="shared" si="80"/>
        <v>UGA_3802</v>
      </c>
      <c r="B1319" t="str">
        <f t="shared" si="81"/>
        <v>UGA_SUPT HOUSE</v>
      </c>
      <c r="C1319" t="s">
        <v>443</v>
      </c>
      <c r="D1319" s="180" t="s">
        <v>51</v>
      </c>
      <c r="E1319" t="s">
        <v>3594</v>
      </c>
      <c r="F1319" t="s">
        <v>3595</v>
      </c>
      <c r="G1319" s="180">
        <v>3340</v>
      </c>
      <c r="H1319">
        <v>1954</v>
      </c>
      <c r="J1319" s="1334" t="s">
        <v>475</v>
      </c>
      <c r="K1319" s="1335" t="s">
        <v>486</v>
      </c>
      <c r="L1319" s="180">
        <v>0</v>
      </c>
      <c r="M1319" t="s">
        <v>4</v>
      </c>
      <c r="N1319" t="str">
        <f t="shared" si="82"/>
        <v>SUPT HOUSE (3802)</v>
      </c>
      <c r="O1319" t="s">
        <v>52</v>
      </c>
      <c r="P1319" t="str">
        <f t="shared" si="83"/>
        <v>18000_3802</v>
      </c>
      <c r="Q1319" s="180">
        <v>100</v>
      </c>
    </row>
    <row r="1320" spans="1:17">
      <c r="A1320" t="str">
        <f t="shared" si="80"/>
        <v>UGA_3809</v>
      </c>
      <c r="B1320" t="str">
        <f t="shared" si="81"/>
        <v>UGA_RES WELL HOUSE 1</v>
      </c>
      <c r="C1320" t="s">
        <v>443</v>
      </c>
      <c r="D1320" s="180" t="s">
        <v>51</v>
      </c>
      <c r="E1320" t="s">
        <v>3280</v>
      </c>
      <c r="F1320" t="s">
        <v>3281</v>
      </c>
      <c r="G1320" s="180">
        <v>76</v>
      </c>
      <c r="H1320">
        <v>1952</v>
      </c>
      <c r="J1320" s="1334" t="s">
        <v>475</v>
      </c>
      <c r="K1320" s="1335" t="s">
        <v>475</v>
      </c>
      <c r="L1320" s="180">
        <v>0</v>
      </c>
      <c r="M1320" t="s">
        <v>4</v>
      </c>
      <c r="N1320" t="str">
        <f t="shared" si="82"/>
        <v>RES WELL HOUSE 1 (3809)</v>
      </c>
      <c r="O1320" t="s">
        <v>52</v>
      </c>
      <c r="P1320" t="str">
        <f t="shared" si="83"/>
        <v>18000_3809</v>
      </c>
      <c r="Q1320" s="180">
        <v>100</v>
      </c>
    </row>
    <row r="1321" spans="1:17">
      <c r="A1321" t="str">
        <f t="shared" si="80"/>
        <v>UGA_3810</v>
      </c>
      <c r="B1321" t="str">
        <f t="shared" si="81"/>
        <v>UGA_RES WELL HOUSE 2</v>
      </c>
      <c r="C1321" t="s">
        <v>443</v>
      </c>
      <c r="D1321" s="180" t="s">
        <v>51</v>
      </c>
      <c r="E1321" t="s">
        <v>3452</v>
      </c>
      <c r="F1321" t="s">
        <v>3453</v>
      </c>
      <c r="G1321" s="180">
        <v>76</v>
      </c>
      <c r="H1321">
        <v>1957</v>
      </c>
      <c r="J1321" s="1334" t="s">
        <v>475</v>
      </c>
      <c r="K1321" s="1335" t="s">
        <v>475</v>
      </c>
      <c r="L1321" s="180">
        <v>0</v>
      </c>
      <c r="M1321" t="s">
        <v>4</v>
      </c>
      <c r="N1321" t="str">
        <f t="shared" si="82"/>
        <v>RES WELL HOUSE 2 (3810)</v>
      </c>
      <c r="O1321" t="s">
        <v>52</v>
      </c>
      <c r="P1321" t="str">
        <f t="shared" si="83"/>
        <v>18000_3810</v>
      </c>
      <c r="Q1321" s="180">
        <v>100</v>
      </c>
    </row>
    <row r="1322" spans="1:17">
      <c r="A1322" t="str">
        <f t="shared" si="80"/>
        <v>UGA_3811</v>
      </c>
      <c r="B1322" t="str">
        <f t="shared" si="81"/>
        <v>UGA_OLD OFF BLDG SEGB</v>
      </c>
      <c r="C1322" t="s">
        <v>443</v>
      </c>
      <c r="D1322" s="180" t="s">
        <v>51</v>
      </c>
      <c r="E1322" t="s">
        <v>3032</v>
      </c>
      <c r="F1322" t="s">
        <v>3033</v>
      </c>
      <c r="G1322" s="180">
        <v>914</v>
      </c>
      <c r="H1322">
        <v>1952</v>
      </c>
      <c r="J1322" s="1334" t="s">
        <v>475</v>
      </c>
      <c r="K1322" s="1335" t="s">
        <v>481</v>
      </c>
      <c r="L1322" s="180">
        <v>0</v>
      </c>
      <c r="M1322" t="s">
        <v>4</v>
      </c>
      <c r="N1322" t="str">
        <f t="shared" si="82"/>
        <v>OLD OFF BLDG SEGB (3811)</v>
      </c>
      <c r="O1322" t="s">
        <v>52</v>
      </c>
      <c r="P1322" t="str">
        <f t="shared" si="83"/>
        <v>18000_3811</v>
      </c>
      <c r="Q1322" s="180">
        <v>100</v>
      </c>
    </row>
    <row r="1323" spans="1:17">
      <c r="A1323" t="str">
        <f t="shared" si="80"/>
        <v>UGA_3815</v>
      </c>
      <c r="B1323" t="str">
        <f t="shared" si="81"/>
        <v>UGA_METAL STORAGE BLDG</v>
      </c>
      <c r="C1323" t="s">
        <v>443</v>
      </c>
      <c r="D1323" s="180" t="s">
        <v>51</v>
      </c>
      <c r="E1323" t="s">
        <v>3227</v>
      </c>
      <c r="F1323" t="s">
        <v>2035</v>
      </c>
      <c r="G1323" s="180">
        <v>5469</v>
      </c>
      <c r="H1323">
        <v>1957</v>
      </c>
      <c r="J1323" s="1334" t="s">
        <v>475</v>
      </c>
      <c r="K1323" s="1335" t="s">
        <v>475</v>
      </c>
      <c r="L1323" s="180">
        <v>0</v>
      </c>
      <c r="M1323" t="s">
        <v>4</v>
      </c>
      <c r="N1323" t="str">
        <f t="shared" si="82"/>
        <v>METAL STORAGE BLDG (3815)</v>
      </c>
      <c r="O1323" t="s">
        <v>52</v>
      </c>
      <c r="P1323" t="str">
        <f t="shared" si="83"/>
        <v>18000_3815</v>
      </c>
      <c r="Q1323" s="180">
        <v>100</v>
      </c>
    </row>
    <row r="1324" spans="1:17">
      <c r="A1324" t="str">
        <f t="shared" si="80"/>
        <v>UGA_3816</v>
      </c>
      <c r="B1324" t="str">
        <f t="shared" si="81"/>
        <v>UGA_MACHINERY SHED</v>
      </c>
      <c r="C1324" t="s">
        <v>443</v>
      </c>
      <c r="D1324" s="180" t="s">
        <v>51</v>
      </c>
      <c r="E1324" t="s">
        <v>7042</v>
      </c>
      <c r="F1324" t="s">
        <v>7145</v>
      </c>
      <c r="G1324" s="180">
        <v>4500</v>
      </c>
      <c r="H1324">
        <v>1960</v>
      </c>
      <c r="J1324" s="1334" t="s">
        <v>475</v>
      </c>
      <c r="K1324" s="1335" t="s">
        <v>475</v>
      </c>
      <c r="L1324" s="180">
        <v>0</v>
      </c>
      <c r="M1324" t="s">
        <v>4</v>
      </c>
      <c r="N1324" t="str">
        <f t="shared" si="82"/>
        <v>MACHINERY SHED (3816)</v>
      </c>
      <c r="O1324" t="s">
        <v>52</v>
      </c>
      <c r="P1324" t="str">
        <f t="shared" si="83"/>
        <v>18000_3816</v>
      </c>
      <c r="Q1324" s="180">
        <v>100</v>
      </c>
    </row>
    <row r="1325" spans="1:17">
      <c r="A1325" t="str">
        <f t="shared" si="80"/>
        <v>UGA_3820</v>
      </c>
      <c r="B1325" t="str">
        <f t="shared" si="81"/>
        <v>UGA_FEED MILL</v>
      </c>
      <c r="C1325" t="s">
        <v>443</v>
      </c>
      <c r="D1325" s="180" t="s">
        <v>51</v>
      </c>
      <c r="E1325" t="s">
        <v>2886</v>
      </c>
      <c r="F1325" t="s">
        <v>2887</v>
      </c>
      <c r="G1325" s="180">
        <v>2891</v>
      </c>
      <c r="H1325">
        <v>1962</v>
      </c>
      <c r="J1325" s="1334" t="s">
        <v>475</v>
      </c>
      <c r="K1325" s="1335" t="s">
        <v>475</v>
      </c>
      <c r="L1325" s="180">
        <v>0</v>
      </c>
      <c r="M1325" t="s">
        <v>4</v>
      </c>
      <c r="N1325" t="str">
        <f t="shared" si="82"/>
        <v>FEED MILL (3820)</v>
      </c>
      <c r="O1325" t="s">
        <v>52</v>
      </c>
      <c r="P1325" t="str">
        <f t="shared" si="83"/>
        <v>18000_3820</v>
      </c>
      <c r="Q1325" s="180">
        <v>100</v>
      </c>
    </row>
    <row r="1326" spans="1:17">
      <c r="A1326" t="str">
        <f t="shared" si="80"/>
        <v>UGA_3823</v>
      </c>
      <c r="B1326" t="str">
        <f t="shared" si="81"/>
        <v>UGA_HERDSMAN'S HOUSE</v>
      </c>
      <c r="C1326" t="s">
        <v>443</v>
      </c>
      <c r="D1326" s="180" t="s">
        <v>51</v>
      </c>
      <c r="E1326" t="s">
        <v>3078</v>
      </c>
      <c r="F1326" t="s">
        <v>3079</v>
      </c>
      <c r="G1326" s="180">
        <v>1732</v>
      </c>
      <c r="H1326">
        <v>1952</v>
      </c>
      <c r="J1326" s="1334" t="s">
        <v>475</v>
      </c>
      <c r="K1326" s="1335" t="s">
        <v>1520</v>
      </c>
      <c r="L1326" s="180">
        <v>0</v>
      </c>
      <c r="M1326" t="s">
        <v>4</v>
      </c>
      <c r="N1326" t="str">
        <f t="shared" si="82"/>
        <v>HERDSMAN'S HOUSE (3823)</v>
      </c>
      <c r="O1326" t="s">
        <v>52</v>
      </c>
      <c r="P1326" t="str">
        <f t="shared" si="83"/>
        <v>18000_3823</v>
      </c>
      <c r="Q1326" s="180">
        <v>100</v>
      </c>
    </row>
    <row r="1327" spans="1:17">
      <c r="A1327" t="str">
        <f t="shared" si="80"/>
        <v>UGA_3827</v>
      </c>
      <c r="B1327" t="str">
        <f t="shared" si="81"/>
        <v>UGA_PESTICIDE STOR</v>
      </c>
      <c r="C1327" t="s">
        <v>443</v>
      </c>
      <c r="D1327" s="180" t="s">
        <v>51</v>
      </c>
      <c r="E1327" t="s">
        <v>3531</v>
      </c>
      <c r="F1327" t="s">
        <v>2889</v>
      </c>
      <c r="G1327" s="180">
        <v>2240</v>
      </c>
      <c r="H1327">
        <v>1976</v>
      </c>
      <c r="J1327" s="1334" t="s">
        <v>475</v>
      </c>
      <c r="K1327" s="1335" t="s">
        <v>486</v>
      </c>
      <c r="L1327" s="180">
        <v>0</v>
      </c>
      <c r="M1327" t="s">
        <v>4</v>
      </c>
      <c r="N1327" t="str">
        <f t="shared" si="82"/>
        <v>PESTICIDE STOR (3827)</v>
      </c>
      <c r="O1327" t="s">
        <v>52</v>
      </c>
      <c r="P1327" t="str">
        <f t="shared" si="83"/>
        <v>18000_3827</v>
      </c>
      <c r="Q1327" s="180">
        <v>100</v>
      </c>
    </row>
    <row r="1328" spans="1:17">
      <c r="A1328" t="str">
        <f t="shared" si="80"/>
        <v>UGA_3830</v>
      </c>
      <c r="B1328" t="str">
        <f t="shared" si="81"/>
        <v>UGA_METAL STORAGE BLDG</v>
      </c>
      <c r="C1328" t="s">
        <v>443</v>
      </c>
      <c r="D1328" s="180" t="s">
        <v>51</v>
      </c>
      <c r="E1328" t="s">
        <v>2034</v>
      </c>
      <c r="F1328" t="s">
        <v>2035</v>
      </c>
      <c r="G1328" s="180">
        <v>6000</v>
      </c>
      <c r="H1328">
        <v>1994</v>
      </c>
      <c r="J1328" s="1334" t="s">
        <v>475</v>
      </c>
      <c r="K1328" s="1335" t="s">
        <v>475</v>
      </c>
      <c r="L1328" s="180">
        <v>0</v>
      </c>
      <c r="M1328" t="s">
        <v>4</v>
      </c>
      <c r="N1328" t="str">
        <f t="shared" si="82"/>
        <v>METAL STORAGE BLDG (3830)</v>
      </c>
      <c r="O1328" t="s">
        <v>52</v>
      </c>
      <c r="P1328" t="str">
        <f t="shared" si="83"/>
        <v>18000_3830</v>
      </c>
      <c r="Q1328" s="180">
        <v>100</v>
      </c>
    </row>
    <row r="1329" spans="1:17">
      <c r="A1329" t="str">
        <f t="shared" si="80"/>
        <v>UGA_3831</v>
      </c>
      <c r="B1329" t="str">
        <f t="shared" si="81"/>
        <v>UGA_60 HP PUMP</v>
      </c>
      <c r="C1329" t="s">
        <v>443</v>
      </c>
      <c r="D1329" s="180" t="s">
        <v>51</v>
      </c>
      <c r="E1329" t="s">
        <v>1765</v>
      </c>
      <c r="F1329" t="s">
        <v>1766</v>
      </c>
      <c r="G1329" s="180">
        <v>120</v>
      </c>
      <c r="H1329">
        <v>1997</v>
      </c>
      <c r="J1329" s="1334" t="s">
        <v>475</v>
      </c>
      <c r="K1329" s="1335" t="s">
        <v>475</v>
      </c>
      <c r="L1329" s="180">
        <v>0</v>
      </c>
      <c r="M1329" t="s">
        <v>4</v>
      </c>
      <c r="N1329" t="str">
        <f t="shared" si="82"/>
        <v>60 HP PUMP (3831)</v>
      </c>
      <c r="O1329" t="s">
        <v>52</v>
      </c>
      <c r="P1329" t="str">
        <f t="shared" si="83"/>
        <v>18000_3831</v>
      </c>
      <c r="Q1329" s="180">
        <v>100</v>
      </c>
    </row>
    <row r="1330" spans="1:17">
      <c r="A1330" t="str">
        <f t="shared" si="80"/>
        <v>UGA_3841</v>
      </c>
      <c r="B1330" t="str">
        <f t="shared" si="81"/>
        <v>UGA_GLDS REDFIELD WELL</v>
      </c>
      <c r="C1330" t="s">
        <v>443</v>
      </c>
      <c r="D1330" s="180" t="s">
        <v>51</v>
      </c>
      <c r="E1330" t="s">
        <v>4316</v>
      </c>
      <c r="F1330" t="s">
        <v>4317</v>
      </c>
      <c r="G1330" s="180">
        <v>40</v>
      </c>
      <c r="H1330">
        <v>2001</v>
      </c>
      <c r="J1330" s="1334" t="s">
        <v>475</v>
      </c>
      <c r="K1330" s="1335" t="s">
        <v>475</v>
      </c>
      <c r="L1330" s="180">
        <v>0</v>
      </c>
      <c r="M1330" t="s">
        <v>4</v>
      </c>
      <c r="N1330" t="str">
        <f t="shared" si="82"/>
        <v>GLDS REDFIELD WELL (3841)</v>
      </c>
      <c r="O1330" t="s">
        <v>52</v>
      </c>
      <c r="P1330" t="str">
        <f t="shared" si="83"/>
        <v>18000_3841</v>
      </c>
      <c r="Q1330" s="180">
        <v>0</v>
      </c>
    </row>
    <row r="1331" spans="1:17">
      <c r="A1331" t="str">
        <f t="shared" si="80"/>
        <v>UGA_3847</v>
      </c>
      <c r="B1331" t="str">
        <f t="shared" si="81"/>
        <v>UGA_MTL STRG BLDG 2014</v>
      </c>
      <c r="C1331" t="s">
        <v>443</v>
      </c>
      <c r="D1331" s="180" t="s">
        <v>51</v>
      </c>
      <c r="E1331" t="s">
        <v>1458</v>
      </c>
      <c r="F1331" t="s">
        <v>1459</v>
      </c>
      <c r="G1331" s="180">
        <v>8000</v>
      </c>
      <c r="H1331">
        <v>2014</v>
      </c>
      <c r="J1331" s="1334" t="s">
        <v>475</v>
      </c>
      <c r="K1331" s="1335" t="s">
        <v>475</v>
      </c>
      <c r="L1331" s="180">
        <v>0</v>
      </c>
      <c r="M1331" t="s">
        <v>4</v>
      </c>
      <c r="N1331" t="str">
        <f t="shared" si="82"/>
        <v>MTL STRG BLDG 2014 (3847)</v>
      </c>
      <c r="O1331" t="s">
        <v>52</v>
      </c>
      <c r="P1331" t="str">
        <f t="shared" si="83"/>
        <v>18000_3847</v>
      </c>
      <c r="Q1331" s="180">
        <v>0</v>
      </c>
    </row>
    <row r="1332" spans="1:17">
      <c r="A1332" t="str">
        <f t="shared" si="80"/>
        <v>UGA_3851</v>
      </c>
      <c r="B1332" t="str">
        <f t="shared" si="81"/>
        <v>UGA_LOYD RESIDENCE</v>
      </c>
      <c r="C1332" t="s">
        <v>443</v>
      </c>
      <c r="D1332" s="180" t="s">
        <v>51</v>
      </c>
      <c r="E1332" t="s">
        <v>1833</v>
      </c>
      <c r="F1332" t="s">
        <v>1834</v>
      </c>
      <c r="G1332" s="180">
        <v>3200</v>
      </c>
      <c r="H1332">
        <v>1810</v>
      </c>
      <c r="J1332" s="1334" t="s">
        <v>475</v>
      </c>
      <c r="K1332" s="1335" t="s">
        <v>481</v>
      </c>
      <c r="L1332" s="180">
        <v>0</v>
      </c>
      <c r="M1332" t="s">
        <v>4</v>
      </c>
      <c r="N1332" t="str">
        <f t="shared" si="82"/>
        <v>LOYD RESIDENCE (3851)</v>
      </c>
      <c r="O1332" t="s">
        <v>52</v>
      </c>
      <c r="P1332" t="str">
        <f t="shared" si="83"/>
        <v>18000_3851</v>
      </c>
      <c r="Q1332" s="180">
        <v>100</v>
      </c>
    </row>
    <row r="1333" spans="1:17">
      <c r="A1333" t="str">
        <f t="shared" si="80"/>
        <v>UGA_3852</v>
      </c>
      <c r="B1333" t="str">
        <f t="shared" si="81"/>
        <v>UGA_LOYD GARAGE</v>
      </c>
      <c r="C1333" t="s">
        <v>443</v>
      </c>
      <c r="D1333" s="180" t="s">
        <v>51</v>
      </c>
      <c r="E1333" t="s">
        <v>1671</v>
      </c>
      <c r="F1333" t="s">
        <v>1672</v>
      </c>
      <c r="G1333" s="180">
        <v>1000</v>
      </c>
      <c r="H1333">
        <v>1980</v>
      </c>
      <c r="J1333" s="1334" t="s">
        <v>475</v>
      </c>
      <c r="K1333" s="1335" t="s">
        <v>481</v>
      </c>
      <c r="L1333" s="180">
        <v>0</v>
      </c>
      <c r="M1333" t="s">
        <v>4</v>
      </c>
      <c r="N1333" t="str">
        <f t="shared" si="82"/>
        <v>LOYD GARAGE (3852)</v>
      </c>
      <c r="O1333" t="s">
        <v>52</v>
      </c>
      <c r="P1333" t="str">
        <f t="shared" si="83"/>
        <v>18000_3852</v>
      </c>
      <c r="Q1333" s="180">
        <v>100</v>
      </c>
    </row>
    <row r="1334" spans="1:17">
      <c r="A1334" t="str">
        <f t="shared" si="80"/>
        <v>UGA_3875</v>
      </c>
      <c r="B1334" t="str">
        <f t="shared" si="81"/>
        <v>UGA_GLDS MTL HAY SHD 1</v>
      </c>
      <c r="C1334" t="s">
        <v>443</v>
      </c>
      <c r="D1334" s="180" t="s">
        <v>51</v>
      </c>
      <c r="E1334" t="s">
        <v>3557</v>
      </c>
      <c r="F1334" t="s">
        <v>3558</v>
      </c>
      <c r="G1334" s="180">
        <v>5000</v>
      </c>
      <c r="H1334">
        <v>2001</v>
      </c>
      <c r="J1334" s="1334" t="s">
        <v>475</v>
      </c>
      <c r="K1334" s="1335" t="s">
        <v>475</v>
      </c>
      <c r="L1334" s="180">
        <v>0</v>
      </c>
      <c r="M1334" t="s">
        <v>4</v>
      </c>
      <c r="N1334" t="str">
        <f t="shared" si="82"/>
        <v>GLDS MTL HAY SHD 1 (3875)</v>
      </c>
      <c r="O1334" t="s">
        <v>52</v>
      </c>
      <c r="P1334" t="str">
        <f t="shared" si="83"/>
        <v>18000_3875</v>
      </c>
      <c r="Q1334" s="180">
        <v>0</v>
      </c>
    </row>
    <row r="1335" spans="1:17">
      <c r="A1335" t="str">
        <f t="shared" si="80"/>
        <v>UGA_3876</v>
      </c>
      <c r="B1335" t="str">
        <f t="shared" si="81"/>
        <v>UGA_GLDS MTL HAY SHD 2</v>
      </c>
      <c r="C1335" t="s">
        <v>443</v>
      </c>
      <c r="D1335" s="180" t="s">
        <v>51</v>
      </c>
      <c r="E1335" t="s">
        <v>1767</v>
      </c>
      <c r="F1335" t="s">
        <v>1768</v>
      </c>
      <c r="G1335" s="180">
        <v>5000</v>
      </c>
      <c r="H1335">
        <v>2001</v>
      </c>
      <c r="J1335" s="1334" t="s">
        <v>475</v>
      </c>
      <c r="K1335" s="1335" t="s">
        <v>475</v>
      </c>
      <c r="L1335" s="180">
        <v>0</v>
      </c>
      <c r="M1335" t="s">
        <v>4</v>
      </c>
      <c r="N1335" t="str">
        <f t="shared" si="82"/>
        <v>GLDS MTL HAY SHD 2 (3876)</v>
      </c>
      <c r="O1335" t="s">
        <v>52</v>
      </c>
      <c r="P1335" t="str">
        <f t="shared" si="83"/>
        <v>18000_3876</v>
      </c>
      <c r="Q1335" s="180">
        <v>100</v>
      </c>
    </row>
    <row r="1336" spans="1:17">
      <c r="A1336" t="str">
        <f t="shared" si="80"/>
        <v>UGA_3877</v>
      </c>
      <c r="B1336" t="str">
        <f t="shared" si="81"/>
        <v>UGA_TH PMP HS RED BARN</v>
      </c>
      <c r="C1336" t="s">
        <v>443</v>
      </c>
      <c r="D1336" s="180" t="s">
        <v>51</v>
      </c>
      <c r="E1336" t="s">
        <v>2824</v>
      </c>
      <c r="F1336" t="s">
        <v>2825</v>
      </c>
      <c r="G1336" s="180">
        <v>48</v>
      </c>
      <c r="H1336">
        <v>2001</v>
      </c>
      <c r="J1336" s="1334" t="s">
        <v>475</v>
      </c>
      <c r="K1336" s="1335" t="s">
        <v>475</v>
      </c>
      <c r="L1336" s="180">
        <v>0</v>
      </c>
      <c r="M1336" t="s">
        <v>4</v>
      </c>
      <c r="N1336" t="str">
        <f t="shared" si="82"/>
        <v>TH PMP HS RED BARN (3877)</v>
      </c>
      <c r="O1336" t="s">
        <v>52</v>
      </c>
      <c r="P1336" t="str">
        <f t="shared" si="83"/>
        <v>18000_3877</v>
      </c>
      <c r="Q1336" s="180">
        <v>100</v>
      </c>
    </row>
    <row r="1337" spans="1:17">
      <c r="A1337" t="str">
        <f t="shared" si="80"/>
        <v>UGA_3878</v>
      </c>
      <c r="B1337" t="str">
        <f t="shared" si="81"/>
        <v>UGA_TH CORRAL</v>
      </c>
      <c r="C1337" t="s">
        <v>443</v>
      </c>
      <c r="D1337" s="180" t="s">
        <v>51</v>
      </c>
      <c r="E1337" t="s">
        <v>3454</v>
      </c>
      <c r="F1337" t="s">
        <v>3455</v>
      </c>
      <c r="G1337" s="180">
        <v>1393</v>
      </c>
      <c r="H1337">
        <v>1988</v>
      </c>
      <c r="J1337" s="1334" t="s">
        <v>475</v>
      </c>
      <c r="K1337" s="1335" t="s">
        <v>475</v>
      </c>
      <c r="L1337" s="180">
        <v>0</v>
      </c>
      <c r="M1337" t="s">
        <v>4</v>
      </c>
      <c r="N1337" t="str">
        <f t="shared" si="82"/>
        <v>TH CORRAL (3878)</v>
      </c>
      <c r="O1337" t="s">
        <v>52</v>
      </c>
      <c r="P1337" t="str">
        <f t="shared" si="83"/>
        <v>18000_3878</v>
      </c>
      <c r="Q1337" s="180">
        <v>100</v>
      </c>
    </row>
    <row r="1338" spans="1:17">
      <c r="A1338" t="str">
        <f t="shared" si="80"/>
        <v>UGA_3881</v>
      </c>
      <c r="B1338" t="str">
        <f t="shared" si="81"/>
        <v>UGA_RCH CORRAL</v>
      </c>
      <c r="C1338" t="s">
        <v>443</v>
      </c>
      <c r="D1338" s="180" t="s">
        <v>51</v>
      </c>
      <c r="E1338" t="s">
        <v>3388</v>
      </c>
      <c r="F1338" t="s">
        <v>3389</v>
      </c>
      <c r="G1338" s="180">
        <v>640</v>
      </c>
      <c r="H1338">
        <v>1987</v>
      </c>
      <c r="J1338" s="1334" t="s">
        <v>475</v>
      </c>
      <c r="K1338" s="1335" t="s">
        <v>475</v>
      </c>
      <c r="L1338" s="180">
        <v>0</v>
      </c>
      <c r="M1338" t="s">
        <v>4</v>
      </c>
      <c r="N1338" t="str">
        <f t="shared" si="82"/>
        <v>RCH CORRAL (3881)</v>
      </c>
      <c r="O1338" t="s">
        <v>52</v>
      </c>
      <c r="P1338" t="str">
        <f t="shared" si="83"/>
        <v>18000_3881</v>
      </c>
      <c r="Q1338" s="180">
        <v>100</v>
      </c>
    </row>
    <row r="1339" spans="1:17">
      <c r="A1339" t="str">
        <f t="shared" si="80"/>
        <v>UGA_3901</v>
      </c>
      <c r="B1339" t="str">
        <f t="shared" si="81"/>
        <v>UGA_OLD OFF BLDG SWGB</v>
      </c>
      <c r="C1339" t="s">
        <v>443</v>
      </c>
      <c r="D1339" s="180" t="s">
        <v>51</v>
      </c>
      <c r="E1339" t="s">
        <v>3456</v>
      </c>
      <c r="F1339" t="s">
        <v>3457</v>
      </c>
      <c r="G1339" s="180">
        <v>867</v>
      </c>
      <c r="H1339">
        <v>1954</v>
      </c>
      <c r="J1339" s="1334" t="s">
        <v>475</v>
      </c>
      <c r="K1339" s="1335" t="s">
        <v>1520</v>
      </c>
      <c r="L1339" s="180">
        <v>0</v>
      </c>
      <c r="M1339" t="s">
        <v>4</v>
      </c>
      <c r="N1339" t="str">
        <f t="shared" si="82"/>
        <v>OLD OFF BLDG SWGB (3901)</v>
      </c>
      <c r="O1339" t="s">
        <v>52</v>
      </c>
      <c r="P1339" t="str">
        <f t="shared" si="83"/>
        <v>18000_3901</v>
      </c>
      <c r="Q1339" s="180">
        <v>100</v>
      </c>
    </row>
    <row r="1340" spans="1:17">
      <c r="A1340" t="str">
        <f t="shared" si="80"/>
        <v>UGA_3902</v>
      </c>
      <c r="B1340" t="str">
        <f t="shared" si="81"/>
        <v>UGA_DWELLING 1</v>
      </c>
      <c r="C1340" t="s">
        <v>443</v>
      </c>
      <c r="D1340" s="180" t="s">
        <v>51</v>
      </c>
      <c r="E1340" t="s">
        <v>3458</v>
      </c>
      <c r="F1340" t="s">
        <v>3459</v>
      </c>
      <c r="G1340" s="180">
        <v>2164</v>
      </c>
      <c r="H1340">
        <v>1954</v>
      </c>
      <c r="J1340" s="1334" t="s">
        <v>475</v>
      </c>
      <c r="K1340" s="1335" t="s">
        <v>475</v>
      </c>
      <c r="L1340" s="180">
        <v>0</v>
      </c>
      <c r="M1340" t="s">
        <v>4</v>
      </c>
      <c r="N1340" t="str">
        <f t="shared" si="82"/>
        <v>DWELLING 1 (3902)</v>
      </c>
      <c r="O1340" t="s">
        <v>52</v>
      </c>
      <c r="P1340" t="str">
        <f t="shared" si="83"/>
        <v>18000_3902</v>
      </c>
      <c r="Q1340" s="180">
        <v>100</v>
      </c>
    </row>
    <row r="1341" spans="1:17">
      <c r="A1341" t="str">
        <f t="shared" si="80"/>
        <v>UGA_3903</v>
      </c>
      <c r="B1341" t="str">
        <f t="shared" si="81"/>
        <v>UGA_DWELLING 2</v>
      </c>
      <c r="C1341" t="s">
        <v>443</v>
      </c>
      <c r="D1341" s="180" t="s">
        <v>51</v>
      </c>
      <c r="E1341" t="s">
        <v>1543</v>
      </c>
      <c r="F1341" t="s">
        <v>1544</v>
      </c>
      <c r="G1341" s="180">
        <v>1185</v>
      </c>
      <c r="H1341">
        <v>1954</v>
      </c>
      <c r="J1341" s="1334" t="s">
        <v>475</v>
      </c>
      <c r="K1341" s="1335" t="s">
        <v>1520</v>
      </c>
      <c r="L1341" s="180">
        <v>0</v>
      </c>
      <c r="M1341" t="s">
        <v>4</v>
      </c>
      <c r="N1341" t="str">
        <f t="shared" si="82"/>
        <v>DWELLING 2 (3903)</v>
      </c>
      <c r="O1341" t="s">
        <v>52</v>
      </c>
      <c r="P1341" t="str">
        <f t="shared" si="83"/>
        <v>18000_3903</v>
      </c>
      <c r="Q1341" s="180">
        <v>100</v>
      </c>
    </row>
    <row r="1342" spans="1:17">
      <c r="A1342" t="str">
        <f t="shared" si="80"/>
        <v>UGA_3904</v>
      </c>
      <c r="B1342" t="str">
        <f t="shared" si="81"/>
        <v>UGA_DWELLING 3</v>
      </c>
      <c r="C1342" t="s">
        <v>443</v>
      </c>
      <c r="D1342" s="180" t="s">
        <v>51</v>
      </c>
      <c r="E1342" t="s">
        <v>3532</v>
      </c>
      <c r="F1342" t="s">
        <v>3533</v>
      </c>
      <c r="G1342" s="180">
        <v>1356</v>
      </c>
      <c r="H1342">
        <v>1960</v>
      </c>
      <c r="J1342" s="1334" t="s">
        <v>475</v>
      </c>
      <c r="K1342" s="1335" t="s">
        <v>475</v>
      </c>
      <c r="L1342" s="180">
        <v>0</v>
      </c>
      <c r="M1342" t="s">
        <v>4</v>
      </c>
      <c r="N1342" t="str">
        <f t="shared" si="82"/>
        <v>DWELLING 3 (3904)</v>
      </c>
      <c r="O1342" t="s">
        <v>52</v>
      </c>
      <c r="P1342" t="str">
        <f t="shared" si="83"/>
        <v>18000_3904</v>
      </c>
      <c r="Q1342" s="180">
        <v>0</v>
      </c>
    </row>
    <row r="1343" spans="1:17">
      <c r="A1343" t="str">
        <f t="shared" si="80"/>
        <v>UGA_3905</v>
      </c>
      <c r="B1343" t="str">
        <f t="shared" si="81"/>
        <v>UGA_BLOCK HOUSE STOR</v>
      </c>
      <c r="C1343" t="s">
        <v>443</v>
      </c>
      <c r="D1343" s="180" t="s">
        <v>51</v>
      </c>
      <c r="E1343" t="s">
        <v>3218</v>
      </c>
      <c r="F1343" t="s">
        <v>1744</v>
      </c>
      <c r="G1343" s="180">
        <v>1396</v>
      </c>
      <c r="H1343">
        <v>1962</v>
      </c>
      <c r="J1343" s="1334" t="s">
        <v>475</v>
      </c>
      <c r="K1343" s="1335" t="s">
        <v>1520</v>
      </c>
      <c r="L1343" s="180">
        <v>0</v>
      </c>
      <c r="M1343" t="s">
        <v>4</v>
      </c>
      <c r="N1343" t="str">
        <f t="shared" si="82"/>
        <v>BLOCK HOUSE STOR (3905)</v>
      </c>
      <c r="O1343" t="s">
        <v>52</v>
      </c>
      <c r="P1343" t="str">
        <f t="shared" si="83"/>
        <v>18000_3905</v>
      </c>
      <c r="Q1343" s="180">
        <v>59</v>
      </c>
    </row>
    <row r="1344" spans="1:17">
      <c r="A1344" t="str">
        <f t="shared" si="80"/>
        <v>UGA_3906</v>
      </c>
      <c r="B1344" t="str">
        <f t="shared" si="81"/>
        <v>UGA_BLOCK HOUSE STOR</v>
      </c>
      <c r="C1344" t="s">
        <v>443</v>
      </c>
      <c r="D1344" s="180" t="s">
        <v>51</v>
      </c>
      <c r="E1344" t="s">
        <v>1743</v>
      </c>
      <c r="F1344" t="s">
        <v>1744</v>
      </c>
      <c r="G1344" s="180">
        <v>724</v>
      </c>
      <c r="H1344">
        <v>1962</v>
      </c>
      <c r="J1344" s="1334" t="s">
        <v>475</v>
      </c>
      <c r="K1344" s="1335" t="s">
        <v>1520</v>
      </c>
      <c r="L1344" s="180">
        <v>0</v>
      </c>
      <c r="M1344" t="s">
        <v>4</v>
      </c>
      <c r="N1344" t="str">
        <f t="shared" si="82"/>
        <v>BLOCK HOUSE STOR (3906)</v>
      </c>
      <c r="O1344" t="s">
        <v>52</v>
      </c>
      <c r="P1344" t="str">
        <f t="shared" si="83"/>
        <v>18000_3906</v>
      </c>
      <c r="Q1344" s="180">
        <v>98</v>
      </c>
    </row>
    <row r="1345" spans="1:17">
      <c r="A1345" t="str">
        <f t="shared" si="80"/>
        <v>UGA_3917</v>
      </c>
      <c r="B1345" t="str">
        <f t="shared" si="81"/>
        <v>UGA_REFRIGERATION STO</v>
      </c>
      <c r="C1345" t="s">
        <v>443</v>
      </c>
      <c r="D1345" s="180" t="s">
        <v>51</v>
      </c>
      <c r="E1345" t="s">
        <v>2300</v>
      </c>
      <c r="F1345" t="s">
        <v>2301</v>
      </c>
      <c r="G1345" s="180">
        <v>1380</v>
      </c>
      <c r="H1345">
        <v>1958</v>
      </c>
      <c r="J1345" s="1334" t="s">
        <v>475</v>
      </c>
      <c r="K1345" s="1335" t="s">
        <v>475</v>
      </c>
      <c r="L1345" s="180">
        <v>0</v>
      </c>
      <c r="M1345" t="s">
        <v>4</v>
      </c>
      <c r="N1345" t="str">
        <f t="shared" si="82"/>
        <v>REFRIGERATION STO (3917)</v>
      </c>
      <c r="O1345" t="s">
        <v>52</v>
      </c>
      <c r="P1345" t="str">
        <f t="shared" si="83"/>
        <v>18000_3917</v>
      </c>
      <c r="Q1345" s="180">
        <v>34</v>
      </c>
    </row>
    <row r="1346" spans="1:17">
      <c r="A1346" t="str">
        <f t="shared" si="80"/>
        <v>UGA_3919</v>
      </c>
      <c r="B1346" t="str">
        <f t="shared" si="81"/>
        <v>UGA_MACHINE SHED 2</v>
      </c>
      <c r="C1346" t="s">
        <v>443</v>
      </c>
      <c r="D1346" s="180" t="s">
        <v>51</v>
      </c>
      <c r="E1346" t="s">
        <v>1673</v>
      </c>
      <c r="F1346" t="s">
        <v>1674</v>
      </c>
      <c r="G1346" s="180">
        <v>4027</v>
      </c>
      <c r="H1346">
        <v>1958</v>
      </c>
      <c r="J1346" s="1334" t="s">
        <v>475</v>
      </c>
      <c r="K1346" s="1335" t="s">
        <v>475</v>
      </c>
      <c r="L1346" s="180">
        <v>0</v>
      </c>
      <c r="M1346" t="s">
        <v>4</v>
      </c>
      <c r="N1346" t="str">
        <f t="shared" si="82"/>
        <v>MACHINE SHED 2 (3919)</v>
      </c>
      <c r="O1346" t="s">
        <v>52</v>
      </c>
      <c r="P1346" t="str">
        <f t="shared" si="83"/>
        <v>18000_3919</v>
      </c>
      <c r="Q1346" s="180">
        <v>0</v>
      </c>
    </row>
    <row r="1347" spans="1:17">
      <c r="A1347" t="str">
        <f t="shared" ref="A1347:A1410" si="84">_xlfn.CONCAT(D1347,"_",E1347)</f>
        <v>UGA_3920</v>
      </c>
      <c r="B1347" t="str">
        <f t="shared" ref="B1347:B1410" si="85">_xlfn.CONCAT(D1347,"_",F1347)</f>
        <v>UGA_MACHINE SHED 3</v>
      </c>
      <c r="C1347" t="s">
        <v>443</v>
      </c>
      <c r="D1347" s="180" t="s">
        <v>51</v>
      </c>
      <c r="E1347" t="s">
        <v>3460</v>
      </c>
      <c r="F1347" t="s">
        <v>3461</v>
      </c>
      <c r="G1347" s="180">
        <v>1218</v>
      </c>
      <c r="H1347">
        <v>1967</v>
      </c>
      <c r="J1347" s="1334" t="s">
        <v>475</v>
      </c>
      <c r="K1347" s="1335" t="s">
        <v>475</v>
      </c>
      <c r="L1347" s="180">
        <v>0</v>
      </c>
      <c r="M1347" t="s">
        <v>4</v>
      </c>
      <c r="N1347" t="str">
        <f t="shared" ref="N1347:N1410" si="86">_xlfn.CONCAT(F1347," (",E1347,")")</f>
        <v>MACHINE SHED 3 (3920)</v>
      </c>
      <c r="O1347" t="s">
        <v>52</v>
      </c>
      <c r="P1347" t="str">
        <f t="shared" ref="P1347:P1410" si="87">_xlfn.CONCAT(C1347,"_",E1347)</f>
        <v>18000_3920</v>
      </c>
      <c r="Q1347" s="180">
        <v>100</v>
      </c>
    </row>
    <row r="1348" spans="1:17">
      <c r="A1348" t="str">
        <f t="shared" si="84"/>
        <v>UGA_3922</v>
      </c>
      <c r="B1348" t="str">
        <f t="shared" si="85"/>
        <v>UGA_OIL STORAGE HOUSE</v>
      </c>
      <c r="C1348" t="s">
        <v>443</v>
      </c>
      <c r="D1348" s="180" t="s">
        <v>51</v>
      </c>
      <c r="E1348" t="s">
        <v>3786</v>
      </c>
      <c r="F1348" t="s">
        <v>3787</v>
      </c>
      <c r="G1348" s="180">
        <v>1909</v>
      </c>
      <c r="H1348">
        <v>1963</v>
      </c>
      <c r="J1348" s="1334" t="s">
        <v>475</v>
      </c>
      <c r="K1348" s="1335" t="s">
        <v>475</v>
      </c>
      <c r="L1348" s="180">
        <v>0</v>
      </c>
      <c r="M1348" t="s">
        <v>4</v>
      </c>
      <c r="N1348" t="str">
        <f t="shared" si="86"/>
        <v>OIL STORAGE HOUSE (3922)</v>
      </c>
      <c r="O1348" t="s">
        <v>52</v>
      </c>
      <c r="P1348" t="str">
        <f t="shared" si="87"/>
        <v>18000_3922</v>
      </c>
      <c r="Q1348" s="180">
        <v>100</v>
      </c>
    </row>
    <row r="1349" spans="1:17">
      <c r="A1349" t="str">
        <f t="shared" si="84"/>
        <v>UGA_3924</v>
      </c>
      <c r="B1349" t="str">
        <f t="shared" si="85"/>
        <v>UGA_PUMP HOUSE</v>
      </c>
      <c r="C1349" t="s">
        <v>443</v>
      </c>
      <c r="D1349" s="180" t="s">
        <v>51</v>
      </c>
      <c r="E1349" t="s">
        <v>4382</v>
      </c>
      <c r="F1349" t="s">
        <v>1503</v>
      </c>
      <c r="G1349" s="180">
        <v>128</v>
      </c>
      <c r="H1349">
        <v>1964</v>
      </c>
      <c r="J1349" s="1334" t="s">
        <v>475</v>
      </c>
      <c r="K1349" s="1335" t="s">
        <v>475</v>
      </c>
      <c r="L1349" s="180">
        <v>0</v>
      </c>
      <c r="M1349" t="s">
        <v>4</v>
      </c>
      <c r="N1349" t="str">
        <f t="shared" si="86"/>
        <v>PUMP HOUSE (3924)</v>
      </c>
      <c r="O1349" t="s">
        <v>52</v>
      </c>
      <c r="P1349" t="str">
        <f t="shared" si="87"/>
        <v>18000_3924</v>
      </c>
      <c r="Q1349" s="180">
        <v>100</v>
      </c>
    </row>
    <row r="1350" spans="1:17">
      <c r="A1350" t="str">
        <f t="shared" si="84"/>
        <v>UGA_3929</v>
      </c>
      <c r="B1350" t="str">
        <f t="shared" si="85"/>
        <v>UGA_NEW OFFICE &amp; AUDIT</v>
      </c>
      <c r="C1350" t="s">
        <v>443</v>
      </c>
      <c r="D1350" s="180" t="s">
        <v>51</v>
      </c>
      <c r="E1350" t="s">
        <v>2036</v>
      </c>
      <c r="F1350" t="s">
        <v>2037</v>
      </c>
      <c r="G1350" s="180">
        <v>4529</v>
      </c>
      <c r="H1350">
        <v>1970</v>
      </c>
      <c r="J1350" s="1334" t="s">
        <v>475</v>
      </c>
      <c r="K1350" s="1335" t="s">
        <v>1520</v>
      </c>
      <c r="L1350" s="180">
        <v>0</v>
      </c>
      <c r="M1350" t="s">
        <v>4</v>
      </c>
      <c r="N1350" t="str">
        <f t="shared" si="86"/>
        <v>NEW OFFICE &amp; AUDIT (3929)</v>
      </c>
      <c r="O1350" t="s">
        <v>52</v>
      </c>
      <c r="P1350" t="str">
        <f t="shared" si="87"/>
        <v>18000_3929</v>
      </c>
      <c r="Q1350" s="180">
        <v>0</v>
      </c>
    </row>
    <row r="1351" spans="1:17">
      <c r="A1351" t="str">
        <f t="shared" si="84"/>
        <v>UGA_3930</v>
      </c>
      <c r="B1351" t="str">
        <f t="shared" si="85"/>
        <v>UGA_GRAIN HAND FAC</v>
      </c>
      <c r="C1351" t="s">
        <v>443</v>
      </c>
      <c r="D1351" s="180" t="s">
        <v>51</v>
      </c>
      <c r="E1351" t="s">
        <v>3462</v>
      </c>
      <c r="F1351" t="s">
        <v>3463</v>
      </c>
      <c r="G1351" s="180">
        <v>2966</v>
      </c>
      <c r="H1351">
        <v>1962</v>
      </c>
      <c r="J1351" s="1334" t="s">
        <v>475</v>
      </c>
      <c r="K1351" s="1335" t="s">
        <v>475</v>
      </c>
      <c r="L1351" s="180">
        <v>0</v>
      </c>
      <c r="M1351" t="s">
        <v>4</v>
      </c>
      <c r="N1351" t="str">
        <f t="shared" si="86"/>
        <v>GRAIN HAND FAC (3930)</v>
      </c>
      <c r="O1351" t="s">
        <v>52</v>
      </c>
      <c r="P1351" t="str">
        <f t="shared" si="87"/>
        <v>18000_3930</v>
      </c>
      <c r="Q1351" s="180">
        <v>100</v>
      </c>
    </row>
    <row r="1352" spans="1:17">
      <c r="A1352" t="str">
        <f t="shared" si="84"/>
        <v>UGA_3931</v>
      </c>
      <c r="B1352" t="str">
        <f t="shared" si="85"/>
        <v>UGA_PESTICIDE STOR</v>
      </c>
      <c r="C1352" t="s">
        <v>443</v>
      </c>
      <c r="D1352" s="180" t="s">
        <v>51</v>
      </c>
      <c r="E1352" t="s">
        <v>2888</v>
      </c>
      <c r="F1352" t="s">
        <v>2889</v>
      </c>
      <c r="G1352" s="180">
        <v>2240</v>
      </c>
      <c r="H1352">
        <v>1975</v>
      </c>
      <c r="J1352" s="1334" t="s">
        <v>475</v>
      </c>
      <c r="K1352" s="1335" t="s">
        <v>475</v>
      </c>
      <c r="L1352" s="180">
        <v>0</v>
      </c>
      <c r="M1352" t="s">
        <v>4</v>
      </c>
      <c r="N1352" t="str">
        <f t="shared" si="86"/>
        <v>PESTICIDE STOR (3931)</v>
      </c>
      <c r="O1352" t="s">
        <v>52</v>
      </c>
      <c r="P1352" t="str">
        <f t="shared" si="87"/>
        <v>18000_3931</v>
      </c>
      <c r="Q1352" s="180">
        <v>100</v>
      </c>
    </row>
    <row r="1353" spans="1:17">
      <c r="A1353" t="str">
        <f t="shared" si="84"/>
        <v>UGA_3932</v>
      </c>
      <c r="B1353" t="str">
        <f t="shared" si="85"/>
        <v>UGA_MACHINE SHED #4</v>
      </c>
      <c r="C1353" t="s">
        <v>443</v>
      </c>
      <c r="D1353" s="180" t="s">
        <v>51</v>
      </c>
      <c r="E1353" t="s">
        <v>2688</v>
      </c>
      <c r="F1353" t="s">
        <v>2689</v>
      </c>
      <c r="G1353" s="180">
        <v>4400</v>
      </c>
      <c r="H1353">
        <v>1983</v>
      </c>
      <c r="J1353" s="1334" t="s">
        <v>475</v>
      </c>
      <c r="K1353" s="1335" t="s">
        <v>475</v>
      </c>
      <c r="L1353" s="180">
        <v>0</v>
      </c>
      <c r="M1353" t="s">
        <v>4</v>
      </c>
      <c r="N1353" t="str">
        <f t="shared" si="86"/>
        <v>MACHINE SHED #4 (3932)</v>
      </c>
      <c r="O1353" t="s">
        <v>52</v>
      </c>
      <c r="P1353" t="str">
        <f t="shared" si="87"/>
        <v>18000_3932</v>
      </c>
      <c r="Q1353" s="180">
        <v>100</v>
      </c>
    </row>
    <row r="1354" spans="1:17">
      <c r="A1354" t="str">
        <f t="shared" si="84"/>
        <v>UGA_3939</v>
      </c>
      <c r="B1354" t="str">
        <f t="shared" si="85"/>
        <v>UGA_PEANUT DRYING FAC</v>
      </c>
      <c r="C1354" t="s">
        <v>443</v>
      </c>
      <c r="D1354" s="180" t="s">
        <v>51</v>
      </c>
      <c r="E1354" t="s">
        <v>4023</v>
      </c>
      <c r="F1354" t="s">
        <v>4024</v>
      </c>
      <c r="G1354" s="180">
        <v>2352</v>
      </c>
      <c r="H1354">
        <v>1991</v>
      </c>
      <c r="J1354" s="1334" t="s">
        <v>475</v>
      </c>
      <c r="K1354" s="1335" t="s">
        <v>475</v>
      </c>
      <c r="L1354" s="180">
        <v>0</v>
      </c>
      <c r="M1354" t="s">
        <v>4</v>
      </c>
      <c r="N1354" t="str">
        <f t="shared" si="86"/>
        <v>PEANUT DRYING FAC (3939)</v>
      </c>
      <c r="O1354" t="s">
        <v>52</v>
      </c>
      <c r="P1354" t="str">
        <f t="shared" si="87"/>
        <v>18000_3939</v>
      </c>
      <c r="Q1354" s="180">
        <v>100</v>
      </c>
    </row>
    <row r="1355" spans="1:17">
      <c r="A1355" t="str">
        <f t="shared" si="84"/>
        <v>UGA_3940</v>
      </c>
      <c r="B1355" t="str">
        <f t="shared" si="85"/>
        <v>UGA_METAL STORAGE BLDG</v>
      </c>
      <c r="C1355" t="s">
        <v>443</v>
      </c>
      <c r="D1355" s="180" t="s">
        <v>51</v>
      </c>
      <c r="E1355" t="s">
        <v>3641</v>
      </c>
      <c r="F1355" t="s">
        <v>2035</v>
      </c>
      <c r="G1355" s="180">
        <v>5000</v>
      </c>
      <c r="H1355">
        <v>1994</v>
      </c>
      <c r="J1355" s="1334" t="s">
        <v>475</v>
      </c>
      <c r="K1355" s="1335" t="s">
        <v>475</v>
      </c>
      <c r="L1355" s="180">
        <v>0</v>
      </c>
      <c r="M1355" t="s">
        <v>4</v>
      </c>
      <c r="N1355" t="str">
        <f t="shared" si="86"/>
        <v>METAL STORAGE BLDG (3940)</v>
      </c>
      <c r="O1355" t="s">
        <v>52</v>
      </c>
      <c r="P1355" t="str">
        <f t="shared" si="87"/>
        <v>18000_3940</v>
      </c>
      <c r="Q1355" s="180">
        <v>100</v>
      </c>
    </row>
    <row r="1356" spans="1:17">
      <c r="A1356" t="str">
        <f t="shared" si="84"/>
        <v>UGA_3941</v>
      </c>
      <c r="B1356" t="str">
        <f t="shared" si="85"/>
        <v>UGA_EQUIP STORAGE SHED</v>
      </c>
      <c r="C1356" t="s">
        <v>443</v>
      </c>
      <c r="D1356" s="180" t="s">
        <v>51</v>
      </c>
      <c r="E1356" t="s">
        <v>4429</v>
      </c>
      <c r="F1356" t="s">
        <v>4430</v>
      </c>
      <c r="G1356" s="180">
        <v>5000</v>
      </c>
      <c r="H1356">
        <v>2004</v>
      </c>
      <c r="J1356" s="1334" t="s">
        <v>475</v>
      </c>
      <c r="K1356" s="1335" t="s">
        <v>475</v>
      </c>
      <c r="L1356" s="180">
        <v>0</v>
      </c>
      <c r="M1356" t="s">
        <v>4</v>
      </c>
      <c r="N1356" t="str">
        <f t="shared" si="86"/>
        <v>EQUIP STORAGE SHED (3941)</v>
      </c>
      <c r="O1356" t="s">
        <v>52</v>
      </c>
      <c r="P1356" t="str">
        <f t="shared" si="87"/>
        <v>18000_3941</v>
      </c>
      <c r="Q1356" s="180">
        <v>100</v>
      </c>
    </row>
    <row r="1357" spans="1:17">
      <c r="A1357" t="str">
        <f t="shared" si="84"/>
        <v>UGA_3943</v>
      </c>
      <c r="B1357" t="str">
        <f t="shared" si="85"/>
        <v>UGA_MULTI PURPOSE BLDG</v>
      </c>
      <c r="C1357" t="s">
        <v>443</v>
      </c>
      <c r="D1357" s="180" t="s">
        <v>51</v>
      </c>
      <c r="E1357" t="s">
        <v>3559</v>
      </c>
      <c r="F1357" t="s">
        <v>2482</v>
      </c>
      <c r="G1357" s="180">
        <v>8000</v>
      </c>
      <c r="H1357">
        <v>2010</v>
      </c>
      <c r="J1357" s="1334" t="s">
        <v>475</v>
      </c>
      <c r="K1357" s="1335" t="s">
        <v>475</v>
      </c>
      <c r="L1357" s="180">
        <v>0</v>
      </c>
      <c r="M1357" t="s">
        <v>4</v>
      </c>
      <c r="N1357" t="str">
        <f t="shared" si="86"/>
        <v>MULTI PURPOSE BLDG (3943)</v>
      </c>
      <c r="O1357" t="s">
        <v>52</v>
      </c>
      <c r="P1357" t="str">
        <f t="shared" si="87"/>
        <v>18000_3943</v>
      </c>
      <c r="Q1357" s="180">
        <v>100</v>
      </c>
    </row>
    <row r="1358" spans="1:17">
      <c r="A1358" t="str">
        <f t="shared" si="84"/>
        <v>UGA_3944</v>
      </c>
      <c r="B1358" t="str">
        <f t="shared" si="85"/>
        <v>UGA_CHICKEN EQP STRG</v>
      </c>
      <c r="C1358" t="s">
        <v>443</v>
      </c>
      <c r="D1358" s="180" t="s">
        <v>51</v>
      </c>
      <c r="E1358" t="s">
        <v>3738</v>
      </c>
      <c r="F1358" t="s">
        <v>3739</v>
      </c>
      <c r="G1358" s="180">
        <v>6000</v>
      </c>
      <c r="H1358">
        <v>2011</v>
      </c>
      <c r="J1358" s="1334" t="s">
        <v>475</v>
      </c>
      <c r="K1358" s="1335" t="s">
        <v>475</v>
      </c>
      <c r="L1358" s="180">
        <v>0</v>
      </c>
      <c r="M1358" t="s">
        <v>4</v>
      </c>
      <c r="N1358" t="str">
        <f t="shared" si="86"/>
        <v>CHICKEN EQP STRG (3944)</v>
      </c>
      <c r="O1358" t="s">
        <v>52</v>
      </c>
      <c r="P1358" t="str">
        <f t="shared" si="87"/>
        <v>18000_3944</v>
      </c>
      <c r="Q1358" s="180">
        <v>100</v>
      </c>
    </row>
    <row r="1359" spans="1:17">
      <c r="A1359" t="str">
        <f t="shared" si="84"/>
        <v>UGA_3945</v>
      </c>
      <c r="B1359" t="str">
        <f t="shared" si="85"/>
        <v>UGA_GENERAL WAREHOUSE</v>
      </c>
      <c r="C1359" t="s">
        <v>443</v>
      </c>
      <c r="D1359" s="180" t="s">
        <v>51</v>
      </c>
      <c r="E1359" t="s">
        <v>3312</v>
      </c>
      <c r="F1359" t="s">
        <v>3313</v>
      </c>
      <c r="G1359" s="180">
        <v>5750</v>
      </c>
      <c r="H1359">
        <v>2011</v>
      </c>
      <c r="J1359" s="1334" t="s">
        <v>475</v>
      </c>
      <c r="K1359" s="1335" t="s">
        <v>901</v>
      </c>
      <c r="L1359" s="180">
        <v>0</v>
      </c>
      <c r="M1359" t="s">
        <v>4</v>
      </c>
      <c r="N1359" t="str">
        <f t="shared" si="86"/>
        <v>GENERAL WAREHOUSE (3945)</v>
      </c>
      <c r="O1359" t="s">
        <v>52</v>
      </c>
      <c r="P1359" t="str">
        <f t="shared" si="87"/>
        <v>18000_3945</v>
      </c>
      <c r="Q1359" s="180">
        <v>100</v>
      </c>
    </row>
    <row r="1360" spans="1:17">
      <c r="A1360" t="str">
        <f t="shared" si="84"/>
        <v>UGA_3964</v>
      </c>
      <c r="B1360" t="str">
        <f t="shared" si="85"/>
        <v>UGA_EATONTON WRKNG FAC</v>
      </c>
      <c r="C1360" t="s">
        <v>443</v>
      </c>
      <c r="D1360" s="180" t="s">
        <v>51</v>
      </c>
      <c r="E1360" t="s">
        <v>2302</v>
      </c>
      <c r="F1360" t="s">
        <v>2303</v>
      </c>
      <c r="G1360" s="180">
        <v>892</v>
      </c>
      <c r="H1360">
        <v>2015</v>
      </c>
      <c r="J1360" s="1334" t="s">
        <v>475</v>
      </c>
      <c r="K1360" s="1335" t="s">
        <v>475</v>
      </c>
      <c r="L1360" s="180">
        <v>0</v>
      </c>
      <c r="M1360" t="s">
        <v>4</v>
      </c>
      <c r="N1360" t="str">
        <f t="shared" si="86"/>
        <v>EATONTON WRKNG FAC (3964)</v>
      </c>
      <c r="O1360" t="s">
        <v>52</v>
      </c>
      <c r="P1360" t="str">
        <f t="shared" si="87"/>
        <v>18000_3964</v>
      </c>
      <c r="Q1360" s="180">
        <v>100</v>
      </c>
    </row>
    <row r="1361" spans="1:17">
      <c r="A1361" t="str">
        <f t="shared" si="84"/>
        <v>UGA_3965</v>
      </c>
      <c r="B1361" t="str">
        <f t="shared" si="85"/>
        <v>UGA_EATONTON CTL RSCH</v>
      </c>
      <c r="C1361" t="s">
        <v>443</v>
      </c>
      <c r="D1361" s="180" t="s">
        <v>51</v>
      </c>
      <c r="E1361" t="s">
        <v>3642</v>
      </c>
      <c r="F1361" t="s">
        <v>3643</v>
      </c>
      <c r="G1361" s="180">
        <v>23800</v>
      </c>
      <c r="H1361">
        <v>2015</v>
      </c>
      <c r="J1361" s="1334" t="s">
        <v>475</v>
      </c>
      <c r="K1361" s="1335" t="s">
        <v>475</v>
      </c>
      <c r="L1361" s="180">
        <v>0</v>
      </c>
      <c r="M1361" t="s">
        <v>4</v>
      </c>
      <c r="N1361" t="str">
        <f t="shared" si="86"/>
        <v>EATONTON CTL RSCH (3965)</v>
      </c>
      <c r="O1361" t="s">
        <v>52</v>
      </c>
      <c r="P1361" t="str">
        <f t="shared" si="87"/>
        <v>18000_3965</v>
      </c>
      <c r="Q1361" s="180">
        <v>100</v>
      </c>
    </row>
    <row r="1362" spans="1:17">
      <c r="A1362" t="str">
        <f t="shared" si="84"/>
        <v>UGA_4019</v>
      </c>
      <c r="B1362" t="str">
        <f t="shared" si="85"/>
        <v>UGA_GIBBS FRM:HAY SHTR</v>
      </c>
      <c r="C1362" t="s">
        <v>443</v>
      </c>
      <c r="D1362" s="180" t="s">
        <v>51</v>
      </c>
      <c r="E1362" t="s">
        <v>1545</v>
      </c>
      <c r="F1362" t="s">
        <v>1546</v>
      </c>
      <c r="G1362" s="180">
        <v>3200</v>
      </c>
      <c r="H1362">
        <v>1996</v>
      </c>
      <c r="J1362" s="1334" t="s">
        <v>475</v>
      </c>
      <c r="K1362" s="1335" t="s">
        <v>475</v>
      </c>
      <c r="L1362" s="180">
        <v>0</v>
      </c>
      <c r="M1362" t="s">
        <v>67</v>
      </c>
      <c r="N1362" t="str">
        <f t="shared" si="86"/>
        <v>GIBBS FRM:HAY SHTR (4019)</v>
      </c>
      <c r="O1362" t="s">
        <v>52</v>
      </c>
      <c r="P1362" t="str">
        <f t="shared" si="87"/>
        <v>18000_4019</v>
      </c>
      <c r="Q1362" s="180">
        <v>100</v>
      </c>
    </row>
    <row r="1363" spans="1:17">
      <c r="A1363" t="str">
        <f t="shared" si="84"/>
        <v>UGA_4020</v>
      </c>
      <c r="B1363" t="str">
        <f t="shared" si="85"/>
        <v>UGA_GIBBS FRM:IMPLMNTS</v>
      </c>
      <c r="C1363" t="s">
        <v>443</v>
      </c>
      <c r="D1363" s="180" t="s">
        <v>51</v>
      </c>
      <c r="E1363" t="s">
        <v>1460</v>
      </c>
      <c r="F1363" t="s">
        <v>1461</v>
      </c>
      <c r="G1363" s="180">
        <v>3200</v>
      </c>
      <c r="H1363">
        <v>1997</v>
      </c>
      <c r="J1363" s="1334" t="s">
        <v>475</v>
      </c>
      <c r="K1363" s="1335" t="s">
        <v>475</v>
      </c>
      <c r="L1363" s="180">
        <v>0</v>
      </c>
      <c r="M1363" t="s">
        <v>67</v>
      </c>
      <c r="N1363" t="str">
        <f t="shared" si="86"/>
        <v>GIBBS FRM:IMPLMNTS (4020)</v>
      </c>
      <c r="O1363" t="s">
        <v>52</v>
      </c>
      <c r="P1363" t="str">
        <f t="shared" si="87"/>
        <v>18000_4020</v>
      </c>
      <c r="Q1363" s="180">
        <v>100</v>
      </c>
    </row>
    <row r="1364" spans="1:17">
      <c r="A1364" t="str">
        <f t="shared" si="84"/>
        <v>UGA_4021</v>
      </c>
      <c r="B1364" t="str">
        <f t="shared" si="85"/>
        <v>UGA_GIBBS FRM:SHOP/OFF</v>
      </c>
      <c r="C1364" t="s">
        <v>443</v>
      </c>
      <c r="D1364" s="180" t="s">
        <v>51</v>
      </c>
      <c r="E1364" t="s">
        <v>1487</v>
      </c>
      <c r="F1364" t="s">
        <v>1488</v>
      </c>
      <c r="G1364" s="180">
        <v>3000</v>
      </c>
      <c r="H1364">
        <v>2003</v>
      </c>
      <c r="J1364" s="1334" t="s">
        <v>475</v>
      </c>
      <c r="K1364" s="1335" t="s">
        <v>475</v>
      </c>
      <c r="L1364" s="180">
        <v>0</v>
      </c>
      <c r="M1364" t="s">
        <v>67</v>
      </c>
      <c r="N1364" t="str">
        <f t="shared" si="86"/>
        <v>GIBBS FRM:SHOP/OFF (4021)</v>
      </c>
      <c r="O1364" t="s">
        <v>52</v>
      </c>
      <c r="P1364" t="str">
        <f t="shared" si="87"/>
        <v>18000_4021</v>
      </c>
      <c r="Q1364" s="180">
        <v>100</v>
      </c>
    </row>
    <row r="1365" spans="1:17">
      <c r="A1365" t="str">
        <f t="shared" si="84"/>
        <v>UGA_4022</v>
      </c>
      <c r="B1365" t="str">
        <f t="shared" si="85"/>
        <v>UGA_LONG GEN II CURING</v>
      </c>
      <c r="C1365" t="s">
        <v>443</v>
      </c>
      <c r="D1365" s="180" t="s">
        <v>51</v>
      </c>
      <c r="E1365" t="s">
        <v>1675</v>
      </c>
      <c r="F1365" t="s">
        <v>1676</v>
      </c>
      <c r="G1365" s="180">
        <v>432</v>
      </c>
      <c r="H1365">
        <v>2000</v>
      </c>
      <c r="J1365" s="1334" t="s">
        <v>475</v>
      </c>
      <c r="K1365" s="1335" t="s">
        <v>475</v>
      </c>
      <c r="L1365" s="180">
        <v>0</v>
      </c>
      <c r="M1365" t="s">
        <v>67</v>
      </c>
      <c r="N1365" t="str">
        <f t="shared" si="86"/>
        <v>LONG GEN II CURING (4022)</v>
      </c>
      <c r="O1365" t="s">
        <v>52</v>
      </c>
      <c r="P1365" t="str">
        <f t="shared" si="87"/>
        <v>18000_4022</v>
      </c>
      <c r="Q1365" s="180">
        <v>100</v>
      </c>
    </row>
    <row r="1366" spans="1:17">
      <c r="A1366" t="str">
        <f t="shared" si="84"/>
        <v>UGA_4023</v>
      </c>
      <c r="B1366" t="str">
        <f t="shared" si="85"/>
        <v>UGA_PEANUT GRADE FAC</v>
      </c>
      <c r="C1366" t="s">
        <v>443</v>
      </c>
      <c r="D1366" s="180" t="s">
        <v>51</v>
      </c>
      <c r="E1366" t="s">
        <v>1677</v>
      </c>
      <c r="F1366" t="s">
        <v>1678</v>
      </c>
      <c r="G1366" s="180">
        <v>384</v>
      </c>
      <c r="H1366">
        <v>2000</v>
      </c>
      <c r="J1366" s="1334" t="s">
        <v>475</v>
      </c>
      <c r="K1366" s="1335" t="s">
        <v>475</v>
      </c>
      <c r="L1366" s="180">
        <v>0</v>
      </c>
      <c r="M1366" t="s">
        <v>67</v>
      </c>
      <c r="N1366" t="str">
        <f t="shared" si="86"/>
        <v>PEANUT GRADE FAC (4023)</v>
      </c>
      <c r="O1366" t="s">
        <v>52</v>
      </c>
      <c r="P1366" t="str">
        <f t="shared" si="87"/>
        <v>18000_4023</v>
      </c>
      <c r="Q1366" s="180">
        <v>100</v>
      </c>
    </row>
    <row r="1367" spans="1:17">
      <c r="A1367" t="str">
        <f t="shared" si="84"/>
        <v>UGA_4024</v>
      </c>
      <c r="B1367" t="str">
        <f t="shared" si="85"/>
        <v>UGA_SWINE NURSERY 2</v>
      </c>
      <c r="C1367" t="s">
        <v>443</v>
      </c>
      <c r="D1367" s="180" t="s">
        <v>51</v>
      </c>
      <c r="E1367" t="s">
        <v>4431</v>
      </c>
      <c r="F1367" t="s">
        <v>4432</v>
      </c>
      <c r="G1367" s="180">
        <v>808</v>
      </c>
      <c r="H1367">
        <v>2000</v>
      </c>
      <c r="J1367" s="1334" t="s">
        <v>475</v>
      </c>
      <c r="K1367" s="1335" t="s">
        <v>475</v>
      </c>
      <c r="L1367" s="180">
        <v>0</v>
      </c>
      <c r="M1367" t="s">
        <v>4</v>
      </c>
      <c r="N1367" t="str">
        <f t="shared" si="86"/>
        <v>SWINE NURSERY 2 (4024)</v>
      </c>
      <c r="O1367" t="s">
        <v>52</v>
      </c>
      <c r="P1367" t="str">
        <f t="shared" si="87"/>
        <v>18000_4024</v>
      </c>
      <c r="Q1367" s="180">
        <v>100</v>
      </c>
    </row>
    <row r="1368" spans="1:17">
      <c r="A1368" t="str">
        <f t="shared" si="84"/>
        <v>UGA_4025</v>
      </c>
      <c r="B1368" t="str">
        <f t="shared" si="85"/>
        <v>UGA_CSS G HSE P-NUT</v>
      </c>
      <c r="C1368" t="s">
        <v>443</v>
      </c>
      <c r="D1368" s="180" t="s">
        <v>51</v>
      </c>
      <c r="E1368" t="s">
        <v>1679</v>
      </c>
      <c r="F1368" t="s">
        <v>1680</v>
      </c>
      <c r="G1368" s="180">
        <v>3888</v>
      </c>
      <c r="H1368">
        <v>2000</v>
      </c>
      <c r="J1368" s="1334" t="s">
        <v>475</v>
      </c>
      <c r="K1368" s="1335" t="s">
        <v>475</v>
      </c>
      <c r="L1368" s="180">
        <v>0</v>
      </c>
      <c r="M1368" t="s">
        <v>67</v>
      </c>
      <c r="N1368" t="str">
        <f t="shared" si="86"/>
        <v>CSS G HSE P-NUT (4025)</v>
      </c>
      <c r="O1368" t="s">
        <v>52</v>
      </c>
      <c r="P1368" t="str">
        <f t="shared" si="87"/>
        <v>18000_4025</v>
      </c>
      <c r="Q1368" s="180">
        <v>100</v>
      </c>
    </row>
    <row r="1369" spans="1:17">
      <c r="A1369" t="str">
        <f t="shared" si="84"/>
        <v>UGA_4026</v>
      </c>
      <c r="B1369" t="str">
        <f t="shared" si="85"/>
        <v>UGA_DAIRY RSCH LAB</v>
      </c>
      <c r="C1369" t="s">
        <v>443</v>
      </c>
      <c r="D1369" s="180" t="s">
        <v>51</v>
      </c>
      <c r="E1369" t="s">
        <v>3407</v>
      </c>
      <c r="F1369" t="s">
        <v>3408</v>
      </c>
      <c r="G1369" s="180">
        <v>1800</v>
      </c>
      <c r="H1369">
        <v>1982</v>
      </c>
      <c r="J1369" s="1334" t="s">
        <v>475</v>
      </c>
      <c r="K1369" s="1335" t="s">
        <v>475</v>
      </c>
      <c r="L1369" s="180">
        <v>0</v>
      </c>
      <c r="M1369" t="s">
        <v>67</v>
      </c>
      <c r="N1369" t="str">
        <f t="shared" si="86"/>
        <v>DAIRY RSCH LAB (4026)</v>
      </c>
      <c r="O1369" t="s">
        <v>52</v>
      </c>
      <c r="P1369" t="str">
        <f t="shared" si="87"/>
        <v>18000_4026</v>
      </c>
      <c r="Q1369" s="180">
        <v>100</v>
      </c>
    </row>
    <row r="1370" spans="1:17">
      <c r="A1370" t="str">
        <f t="shared" si="84"/>
        <v>UGA_4027</v>
      </c>
      <c r="B1370" t="str">
        <f t="shared" si="85"/>
        <v>UGA_POST MORTEM LAB</v>
      </c>
      <c r="C1370" t="s">
        <v>443</v>
      </c>
      <c r="D1370" s="180" t="s">
        <v>51</v>
      </c>
      <c r="E1370" t="s">
        <v>4162</v>
      </c>
      <c r="F1370" t="s">
        <v>4163</v>
      </c>
      <c r="G1370" s="180">
        <v>280</v>
      </c>
      <c r="H1370">
        <v>1963</v>
      </c>
      <c r="J1370" s="1334" t="s">
        <v>475</v>
      </c>
      <c r="K1370" s="1335" t="s">
        <v>475</v>
      </c>
      <c r="L1370" s="180">
        <v>0</v>
      </c>
      <c r="M1370" t="s">
        <v>67</v>
      </c>
      <c r="N1370" t="str">
        <f t="shared" si="86"/>
        <v>POST MORTEM LAB (4027)</v>
      </c>
      <c r="O1370" t="s">
        <v>52</v>
      </c>
      <c r="P1370" t="str">
        <f t="shared" si="87"/>
        <v>18000_4027</v>
      </c>
      <c r="Q1370" s="180">
        <v>90</v>
      </c>
    </row>
    <row r="1371" spans="1:17">
      <c r="A1371" t="str">
        <f t="shared" si="84"/>
        <v>UGA_4028</v>
      </c>
      <c r="B1371" t="str">
        <f t="shared" si="85"/>
        <v>UGA_SHOP STORAGE FAC</v>
      </c>
      <c r="C1371" t="s">
        <v>443</v>
      </c>
      <c r="D1371" s="180" t="s">
        <v>51</v>
      </c>
      <c r="E1371" t="s">
        <v>2890</v>
      </c>
      <c r="F1371" t="s">
        <v>2891</v>
      </c>
      <c r="G1371" s="180">
        <v>504</v>
      </c>
      <c r="H1371">
        <v>1972</v>
      </c>
      <c r="J1371" s="1334" t="s">
        <v>475</v>
      </c>
      <c r="K1371" s="1335" t="s">
        <v>475</v>
      </c>
      <c r="L1371" s="180">
        <v>0</v>
      </c>
      <c r="M1371" t="s">
        <v>67</v>
      </c>
      <c r="N1371" t="str">
        <f t="shared" si="86"/>
        <v>SHOP STORAGE FAC (4028)</v>
      </c>
      <c r="O1371" t="s">
        <v>52</v>
      </c>
      <c r="P1371" t="str">
        <f t="shared" si="87"/>
        <v>18000_4028</v>
      </c>
      <c r="Q1371" s="180">
        <v>0</v>
      </c>
    </row>
    <row r="1372" spans="1:17">
      <c r="A1372" t="str">
        <f t="shared" si="84"/>
        <v>UGA_4029</v>
      </c>
      <c r="B1372" t="str">
        <f t="shared" si="85"/>
        <v>UGA_FRS EQUIP FAC</v>
      </c>
      <c r="C1372" t="s">
        <v>443</v>
      </c>
      <c r="D1372" s="180" t="s">
        <v>51</v>
      </c>
      <c r="E1372" t="s">
        <v>2011</v>
      </c>
      <c r="F1372" t="s">
        <v>2012</v>
      </c>
      <c r="G1372" s="180">
        <v>6000</v>
      </c>
      <c r="H1372">
        <v>1998</v>
      </c>
      <c r="J1372" s="1334" t="s">
        <v>475</v>
      </c>
      <c r="K1372" s="1335" t="s">
        <v>475</v>
      </c>
      <c r="L1372" s="180">
        <v>0</v>
      </c>
      <c r="M1372" t="s">
        <v>67</v>
      </c>
      <c r="N1372" t="str">
        <f t="shared" si="86"/>
        <v>FRS EQUIP FAC (4029)</v>
      </c>
      <c r="O1372" t="s">
        <v>52</v>
      </c>
      <c r="P1372" t="str">
        <f t="shared" si="87"/>
        <v>18000_4029</v>
      </c>
      <c r="Q1372" s="180">
        <v>90</v>
      </c>
    </row>
    <row r="1373" spans="1:17">
      <c r="A1373" t="str">
        <f t="shared" si="84"/>
        <v>UGA_4030</v>
      </c>
      <c r="B1373" t="str">
        <f t="shared" si="85"/>
        <v>UGA_HANNA FORAGE SHOP</v>
      </c>
      <c r="C1373" t="s">
        <v>443</v>
      </c>
      <c r="D1373" s="180" t="s">
        <v>51</v>
      </c>
      <c r="E1373" t="s">
        <v>4383</v>
      </c>
      <c r="F1373" t="s">
        <v>4384</v>
      </c>
      <c r="G1373" s="180">
        <v>1104</v>
      </c>
      <c r="H1373">
        <v>1997</v>
      </c>
      <c r="J1373" s="1334" t="s">
        <v>475</v>
      </c>
      <c r="K1373" s="1335" t="s">
        <v>475</v>
      </c>
      <c r="L1373" s="180">
        <v>0</v>
      </c>
      <c r="M1373" t="s">
        <v>67</v>
      </c>
      <c r="N1373" t="str">
        <f t="shared" si="86"/>
        <v>HANNA FORAGE SHOP (4030)</v>
      </c>
      <c r="O1373" t="s">
        <v>52</v>
      </c>
      <c r="P1373" t="str">
        <f t="shared" si="87"/>
        <v>18000_4030</v>
      </c>
      <c r="Q1373" s="180">
        <v>100</v>
      </c>
    </row>
    <row r="1374" spans="1:17">
      <c r="A1374" t="str">
        <f t="shared" si="84"/>
        <v>UGA_4031</v>
      </c>
      <c r="B1374" t="str">
        <f t="shared" si="85"/>
        <v>UGA_HANNA RED BARN S I</v>
      </c>
      <c r="C1374" t="s">
        <v>443</v>
      </c>
      <c r="D1374" s="180" t="s">
        <v>51</v>
      </c>
      <c r="E1374" t="s">
        <v>1681</v>
      </c>
      <c r="F1374" t="s">
        <v>1682</v>
      </c>
      <c r="G1374" s="180">
        <v>2240</v>
      </c>
      <c r="H1374">
        <v>1997</v>
      </c>
      <c r="J1374" s="1334" t="s">
        <v>475</v>
      </c>
      <c r="K1374" s="1335" t="s">
        <v>475</v>
      </c>
      <c r="L1374" s="180">
        <v>0</v>
      </c>
      <c r="M1374" t="s">
        <v>67</v>
      </c>
      <c r="N1374" t="str">
        <f t="shared" si="86"/>
        <v>HANNA RED BARN S I (4031)</v>
      </c>
      <c r="O1374" t="s">
        <v>52</v>
      </c>
      <c r="P1374" t="str">
        <f t="shared" si="87"/>
        <v>18000_4031</v>
      </c>
      <c r="Q1374" s="180">
        <v>100</v>
      </c>
    </row>
    <row r="1375" spans="1:17">
      <c r="A1375" t="str">
        <f t="shared" si="84"/>
        <v>UGA_4032</v>
      </c>
      <c r="B1375" t="str">
        <f t="shared" si="85"/>
        <v>UGA_NESPAL AG ENG SHED</v>
      </c>
      <c r="C1375" t="s">
        <v>443</v>
      </c>
      <c r="D1375" s="180" t="s">
        <v>51</v>
      </c>
      <c r="E1375" t="s">
        <v>2690</v>
      </c>
      <c r="F1375" t="s">
        <v>2691</v>
      </c>
      <c r="G1375" s="180">
        <v>3600</v>
      </c>
      <c r="H1375">
        <v>1997</v>
      </c>
      <c r="J1375" s="1334" t="s">
        <v>475</v>
      </c>
      <c r="K1375" s="1335" t="s">
        <v>475</v>
      </c>
      <c r="L1375" s="180">
        <v>0</v>
      </c>
      <c r="M1375" t="s">
        <v>67</v>
      </c>
      <c r="N1375" t="str">
        <f t="shared" si="86"/>
        <v>NESPAL AG ENG SHED (4032)</v>
      </c>
      <c r="O1375" t="s">
        <v>52</v>
      </c>
      <c r="P1375" t="str">
        <f t="shared" si="87"/>
        <v>18000_4032</v>
      </c>
      <c r="Q1375" s="180">
        <v>100</v>
      </c>
    </row>
    <row r="1376" spans="1:17">
      <c r="A1376" t="str">
        <f t="shared" si="84"/>
        <v>UGA_4033</v>
      </c>
      <c r="B1376" t="str">
        <f t="shared" si="85"/>
        <v>UGA_FUEL MONITOR BLDG</v>
      </c>
      <c r="C1376" t="s">
        <v>443</v>
      </c>
      <c r="D1376" s="180" t="s">
        <v>51</v>
      </c>
      <c r="E1376" t="s">
        <v>3219</v>
      </c>
      <c r="F1376" t="s">
        <v>3220</v>
      </c>
      <c r="G1376" s="180">
        <v>140</v>
      </c>
      <c r="H1376">
        <v>1997</v>
      </c>
      <c r="J1376" s="1334" t="s">
        <v>475</v>
      </c>
      <c r="K1376" s="1335" t="s">
        <v>475</v>
      </c>
      <c r="L1376" s="180">
        <v>0</v>
      </c>
      <c r="M1376" t="s">
        <v>67</v>
      </c>
      <c r="N1376" t="str">
        <f t="shared" si="86"/>
        <v>FUEL MONITOR BLDG (4033)</v>
      </c>
      <c r="O1376" t="s">
        <v>52</v>
      </c>
      <c r="P1376" t="str">
        <f t="shared" si="87"/>
        <v>18000_4033</v>
      </c>
      <c r="Q1376" s="180">
        <v>100</v>
      </c>
    </row>
    <row r="1377" spans="1:17">
      <c r="A1377" t="str">
        <f t="shared" si="84"/>
        <v>UGA_4034</v>
      </c>
      <c r="B1377" t="str">
        <f t="shared" si="85"/>
        <v>UGA_ENTOMOL LAB CPES</v>
      </c>
      <c r="C1377" t="s">
        <v>443</v>
      </c>
      <c r="D1377" s="180" t="s">
        <v>51</v>
      </c>
      <c r="E1377" t="s">
        <v>4164</v>
      </c>
      <c r="F1377" t="s">
        <v>4165</v>
      </c>
      <c r="G1377" s="180">
        <v>588</v>
      </c>
      <c r="H1377">
        <v>2002</v>
      </c>
      <c r="J1377" s="1334" t="s">
        <v>475</v>
      </c>
      <c r="K1377" s="1335" t="s">
        <v>475</v>
      </c>
      <c r="L1377" s="180">
        <v>0</v>
      </c>
      <c r="M1377" t="s">
        <v>67</v>
      </c>
      <c r="N1377" t="str">
        <f t="shared" si="86"/>
        <v>ENTOMOL LAB CPES (4034)</v>
      </c>
      <c r="O1377" t="s">
        <v>52</v>
      </c>
      <c r="P1377" t="str">
        <f t="shared" si="87"/>
        <v>18000_4034</v>
      </c>
      <c r="Q1377" s="180">
        <v>100</v>
      </c>
    </row>
    <row r="1378" spans="1:17">
      <c r="A1378" t="str">
        <f t="shared" si="84"/>
        <v>UGA_4035</v>
      </c>
      <c r="B1378" t="str">
        <f t="shared" si="85"/>
        <v>UGA_GIBBS FRM:NEMOTLGY</v>
      </c>
      <c r="C1378" t="s">
        <v>443</v>
      </c>
      <c r="D1378" s="180" t="s">
        <v>51</v>
      </c>
      <c r="E1378" t="s">
        <v>2144</v>
      </c>
      <c r="F1378" t="s">
        <v>2145</v>
      </c>
      <c r="G1378" s="180">
        <v>4000</v>
      </c>
      <c r="H1378">
        <v>2004</v>
      </c>
      <c r="J1378" s="1334" t="s">
        <v>475</v>
      </c>
      <c r="K1378" s="1335" t="s">
        <v>475</v>
      </c>
      <c r="L1378" s="180">
        <v>0</v>
      </c>
      <c r="M1378" t="s">
        <v>67</v>
      </c>
      <c r="N1378" t="str">
        <f t="shared" si="86"/>
        <v>GIBBS FRM:NEMOTLGY (4035)</v>
      </c>
      <c r="O1378" t="s">
        <v>52</v>
      </c>
      <c r="P1378" t="str">
        <f t="shared" si="87"/>
        <v>18000_4035</v>
      </c>
      <c r="Q1378" s="180">
        <v>100</v>
      </c>
    </row>
    <row r="1379" spans="1:17">
      <c r="A1379" t="str">
        <f t="shared" si="84"/>
        <v>UGA_4036</v>
      </c>
      <c r="B1379" t="str">
        <f t="shared" si="85"/>
        <v>UGA_SMALL PEN RSCH BRN</v>
      </c>
      <c r="C1379" t="s">
        <v>443</v>
      </c>
      <c r="D1379" s="180" t="s">
        <v>51</v>
      </c>
      <c r="E1379" t="s">
        <v>4102</v>
      </c>
      <c r="F1379" t="s">
        <v>4103</v>
      </c>
      <c r="G1379" s="180">
        <v>27720</v>
      </c>
      <c r="H1379">
        <v>2018</v>
      </c>
      <c r="J1379" s="1334" t="s">
        <v>475</v>
      </c>
      <c r="K1379" s="1335" t="s">
        <v>475</v>
      </c>
      <c r="L1379" s="180">
        <v>0</v>
      </c>
      <c r="M1379" t="s">
        <v>67</v>
      </c>
      <c r="N1379" t="str">
        <f t="shared" si="86"/>
        <v>SMALL PEN RSCH BRN (4036)</v>
      </c>
      <c r="O1379" t="s">
        <v>52</v>
      </c>
      <c r="P1379" t="str">
        <f t="shared" si="87"/>
        <v>18000_4036</v>
      </c>
      <c r="Q1379" s="180">
        <v>100</v>
      </c>
    </row>
    <row r="1380" spans="1:17">
      <c r="A1380" t="str">
        <f t="shared" si="84"/>
        <v>UGA_4063</v>
      </c>
      <c r="B1380" t="str">
        <f t="shared" si="85"/>
        <v>UGA_PUMP HOUSE SRPGL</v>
      </c>
      <c r="C1380" t="s">
        <v>443</v>
      </c>
      <c r="D1380" s="180" t="s">
        <v>51</v>
      </c>
      <c r="E1380" t="s">
        <v>1547</v>
      </c>
      <c r="F1380" t="s">
        <v>1548</v>
      </c>
      <c r="G1380" s="180">
        <v>64</v>
      </c>
      <c r="H1380">
        <v>1955</v>
      </c>
      <c r="J1380" s="1334" t="s">
        <v>475</v>
      </c>
      <c r="K1380" s="1335" t="s">
        <v>475</v>
      </c>
      <c r="L1380" s="180">
        <v>0</v>
      </c>
      <c r="M1380" t="s">
        <v>7818</v>
      </c>
      <c r="N1380" t="str">
        <f t="shared" si="86"/>
        <v>PUMP HOUSE SRPGL (4063)</v>
      </c>
      <c r="O1380" t="s">
        <v>52</v>
      </c>
      <c r="P1380" t="str">
        <f t="shared" si="87"/>
        <v>18000_4063</v>
      </c>
      <c r="Q1380" s="180">
        <v>100</v>
      </c>
    </row>
    <row r="1381" spans="1:17">
      <c r="A1381" t="str">
        <f t="shared" si="84"/>
        <v>UGA_4110</v>
      </c>
      <c r="B1381" t="str">
        <f t="shared" si="85"/>
        <v>UGA_OLD RED BARN</v>
      </c>
      <c r="C1381" t="s">
        <v>443</v>
      </c>
      <c r="D1381" s="180" t="s">
        <v>51</v>
      </c>
      <c r="E1381" t="s">
        <v>1683</v>
      </c>
      <c r="F1381" t="s">
        <v>1684</v>
      </c>
      <c r="G1381" s="180">
        <v>3825</v>
      </c>
      <c r="H1381">
        <v>1968</v>
      </c>
      <c r="J1381" s="1334" t="s">
        <v>475</v>
      </c>
      <c r="K1381" s="1335" t="s">
        <v>481</v>
      </c>
      <c r="L1381" s="180">
        <v>0</v>
      </c>
      <c r="M1381" t="s">
        <v>4</v>
      </c>
      <c r="N1381" t="str">
        <f t="shared" si="86"/>
        <v>OLD RED BARN (4110)</v>
      </c>
      <c r="O1381" t="s">
        <v>52</v>
      </c>
      <c r="P1381" t="str">
        <f t="shared" si="87"/>
        <v>18000_4110</v>
      </c>
      <c r="Q1381" s="180">
        <v>100</v>
      </c>
    </row>
    <row r="1382" spans="1:17">
      <c r="A1382" t="str">
        <f t="shared" si="84"/>
        <v>UGA_4111</v>
      </c>
      <c r="B1382" t="str">
        <f t="shared" si="85"/>
        <v>UGA_CALF BARN</v>
      </c>
      <c r="C1382" t="s">
        <v>443</v>
      </c>
      <c r="D1382" s="180" t="s">
        <v>51</v>
      </c>
      <c r="E1382" t="s">
        <v>3644</v>
      </c>
      <c r="F1382" t="s">
        <v>3645</v>
      </c>
      <c r="G1382" s="180">
        <v>1214</v>
      </c>
      <c r="H1382">
        <v>1968</v>
      </c>
      <c r="J1382" s="1334" t="s">
        <v>475</v>
      </c>
      <c r="K1382" s="1335" t="s">
        <v>481</v>
      </c>
      <c r="L1382" s="180">
        <v>0</v>
      </c>
      <c r="M1382" t="s">
        <v>4</v>
      </c>
      <c r="N1382" t="str">
        <f t="shared" si="86"/>
        <v>CALF BARN (4111)</v>
      </c>
      <c r="O1382" t="s">
        <v>52</v>
      </c>
      <c r="P1382" t="str">
        <f t="shared" si="87"/>
        <v>18000_4111</v>
      </c>
      <c r="Q1382" s="180">
        <v>80</v>
      </c>
    </row>
    <row r="1383" spans="1:17">
      <c r="A1383" t="str">
        <f t="shared" si="84"/>
        <v>UGA_4112</v>
      </c>
      <c r="B1383" t="str">
        <f t="shared" si="85"/>
        <v>UGA_SHOP BLDG</v>
      </c>
      <c r="C1383" t="s">
        <v>443</v>
      </c>
      <c r="D1383" s="180" t="s">
        <v>51</v>
      </c>
      <c r="E1383" t="s">
        <v>1769</v>
      </c>
      <c r="F1383" t="s">
        <v>1770</v>
      </c>
      <c r="G1383" s="180">
        <v>168</v>
      </c>
      <c r="H1383">
        <v>1968</v>
      </c>
      <c r="J1383" s="1334" t="s">
        <v>475</v>
      </c>
      <c r="K1383" s="1335" t="s">
        <v>481</v>
      </c>
      <c r="L1383" s="180">
        <v>0</v>
      </c>
      <c r="M1383" t="s">
        <v>4</v>
      </c>
      <c r="N1383" t="str">
        <f t="shared" si="86"/>
        <v>SHOP BLDG (4112)</v>
      </c>
      <c r="O1383" t="s">
        <v>52</v>
      </c>
      <c r="P1383" t="str">
        <f t="shared" si="87"/>
        <v>18000_4112</v>
      </c>
      <c r="Q1383" s="180">
        <v>100</v>
      </c>
    </row>
    <row r="1384" spans="1:17">
      <c r="A1384" t="str">
        <f t="shared" si="84"/>
        <v>UGA_4114</v>
      </c>
      <c r="B1384" t="str">
        <f t="shared" si="85"/>
        <v>UGA_VET MED CONF CNTR</v>
      </c>
      <c r="C1384" t="s">
        <v>443</v>
      </c>
      <c r="D1384" s="180" t="s">
        <v>51</v>
      </c>
      <c r="E1384" t="s">
        <v>2038</v>
      </c>
      <c r="F1384" t="s">
        <v>2039</v>
      </c>
      <c r="G1384" s="180">
        <v>3250</v>
      </c>
      <c r="H1384">
        <v>1975</v>
      </c>
      <c r="J1384" s="1334" t="s">
        <v>475</v>
      </c>
      <c r="K1384" s="1335" t="s">
        <v>475</v>
      </c>
      <c r="L1384" s="180">
        <v>0</v>
      </c>
      <c r="M1384" t="s">
        <v>4</v>
      </c>
      <c r="N1384" t="str">
        <f t="shared" si="86"/>
        <v>VET MED CONF CNTR (4114)</v>
      </c>
      <c r="O1384" t="s">
        <v>52</v>
      </c>
      <c r="P1384" t="str">
        <f t="shared" si="87"/>
        <v>18000_4114</v>
      </c>
      <c r="Q1384" s="180">
        <v>100</v>
      </c>
    </row>
    <row r="1385" spans="1:17">
      <c r="A1385" t="str">
        <f t="shared" si="84"/>
        <v>UGA_4116</v>
      </c>
      <c r="B1385" t="str">
        <f t="shared" si="85"/>
        <v>UGA_METAL BARN</v>
      </c>
      <c r="C1385" t="s">
        <v>443</v>
      </c>
      <c r="D1385" s="180" t="s">
        <v>51</v>
      </c>
      <c r="E1385" t="s">
        <v>1598</v>
      </c>
      <c r="F1385" t="s">
        <v>1599</v>
      </c>
      <c r="G1385" s="180">
        <v>1020</v>
      </c>
      <c r="H1385">
        <v>1989</v>
      </c>
      <c r="J1385" s="1334" t="s">
        <v>475</v>
      </c>
      <c r="K1385" s="1335" t="s">
        <v>475</v>
      </c>
      <c r="L1385" s="180">
        <v>0</v>
      </c>
      <c r="M1385" t="s">
        <v>4</v>
      </c>
      <c r="N1385" t="str">
        <f t="shared" si="86"/>
        <v>METAL BARN (4116)</v>
      </c>
      <c r="O1385" t="s">
        <v>52</v>
      </c>
      <c r="P1385" t="str">
        <f t="shared" si="87"/>
        <v>18000_4116</v>
      </c>
      <c r="Q1385" s="180">
        <v>100</v>
      </c>
    </row>
    <row r="1386" spans="1:17">
      <c r="A1386" t="str">
        <f t="shared" si="84"/>
        <v>UGA_4117</v>
      </c>
      <c r="B1386" t="str">
        <f t="shared" si="85"/>
        <v>UGA_EQUIP STORAGE</v>
      </c>
      <c r="C1386" t="s">
        <v>443</v>
      </c>
      <c r="D1386" s="180" t="s">
        <v>51</v>
      </c>
      <c r="E1386" t="s">
        <v>3715</v>
      </c>
      <c r="F1386" t="s">
        <v>3716</v>
      </c>
      <c r="G1386" s="180">
        <v>10800</v>
      </c>
      <c r="H1386">
        <v>1968</v>
      </c>
      <c r="J1386" s="1334" t="s">
        <v>475</v>
      </c>
      <c r="K1386" s="1335" t="s">
        <v>481</v>
      </c>
      <c r="L1386" s="180">
        <v>0</v>
      </c>
      <c r="M1386" t="s">
        <v>4</v>
      </c>
      <c r="N1386" t="str">
        <f t="shared" si="86"/>
        <v>EQUIP STORAGE (4117)</v>
      </c>
      <c r="O1386" t="s">
        <v>52</v>
      </c>
      <c r="P1386" t="str">
        <f t="shared" si="87"/>
        <v>18000_4117</v>
      </c>
      <c r="Q1386" s="180">
        <v>100</v>
      </c>
    </row>
    <row r="1387" spans="1:17">
      <c r="A1387" t="str">
        <f t="shared" si="84"/>
        <v>UGA_4118</v>
      </c>
      <c r="B1387" t="str">
        <f t="shared" si="85"/>
        <v>UGA_VET MED EQUIN BARN</v>
      </c>
      <c r="C1387" t="s">
        <v>443</v>
      </c>
      <c r="D1387" s="180" t="s">
        <v>51</v>
      </c>
      <c r="E1387" t="s">
        <v>3035</v>
      </c>
      <c r="F1387" t="s">
        <v>3036</v>
      </c>
      <c r="G1387" s="180">
        <v>8201</v>
      </c>
      <c r="H1387">
        <v>1997</v>
      </c>
      <c r="J1387" s="1334" t="s">
        <v>475</v>
      </c>
      <c r="K1387" s="1335" t="s">
        <v>475</v>
      </c>
      <c r="L1387" s="180">
        <v>0</v>
      </c>
      <c r="M1387" t="s">
        <v>4</v>
      </c>
      <c r="N1387" t="str">
        <f t="shared" si="86"/>
        <v>VET MED EQUIN BARN (4118)</v>
      </c>
      <c r="O1387" t="s">
        <v>52</v>
      </c>
      <c r="P1387" t="str">
        <f t="shared" si="87"/>
        <v>18000_4118</v>
      </c>
      <c r="Q1387" s="180">
        <v>100</v>
      </c>
    </row>
    <row r="1388" spans="1:17">
      <c r="A1388" t="str">
        <f t="shared" si="84"/>
        <v>UGA_4120</v>
      </c>
      <c r="B1388" t="str">
        <f t="shared" si="85"/>
        <v>UGA_ROSE CREEK RESIDENCE WELL HOUS</v>
      </c>
      <c r="C1388" t="s">
        <v>443</v>
      </c>
      <c r="D1388" s="180" t="s">
        <v>51</v>
      </c>
      <c r="E1388" t="s">
        <v>2040</v>
      </c>
      <c r="F1388" t="s">
        <v>2041</v>
      </c>
      <c r="G1388" s="180">
        <v>288</v>
      </c>
      <c r="H1388">
        <v>2019</v>
      </c>
      <c r="J1388" s="1334" t="s">
        <v>475</v>
      </c>
      <c r="K1388" s="1335" t="s">
        <v>475</v>
      </c>
      <c r="L1388" s="180">
        <v>0</v>
      </c>
      <c r="M1388" t="s">
        <v>4</v>
      </c>
      <c r="N1388" t="str">
        <f t="shared" si="86"/>
        <v>ROSE CREEK RESIDENCE WELL HOUS (4120)</v>
      </c>
      <c r="O1388" t="s">
        <v>52</v>
      </c>
      <c r="P1388" t="str">
        <f t="shared" si="87"/>
        <v>18000_4120</v>
      </c>
      <c r="Q1388" s="180">
        <v>100</v>
      </c>
    </row>
    <row r="1389" spans="1:17">
      <c r="A1389" t="str">
        <f t="shared" si="84"/>
        <v>UGA_4150</v>
      </c>
      <c r="B1389" t="str">
        <f t="shared" si="85"/>
        <v>UGA_PDRC STORAGE 4</v>
      </c>
      <c r="C1389" t="s">
        <v>443</v>
      </c>
      <c r="D1389" s="180" t="s">
        <v>51</v>
      </c>
      <c r="E1389" t="s">
        <v>3180</v>
      </c>
      <c r="F1389" t="s">
        <v>3181</v>
      </c>
      <c r="G1389" s="180">
        <v>5000</v>
      </c>
      <c r="H1389">
        <v>1993</v>
      </c>
      <c r="J1389" s="1334" t="s">
        <v>475</v>
      </c>
      <c r="K1389" s="1335" t="s">
        <v>475</v>
      </c>
      <c r="L1389" s="180">
        <v>0</v>
      </c>
      <c r="M1389" t="s">
        <v>7818</v>
      </c>
      <c r="N1389" t="str">
        <f t="shared" si="86"/>
        <v>PDRC STORAGE 4 (4150)</v>
      </c>
      <c r="O1389" t="s">
        <v>52</v>
      </c>
      <c r="P1389" t="str">
        <f t="shared" si="87"/>
        <v>18000_4150</v>
      </c>
      <c r="Q1389" s="180">
        <v>100</v>
      </c>
    </row>
    <row r="1390" spans="1:17">
      <c r="A1390" t="str">
        <f t="shared" si="84"/>
        <v>UGA_4151</v>
      </c>
      <c r="B1390" t="str">
        <f t="shared" si="85"/>
        <v>UGA_PDRC COLONY 5</v>
      </c>
      <c r="C1390" t="s">
        <v>443</v>
      </c>
      <c r="D1390" s="180" t="s">
        <v>51</v>
      </c>
      <c r="E1390" t="s">
        <v>2224</v>
      </c>
      <c r="F1390" t="s">
        <v>2225</v>
      </c>
      <c r="G1390" s="180">
        <v>146</v>
      </c>
      <c r="H1390">
        <v>1995</v>
      </c>
      <c r="J1390" s="1334" t="s">
        <v>475</v>
      </c>
      <c r="K1390" s="1335" t="s">
        <v>475</v>
      </c>
      <c r="L1390" s="180">
        <v>0</v>
      </c>
      <c r="M1390" t="s">
        <v>7818</v>
      </c>
      <c r="N1390" t="str">
        <f t="shared" si="86"/>
        <v>PDRC COLONY 5 (4151)</v>
      </c>
      <c r="O1390" t="s">
        <v>52</v>
      </c>
      <c r="P1390" t="str">
        <f t="shared" si="87"/>
        <v>18000_4151</v>
      </c>
      <c r="Q1390" s="180">
        <v>100</v>
      </c>
    </row>
    <row r="1391" spans="1:17">
      <c r="A1391" t="str">
        <f t="shared" si="84"/>
        <v>UGA_4152</v>
      </c>
      <c r="B1391" t="str">
        <f t="shared" si="85"/>
        <v>UGA_PDRC COLONY 6</v>
      </c>
      <c r="C1391" t="s">
        <v>443</v>
      </c>
      <c r="D1391" s="180" t="s">
        <v>51</v>
      </c>
      <c r="E1391" t="s">
        <v>3314</v>
      </c>
      <c r="F1391" t="s">
        <v>3315</v>
      </c>
      <c r="G1391" s="180">
        <v>146</v>
      </c>
      <c r="H1391">
        <v>1995</v>
      </c>
      <c r="J1391" s="1334" t="s">
        <v>475</v>
      </c>
      <c r="K1391" s="1335" t="s">
        <v>475</v>
      </c>
      <c r="L1391" s="180">
        <v>0</v>
      </c>
      <c r="M1391" t="s">
        <v>7818</v>
      </c>
      <c r="N1391" t="str">
        <f t="shared" si="86"/>
        <v>PDRC COLONY 6 (4152)</v>
      </c>
      <c r="O1391" t="s">
        <v>52</v>
      </c>
      <c r="P1391" t="str">
        <f t="shared" si="87"/>
        <v>18000_4152</v>
      </c>
      <c r="Q1391" s="180">
        <v>100</v>
      </c>
    </row>
    <row r="1392" spans="1:17">
      <c r="A1392" t="str">
        <f t="shared" si="84"/>
        <v>UGA_4153</v>
      </c>
      <c r="B1392" t="str">
        <f t="shared" si="85"/>
        <v>UGA_PDRC COLONY 7</v>
      </c>
      <c r="C1392" t="s">
        <v>443</v>
      </c>
      <c r="D1392" s="180" t="s">
        <v>51</v>
      </c>
      <c r="E1392" t="s">
        <v>1855</v>
      </c>
      <c r="F1392" t="s">
        <v>1856</v>
      </c>
      <c r="G1392" s="180">
        <v>146</v>
      </c>
      <c r="H1392">
        <v>1995</v>
      </c>
      <c r="J1392" s="1334" t="s">
        <v>475</v>
      </c>
      <c r="K1392" s="1335" t="s">
        <v>475</v>
      </c>
      <c r="L1392" s="180">
        <v>0</v>
      </c>
      <c r="M1392" t="s">
        <v>7818</v>
      </c>
      <c r="N1392" t="str">
        <f t="shared" si="86"/>
        <v>PDRC COLONY 7 (4153)</v>
      </c>
      <c r="O1392" t="s">
        <v>52</v>
      </c>
      <c r="P1392" t="str">
        <f t="shared" si="87"/>
        <v>18000_4153</v>
      </c>
      <c r="Q1392" s="180">
        <v>100</v>
      </c>
    </row>
    <row r="1393" spans="1:17">
      <c r="A1393" t="str">
        <f t="shared" si="84"/>
        <v>UGA_4155</v>
      </c>
      <c r="B1393" t="str">
        <f t="shared" si="85"/>
        <v>UGA_PDRC COLONY 9</v>
      </c>
      <c r="C1393" t="s">
        <v>443</v>
      </c>
      <c r="D1393" s="180" t="s">
        <v>51</v>
      </c>
      <c r="E1393" t="s">
        <v>2434</v>
      </c>
      <c r="F1393" t="s">
        <v>2435</v>
      </c>
      <c r="G1393" s="180">
        <v>146</v>
      </c>
      <c r="H1393">
        <v>1995</v>
      </c>
      <c r="J1393" s="1334" t="s">
        <v>475</v>
      </c>
      <c r="K1393" s="1335" t="s">
        <v>475</v>
      </c>
      <c r="L1393" s="180">
        <v>0</v>
      </c>
      <c r="M1393" t="s">
        <v>7818</v>
      </c>
      <c r="N1393" t="str">
        <f t="shared" si="86"/>
        <v>PDRC COLONY 9 (4155)</v>
      </c>
      <c r="O1393" t="s">
        <v>52</v>
      </c>
      <c r="P1393" t="str">
        <f t="shared" si="87"/>
        <v>18000_4155</v>
      </c>
      <c r="Q1393" s="180">
        <v>100</v>
      </c>
    </row>
    <row r="1394" spans="1:17">
      <c r="A1394" t="str">
        <f t="shared" si="84"/>
        <v>UGA_4156</v>
      </c>
      <c r="B1394" t="str">
        <f t="shared" si="85"/>
        <v>UGA_PDRC SHAVINGS</v>
      </c>
      <c r="C1394" t="s">
        <v>443</v>
      </c>
      <c r="D1394" s="180" t="s">
        <v>51</v>
      </c>
      <c r="E1394" t="s">
        <v>4300</v>
      </c>
      <c r="F1394" t="s">
        <v>4301</v>
      </c>
      <c r="G1394" s="180">
        <v>144</v>
      </c>
      <c r="H1394">
        <v>1995</v>
      </c>
      <c r="J1394" s="1334" t="s">
        <v>475</v>
      </c>
      <c r="K1394" s="1335" t="s">
        <v>475</v>
      </c>
      <c r="L1394" s="180">
        <v>0</v>
      </c>
      <c r="M1394" t="s">
        <v>7818</v>
      </c>
      <c r="N1394" t="str">
        <f t="shared" si="86"/>
        <v>PDRC SHAVINGS (4156)</v>
      </c>
      <c r="O1394" t="s">
        <v>52</v>
      </c>
      <c r="P1394" t="str">
        <f t="shared" si="87"/>
        <v>18000_4156</v>
      </c>
      <c r="Q1394" s="180">
        <v>100</v>
      </c>
    </row>
    <row r="1395" spans="1:17">
      <c r="A1395" t="str">
        <f t="shared" si="84"/>
        <v>UGA_4158</v>
      </c>
      <c r="B1395" t="str">
        <f t="shared" si="85"/>
        <v>UGA_PDRC MECH BLDG</v>
      </c>
      <c r="C1395" t="s">
        <v>443</v>
      </c>
      <c r="D1395" s="180" t="s">
        <v>51</v>
      </c>
      <c r="E1395" t="s">
        <v>2778</v>
      </c>
      <c r="F1395" t="s">
        <v>2779</v>
      </c>
      <c r="G1395" s="180">
        <v>73</v>
      </c>
      <c r="H1395">
        <v>2012</v>
      </c>
      <c r="J1395" s="1334" t="s">
        <v>475</v>
      </c>
      <c r="K1395" s="1335" t="s">
        <v>475</v>
      </c>
      <c r="L1395" s="180">
        <v>0</v>
      </c>
      <c r="M1395" t="s">
        <v>7818</v>
      </c>
      <c r="N1395" t="str">
        <f t="shared" si="86"/>
        <v>PDRC MECH BLDG (4158)</v>
      </c>
      <c r="O1395" t="s">
        <v>52</v>
      </c>
      <c r="P1395" t="str">
        <f t="shared" si="87"/>
        <v>18000_4158</v>
      </c>
      <c r="Q1395" s="180">
        <v>100</v>
      </c>
    </row>
    <row r="1396" spans="1:17">
      <c r="A1396" t="str">
        <f t="shared" si="84"/>
        <v>UGA_4174</v>
      </c>
      <c r="B1396" t="str">
        <f t="shared" si="85"/>
        <v>UGA_PDRC COLONY HOUSE 1</v>
      </c>
      <c r="C1396" t="s">
        <v>443</v>
      </c>
      <c r="D1396" s="180" t="s">
        <v>51</v>
      </c>
      <c r="E1396" t="s">
        <v>7615</v>
      </c>
      <c r="F1396" t="s">
        <v>7741</v>
      </c>
      <c r="G1396" s="180">
        <v>158</v>
      </c>
      <c r="H1396">
        <v>2024</v>
      </c>
      <c r="J1396" s="1334" t="s">
        <v>475</v>
      </c>
      <c r="K1396" s="1335" t="s">
        <v>475</v>
      </c>
      <c r="L1396" s="180">
        <v>0</v>
      </c>
      <c r="M1396" t="s">
        <v>7818</v>
      </c>
      <c r="N1396" t="str">
        <f t="shared" si="86"/>
        <v>PDRC COLONY HOUSE 1 (4174)</v>
      </c>
      <c r="O1396" t="s">
        <v>52</v>
      </c>
      <c r="P1396" t="str">
        <f t="shared" si="87"/>
        <v>18000_4174</v>
      </c>
      <c r="Q1396" s="180">
        <v>100</v>
      </c>
    </row>
    <row r="1397" spans="1:17">
      <c r="A1397" t="str">
        <f t="shared" si="84"/>
        <v>UGA_4175</v>
      </c>
      <c r="B1397" t="str">
        <f t="shared" si="85"/>
        <v>UGA_PDRC COLONY 10</v>
      </c>
      <c r="C1397" t="s">
        <v>443</v>
      </c>
      <c r="D1397" s="180" t="s">
        <v>51</v>
      </c>
      <c r="E1397" t="s">
        <v>2826</v>
      </c>
      <c r="F1397" t="s">
        <v>2827</v>
      </c>
      <c r="G1397" s="180">
        <v>169</v>
      </c>
      <c r="H1397">
        <v>2000</v>
      </c>
      <c r="J1397" s="1334" t="s">
        <v>475</v>
      </c>
      <c r="K1397" s="1335" t="s">
        <v>475</v>
      </c>
      <c r="L1397" s="180">
        <v>0</v>
      </c>
      <c r="M1397" t="s">
        <v>7818</v>
      </c>
      <c r="N1397" t="str">
        <f t="shared" si="86"/>
        <v>PDRC COLONY 10 (4175)</v>
      </c>
      <c r="O1397" t="s">
        <v>52</v>
      </c>
      <c r="P1397" t="str">
        <f t="shared" si="87"/>
        <v>18000_4175</v>
      </c>
      <c r="Q1397" s="180">
        <v>100</v>
      </c>
    </row>
    <row r="1398" spans="1:17">
      <c r="A1398" t="str">
        <f t="shared" si="84"/>
        <v>UGA_4176</v>
      </c>
      <c r="B1398" t="str">
        <f t="shared" si="85"/>
        <v>UGA_PDRC COLONY 11</v>
      </c>
      <c r="C1398" t="s">
        <v>443</v>
      </c>
      <c r="D1398" s="180" t="s">
        <v>51</v>
      </c>
      <c r="E1398" t="s">
        <v>2259</v>
      </c>
      <c r="F1398" t="s">
        <v>2260</v>
      </c>
      <c r="G1398" s="180">
        <v>169</v>
      </c>
      <c r="H1398">
        <v>2000</v>
      </c>
      <c r="J1398" s="1334" t="s">
        <v>475</v>
      </c>
      <c r="K1398" s="1335" t="s">
        <v>475</v>
      </c>
      <c r="L1398" s="180">
        <v>0</v>
      </c>
      <c r="M1398" t="s">
        <v>7818</v>
      </c>
      <c r="N1398" t="str">
        <f t="shared" si="86"/>
        <v>PDRC COLONY 11 (4176)</v>
      </c>
      <c r="O1398" t="s">
        <v>52</v>
      </c>
      <c r="P1398" t="str">
        <f t="shared" si="87"/>
        <v>18000_4176</v>
      </c>
      <c r="Q1398" s="180">
        <v>100</v>
      </c>
    </row>
    <row r="1399" spans="1:17">
      <c r="A1399" t="str">
        <f t="shared" si="84"/>
        <v>UGA_4177</v>
      </c>
      <c r="B1399" t="str">
        <f t="shared" si="85"/>
        <v>UGA_PDRC COLONY 12</v>
      </c>
      <c r="C1399" t="s">
        <v>443</v>
      </c>
      <c r="D1399" s="180" t="s">
        <v>51</v>
      </c>
      <c r="E1399" t="s">
        <v>3037</v>
      </c>
      <c r="F1399" t="s">
        <v>3038</v>
      </c>
      <c r="G1399" s="180">
        <v>169</v>
      </c>
      <c r="H1399">
        <v>2000</v>
      </c>
      <c r="J1399" s="1334" t="s">
        <v>475</v>
      </c>
      <c r="K1399" s="1335" t="s">
        <v>475</v>
      </c>
      <c r="L1399" s="180">
        <v>0</v>
      </c>
      <c r="M1399" t="s">
        <v>7818</v>
      </c>
      <c r="N1399" t="str">
        <f t="shared" si="86"/>
        <v>PDRC COLONY 12 (4177)</v>
      </c>
      <c r="O1399" t="s">
        <v>52</v>
      </c>
      <c r="P1399" t="str">
        <f t="shared" si="87"/>
        <v>18000_4177</v>
      </c>
      <c r="Q1399" s="180">
        <v>100</v>
      </c>
    </row>
    <row r="1400" spans="1:17">
      <c r="A1400" t="str">
        <f t="shared" si="84"/>
        <v>UGA_4178</v>
      </c>
      <c r="B1400" t="str">
        <f t="shared" si="85"/>
        <v>UGA_PDRC COLONY 13</v>
      </c>
      <c r="C1400" t="s">
        <v>443</v>
      </c>
      <c r="D1400" s="180" t="s">
        <v>51</v>
      </c>
      <c r="E1400" t="s">
        <v>2371</v>
      </c>
      <c r="F1400" t="s">
        <v>2372</v>
      </c>
      <c r="G1400" s="180">
        <v>338</v>
      </c>
      <c r="H1400">
        <v>2000</v>
      </c>
      <c r="J1400" s="1334" t="s">
        <v>475</v>
      </c>
      <c r="K1400" s="1335" t="s">
        <v>475</v>
      </c>
      <c r="L1400" s="180">
        <v>0</v>
      </c>
      <c r="M1400" t="s">
        <v>7818</v>
      </c>
      <c r="N1400" t="str">
        <f t="shared" si="86"/>
        <v>PDRC COLONY 13 (4178)</v>
      </c>
      <c r="O1400" t="s">
        <v>52</v>
      </c>
      <c r="P1400" t="str">
        <f t="shared" si="87"/>
        <v>18000_4178</v>
      </c>
      <c r="Q1400" s="180">
        <v>100</v>
      </c>
    </row>
    <row r="1401" spans="1:17">
      <c r="A1401" t="str">
        <f t="shared" si="84"/>
        <v>UGA_4179</v>
      </c>
      <c r="B1401" t="str">
        <f t="shared" si="85"/>
        <v>UGA_PDRC COLONY 14</v>
      </c>
      <c r="C1401" t="s">
        <v>443</v>
      </c>
      <c r="D1401" s="180" t="s">
        <v>51</v>
      </c>
      <c r="E1401" t="s">
        <v>1685</v>
      </c>
      <c r="F1401" t="s">
        <v>1686</v>
      </c>
      <c r="G1401" s="180">
        <v>169</v>
      </c>
      <c r="H1401">
        <v>2000</v>
      </c>
      <c r="J1401" s="1334" t="s">
        <v>475</v>
      </c>
      <c r="K1401" s="1335" t="s">
        <v>475</v>
      </c>
      <c r="L1401" s="180">
        <v>0</v>
      </c>
      <c r="M1401" t="s">
        <v>7818</v>
      </c>
      <c r="N1401" t="str">
        <f t="shared" si="86"/>
        <v>PDRC COLONY 14 (4179)</v>
      </c>
      <c r="O1401" t="s">
        <v>52</v>
      </c>
      <c r="P1401" t="str">
        <f t="shared" si="87"/>
        <v>18000_4179</v>
      </c>
      <c r="Q1401" s="180">
        <v>100</v>
      </c>
    </row>
    <row r="1402" spans="1:17">
      <c r="A1402" t="str">
        <f t="shared" si="84"/>
        <v>UGA_4180</v>
      </c>
      <c r="B1402" t="str">
        <f t="shared" si="85"/>
        <v>UGA_PDRC COLONY HOUSE 4</v>
      </c>
      <c r="C1402" t="s">
        <v>443</v>
      </c>
      <c r="D1402" s="180" t="s">
        <v>51</v>
      </c>
      <c r="E1402" t="s">
        <v>7616</v>
      </c>
      <c r="F1402" t="s">
        <v>7742</v>
      </c>
      <c r="G1402" s="180">
        <v>158</v>
      </c>
      <c r="H1402">
        <v>2024</v>
      </c>
      <c r="J1402" s="1334" t="s">
        <v>475</v>
      </c>
      <c r="K1402" s="1335" t="s">
        <v>475</v>
      </c>
      <c r="L1402" s="180">
        <v>0</v>
      </c>
      <c r="M1402" t="s">
        <v>7818</v>
      </c>
      <c r="N1402" t="str">
        <f t="shared" si="86"/>
        <v>PDRC COLONY HOUSE 4 (4180)</v>
      </c>
      <c r="O1402" t="s">
        <v>52</v>
      </c>
      <c r="P1402" t="str">
        <f t="shared" si="87"/>
        <v>18000_4180</v>
      </c>
      <c r="Q1402" s="180">
        <v>100</v>
      </c>
    </row>
    <row r="1403" spans="1:17">
      <c r="A1403" t="str">
        <f t="shared" si="84"/>
        <v>UGA_4181</v>
      </c>
      <c r="B1403" t="str">
        <f t="shared" si="85"/>
        <v>UGA_PDRC COLONY HOUSE 5</v>
      </c>
      <c r="C1403" t="s">
        <v>443</v>
      </c>
      <c r="D1403" s="180" t="s">
        <v>51</v>
      </c>
      <c r="E1403" t="s">
        <v>7617</v>
      </c>
      <c r="F1403" t="s">
        <v>7743</v>
      </c>
      <c r="G1403" s="180">
        <v>158</v>
      </c>
      <c r="H1403">
        <v>2024</v>
      </c>
      <c r="J1403" s="1334" t="s">
        <v>475</v>
      </c>
      <c r="K1403" s="1335" t="s">
        <v>475</v>
      </c>
      <c r="L1403" s="180">
        <v>0</v>
      </c>
      <c r="M1403" t="s">
        <v>7818</v>
      </c>
      <c r="N1403" t="str">
        <f t="shared" si="86"/>
        <v>PDRC COLONY HOUSE 5 (4181)</v>
      </c>
      <c r="O1403" t="s">
        <v>52</v>
      </c>
      <c r="P1403" t="str">
        <f t="shared" si="87"/>
        <v>18000_4181</v>
      </c>
      <c r="Q1403" s="180">
        <v>100</v>
      </c>
    </row>
    <row r="1404" spans="1:17">
      <c r="A1404" t="str">
        <f t="shared" si="84"/>
        <v>UGA_4182</v>
      </c>
      <c r="B1404" t="str">
        <f t="shared" si="85"/>
        <v>UGA_PDRC COLONY HOUSE 6</v>
      </c>
      <c r="C1404" t="s">
        <v>443</v>
      </c>
      <c r="D1404" s="180" t="s">
        <v>51</v>
      </c>
      <c r="E1404" t="s">
        <v>7618</v>
      </c>
      <c r="F1404" t="s">
        <v>7744</v>
      </c>
      <c r="G1404" s="180">
        <v>158</v>
      </c>
      <c r="H1404">
        <v>2024</v>
      </c>
      <c r="J1404" s="1334" t="s">
        <v>475</v>
      </c>
      <c r="K1404" s="1335" t="s">
        <v>475</v>
      </c>
      <c r="L1404" s="180">
        <v>0</v>
      </c>
      <c r="M1404" t="s">
        <v>7818</v>
      </c>
      <c r="N1404" t="str">
        <f t="shared" si="86"/>
        <v>PDRC COLONY HOUSE 6 (4182)</v>
      </c>
      <c r="O1404" t="s">
        <v>52</v>
      </c>
      <c r="P1404" t="str">
        <f t="shared" si="87"/>
        <v>18000_4182</v>
      </c>
      <c r="Q1404" s="180">
        <v>100</v>
      </c>
    </row>
    <row r="1405" spans="1:17">
      <c r="A1405" t="str">
        <f t="shared" si="84"/>
        <v>UGA_4183</v>
      </c>
      <c r="B1405" t="str">
        <f t="shared" si="85"/>
        <v>UGA_PDRC RESEARCH HATCHERY</v>
      </c>
      <c r="C1405" t="s">
        <v>443</v>
      </c>
      <c r="D1405" s="180" t="s">
        <v>51</v>
      </c>
      <c r="E1405" t="s">
        <v>7619</v>
      </c>
      <c r="F1405" t="s">
        <v>7745</v>
      </c>
      <c r="G1405" s="180">
        <v>250</v>
      </c>
      <c r="H1405">
        <v>2024</v>
      </c>
      <c r="J1405" s="1334" t="s">
        <v>475</v>
      </c>
      <c r="K1405" s="1335" t="s">
        <v>475</v>
      </c>
      <c r="L1405" s="180">
        <v>0</v>
      </c>
      <c r="M1405" t="s">
        <v>7818</v>
      </c>
      <c r="N1405" t="str">
        <f t="shared" si="86"/>
        <v>PDRC RESEARCH HATCHERY (4183)</v>
      </c>
      <c r="O1405" t="s">
        <v>52</v>
      </c>
      <c r="P1405" t="str">
        <f t="shared" si="87"/>
        <v>18000_4183</v>
      </c>
      <c r="Q1405" s="180">
        <v>100</v>
      </c>
    </row>
    <row r="1406" spans="1:17">
      <c r="A1406" t="str">
        <f t="shared" si="84"/>
        <v>UGA_4184</v>
      </c>
      <c r="B1406" t="str">
        <f t="shared" si="85"/>
        <v>UGA_PDRC COLONY HOUSE 10</v>
      </c>
      <c r="C1406" t="s">
        <v>443</v>
      </c>
      <c r="D1406" s="180" t="s">
        <v>51</v>
      </c>
      <c r="E1406" t="s">
        <v>7620</v>
      </c>
      <c r="F1406" t="s">
        <v>7746</v>
      </c>
      <c r="G1406" s="180">
        <v>158</v>
      </c>
      <c r="H1406">
        <v>2024</v>
      </c>
      <c r="J1406" s="1334" t="s">
        <v>475</v>
      </c>
      <c r="K1406" s="1335" t="s">
        <v>475</v>
      </c>
      <c r="L1406" s="180">
        <v>0</v>
      </c>
      <c r="M1406" t="s">
        <v>7818</v>
      </c>
      <c r="N1406" t="str">
        <f t="shared" si="86"/>
        <v>PDRC COLONY HOUSE 10 (4184)</v>
      </c>
      <c r="O1406" t="s">
        <v>52</v>
      </c>
      <c r="P1406" t="str">
        <f t="shared" si="87"/>
        <v>18000_4184</v>
      </c>
      <c r="Q1406" s="180">
        <v>100</v>
      </c>
    </row>
    <row r="1407" spans="1:17">
      <c r="A1407" t="str">
        <f t="shared" si="84"/>
        <v>UGA_4185</v>
      </c>
      <c r="B1407" t="str">
        <f t="shared" si="85"/>
        <v>UGA_PDRC COLONY HOUSE 11</v>
      </c>
      <c r="C1407" t="s">
        <v>443</v>
      </c>
      <c r="D1407" s="180" t="s">
        <v>51</v>
      </c>
      <c r="E1407" t="s">
        <v>7621</v>
      </c>
      <c r="F1407" t="s">
        <v>7747</v>
      </c>
      <c r="G1407" s="180">
        <v>158</v>
      </c>
      <c r="H1407">
        <v>2024</v>
      </c>
      <c r="J1407" s="1334" t="s">
        <v>475</v>
      </c>
      <c r="K1407" s="1335" t="s">
        <v>475</v>
      </c>
      <c r="L1407" s="180">
        <v>0</v>
      </c>
      <c r="M1407" t="s">
        <v>7818</v>
      </c>
      <c r="N1407" t="str">
        <f t="shared" si="86"/>
        <v>PDRC COLONY HOUSE 11 (4185)</v>
      </c>
      <c r="O1407" t="s">
        <v>52</v>
      </c>
      <c r="P1407" t="str">
        <f t="shared" si="87"/>
        <v>18000_4185</v>
      </c>
      <c r="Q1407" s="180">
        <v>100</v>
      </c>
    </row>
    <row r="1408" spans="1:17">
      <c r="A1408" t="str">
        <f t="shared" si="84"/>
        <v>UGA_4186</v>
      </c>
      <c r="B1408" t="str">
        <f t="shared" si="85"/>
        <v>UGA_PDRC COLONY HOUSE 12</v>
      </c>
      <c r="C1408" t="s">
        <v>443</v>
      </c>
      <c r="D1408" s="180" t="s">
        <v>51</v>
      </c>
      <c r="E1408" t="s">
        <v>7622</v>
      </c>
      <c r="F1408" t="s">
        <v>7748</v>
      </c>
      <c r="G1408" s="180">
        <v>158</v>
      </c>
      <c r="H1408">
        <v>2024</v>
      </c>
      <c r="J1408" s="1334" t="s">
        <v>475</v>
      </c>
      <c r="K1408" s="1335" t="s">
        <v>475</v>
      </c>
      <c r="L1408" s="180">
        <v>0</v>
      </c>
      <c r="M1408" t="s">
        <v>7818</v>
      </c>
      <c r="N1408" t="str">
        <f t="shared" si="86"/>
        <v>PDRC COLONY HOUSE 12 (4186)</v>
      </c>
      <c r="O1408" t="s">
        <v>52</v>
      </c>
      <c r="P1408" t="str">
        <f t="shared" si="87"/>
        <v>18000_4186</v>
      </c>
      <c r="Q1408" s="180">
        <v>100</v>
      </c>
    </row>
    <row r="1409" spans="1:17">
      <c r="A1409" t="str">
        <f t="shared" si="84"/>
        <v>UGA_4187</v>
      </c>
      <c r="B1409" t="str">
        <f t="shared" si="85"/>
        <v>UGA_PDRC COLONY HOUSE 13</v>
      </c>
      <c r="C1409" t="s">
        <v>443</v>
      </c>
      <c r="D1409" s="180" t="s">
        <v>51</v>
      </c>
      <c r="E1409" t="s">
        <v>7623</v>
      </c>
      <c r="F1409" t="s">
        <v>7749</v>
      </c>
      <c r="G1409" s="180">
        <v>158</v>
      </c>
      <c r="H1409">
        <v>2024</v>
      </c>
      <c r="J1409" s="1334" t="s">
        <v>475</v>
      </c>
      <c r="K1409" s="1335" t="s">
        <v>475</v>
      </c>
      <c r="L1409" s="180">
        <v>0</v>
      </c>
      <c r="M1409" t="s">
        <v>7818</v>
      </c>
      <c r="N1409" t="str">
        <f t="shared" si="86"/>
        <v>PDRC COLONY HOUSE 13 (4187)</v>
      </c>
      <c r="O1409" t="s">
        <v>52</v>
      </c>
      <c r="P1409" t="str">
        <f t="shared" si="87"/>
        <v>18000_4187</v>
      </c>
      <c r="Q1409" s="180">
        <v>100</v>
      </c>
    </row>
    <row r="1410" spans="1:17">
      <c r="A1410" t="str">
        <f t="shared" si="84"/>
        <v>UGA_4301</v>
      </c>
      <c r="B1410" t="str">
        <f t="shared" si="85"/>
        <v>UGA_ORCHARD PUMPHOUSE</v>
      </c>
      <c r="C1410" t="s">
        <v>443</v>
      </c>
      <c r="D1410" s="180" t="s">
        <v>51</v>
      </c>
      <c r="E1410" t="s">
        <v>2510</v>
      </c>
      <c r="F1410" t="s">
        <v>2511</v>
      </c>
      <c r="G1410" s="180">
        <v>320</v>
      </c>
      <c r="H1410">
        <v>2006</v>
      </c>
      <c r="J1410" s="1334" t="s">
        <v>475</v>
      </c>
      <c r="K1410" s="1335" t="s">
        <v>475</v>
      </c>
      <c r="L1410" s="180">
        <v>0</v>
      </c>
      <c r="M1410" t="s">
        <v>104</v>
      </c>
      <c r="N1410" t="str">
        <f t="shared" si="86"/>
        <v>ORCHARD PUMPHOUSE (4301)</v>
      </c>
      <c r="O1410" t="s">
        <v>52</v>
      </c>
      <c r="P1410" t="str">
        <f t="shared" si="87"/>
        <v>18000_4301</v>
      </c>
      <c r="Q1410" s="180">
        <v>100</v>
      </c>
    </row>
    <row r="1411" spans="1:17">
      <c r="A1411" t="str">
        <f t="shared" ref="A1411:A1474" si="88">_xlfn.CONCAT(D1411,"_",E1411)</f>
        <v>UGA_4302</v>
      </c>
      <c r="B1411" t="str">
        <f t="shared" ref="B1411:B1474" si="89">_xlfn.CONCAT(D1411,"_",F1411)</f>
        <v>UGA_SPRING LAKE WELL H</v>
      </c>
      <c r="C1411" t="s">
        <v>443</v>
      </c>
      <c r="D1411" s="180" t="s">
        <v>51</v>
      </c>
      <c r="E1411" t="s">
        <v>2096</v>
      </c>
      <c r="F1411" t="s">
        <v>2097</v>
      </c>
      <c r="G1411" s="180">
        <v>96</v>
      </c>
      <c r="H1411">
        <v>2001</v>
      </c>
      <c r="J1411" s="1334" t="s">
        <v>475</v>
      </c>
      <c r="K1411" s="1335" t="s">
        <v>475</v>
      </c>
      <c r="L1411" s="180">
        <v>0</v>
      </c>
      <c r="M1411" t="s">
        <v>104</v>
      </c>
      <c r="N1411" t="str">
        <f t="shared" ref="N1411:N1474" si="90">_xlfn.CONCAT(F1411," (",E1411,")")</f>
        <v>SPRING LAKE WELL H (4302)</v>
      </c>
      <c r="O1411" t="s">
        <v>52</v>
      </c>
      <c r="P1411" t="str">
        <f t="shared" ref="P1411:P1474" si="91">_xlfn.CONCAT(C1411,"_",E1411)</f>
        <v>18000_4302</v>
      </c>
      <c r="Q1411" s="180">
        <v>100</v>
      </c>
    </row>
    <row r="1412" spans="1:17">
      <c r="A1412" t="str">
        <f t="shared" si="88"/>
        <v>UGA_4303</v>
      </c>
      <c r="B1412" t="str">
        <f t="shared" si="89"/>
        <v>UGA_ELLIS RD WELL/RPZ</v>
      </c>
      <c r="C1412" t="s">
        <v>443</v>
      </c>
      <c r="D1412" s="180" t="s">
        <v>51</v>
      </c>
      <c r="E1412" t="s">
        <v>2780</v>
      </c>
      <c r="F1412" t="s">
        <v>2781</v>
      </c>
      <c r="G1412" s="180">
        <v>26</v>
      </c>
      <c r="H1412">
        <v>2001</v>
      </c>
      <c r="J1412" s="1334" t="s">
        <v>475</v>
      </c>
      <c r="K1412" s="1335" t="s">
        <v>475</v>
      </c>
      <c r="L1412" s="180">
        <v>0</v>
      </c>
      <c r="M1412" t="s">
        <v>104</v>
      </c>
      <c r="N1412" t="str">
        <f t="shared" si="90"/>
        <v>ELLIS RD WELL/RPZ (4303)</v>
      </c>
      <c r="O1412" t="s">
        <v>52</v>
      </c>
      <c r="P1412" t="str">
        <f t="shared" si="91"/>
        <v>18000_4303</v>
      </c>
      <c r="Q1412" s="180">
        <v>100</v>
      </c>
    </row>
    <row r="1413" spans="1:17">
      <c r="A1413" t="str">
        <f t="shared" si="88"/>
        <v>UGA_4304</v>
      </c>
      <c r="B1413" t="str">
        <f t="shared" si="89"/>
        <v>UGA_TURF RPZ</v>
      </c>
      <c r="C1413" t="s">
        <v>443</v>
      </c>
      <c r="D1413" s="180" t="s">
        <v>51</v>
      </c>
      <c r="E1413" t="s">
        <v>3788</v>
      </c>
      <c r="F1413" t="s">
        <v>3789</v>
      </c>
      <c r="G1413" s="180">
        <v>26</v>
      </c>
      <c r="H1413">
        <v>2001</v>
      </c>
      <c r="J1413" s="1334" t="s">
        <v>475</v>
      </c>
      <c r="K1413" s="1335" t="s">
        <v>475</v>
      </c>
      <c r="L1413" s="180">
        <v>0</v>
      </c>
      <c r="M1413" t="s">
        <v>104</v>
      </c>
      <c r="N1413" t="str">
        <f t="shared" si="90"/>
        <v>TURF RPZ (4304)</v>
      </c>
      <c r="O1413" t="s">
        <v>52</v>
      </c>
      <c r="P1413" t="str">
        <f t="shared" si="91"/>
        <v>18000_4304</v>
      </c>
      <c r="Q1413" s="180">
        <v>100</v>
      </c>
    </row>
    <row r="1414" spans="1:17">
      <c r="A1414" t="str">
        <f t="shared" si="88"/>
        <v>UGA_4305</v>
      </c>
      <c r="B1414" t="str">
        <f t="shared" si="89"/>
        <v>UGA_REDDING RPZ</v>
      </c>
      <c r="C1414" t="s">
        <v>443</v>
      </c>
      <c r="D1414" s="180" t="s">
        <v>51</v>
      </c>
      <c r="E1414" t="s">
        <v>1462</v>
      </c>
      <c r="F1414" t="s">
        <v>1463</v>
      </c>
      <c r="G1414" s="180">
        <v>18</v>
      </c>
      <c r="H1414">
        <v>2001</v>
      </c>
      <c r="J1414" s="1334" t="s">
        <v>475</v>
      </c>
      <c r="K1414" s="1335" t="s">
        <v>475</v>
      </c>
      <c r="L1414" s="180">
        <v>0</v>
      </c>
      <c r="M1414" t="s">
        <v>104</v>
      </c>
      <c r="N1414" t="str">
        <f t="shared" si="90"/>
        <v>REDDING RPZ (4305)</v>
      </c>
      <c r="O1414" t="s">
        <v>52</v>
      </c>
      <c r="P1414" t="str">
        <f t="shared" si="91"/>
        <v>18000_4305</v>
      </c>
      <c r="Q1414" s="180">
        <v>100</v>
      </c>
    </row>
    <row r="1415" spans="1:17">
      <c r="A1415" t="str">
        <f t="shared" si="88"/>
        <v>UGA_4306</v>
      </c>
      <c r="B1415" t="str">
        <f t="shared" si="89"/>
        <v>UGA_FRS BLUEBERRY BLDG</v>
      </c>
      <c r="C1415" t="s">
        <v>443</v>
      </c>
      <c r="D1415" s="180" t="s">
        <v>51</v>
      </c>
      <c r="E1415" t="s">
        <v>1750</v>
      </c>
      <c r="F1415" t="s">
        <v>1751</v>
      </c>
      <c r="G1415" s="180">
        <v>1067</v>
      </c>
      <c r="H1415">
        <v>2004</v>
      </c>
      <c r="J1415" s="1334" t="s">
        <v>475</v>
      </c>
      <c r="K1415" s="1335" t="s">
        <v>475</v>
      </c>
      <c r="L1415" s="180">
        <v>0</v>
      </c>
      <c r="M1415" t="s">
        <v>104</v>
      </c>
      <c r="N1415" t="str">
        <f t="shared" si="90"/>
        <v>FRS BLUEBERRY BLDG (4306)</v>
      </c>
      <c r="O1415" t="s">
        <v>52</v>
      </c>
      <c r="P1415" t="str">
        <f t="shared" si="91"/>
        <v>18000_4306</v>
      </c>
      <c r="Q1415" s="180">
        <v>0</v>
      </c>
    </row>
    <row r="1416" spans="1:17">
      <c r="A1416" t="str">
        <f t="shared" si="88"/>
        <v>UGA_4307</v>
      </c>
      <c r="B1416" t="str">
        <f t="shared" si="89"/>
        <v>UGA_HORT BLUBERRY SRNH</v>
      </c>
      <c r="C1416" t="s">
        <v>443</v>
      </c>
      <c r="D1416" s="180" t="s">
        <v>51</v>
      </c>
      <c r="E1416" t="s">
        <v>2147</v>
      </c>
      <c r="F1416" t="s">
        <v>2148</v>
      </c>
      <c r="G1416" s="180">
        <v>1067</v>
      </c>
      <c r="H1416">
        <v>2005</v>
      </c>
      <c r="J1416" s="1334" t="s">
        <v>475</v>
      </c>
      <c r="K1416" s="1335" t="s">
        <v>475</v>
      </c>
      <c r="L1416" s="180">
        <v>0</v>
      </c>
      <c r="M1416" t="s">
        <v>104</v>
      </c>
      <c r="N1416" t="str">
        <f t="shared" si="90"/>
        <v>HORT BLUBERRY SRNH (4307)</v>
      </c>
      <c r="O1416" t="s">
        <v>52</v>
      </c>
      <c r="P1416" t="str">
        <f t="shared" si="91"/>
        <v>18000_4307</v>
      </c>
      <c r="Q1416" s="180">
        <v>100</v>
      </c>
    </row>
    <row r="1417" spans="1:17">
      <c r="A1417" t="str">
        <f t="shared" si="88"/>
        <v>UGA_4308</v>
      </c>
      <c r="B1417" t="str">
        <f t="shared" si="89"/>
        <v>UGA_WATER FILTRATION B</v>
      </c>
      <c r="C1417" t="s">
        <v>443</v>
      </c>
      <c r="D1417" s="180" t="s">
        <v>51</v>
      </c>
      <c r="E1417" t="s">
        <v>2908</v>
      </c>
      <c r="F1417" t="s">
        <v>2909</v>
      </c>
      <c r="G1417" s="180">
        <v>493</v>
      </c>
      <c r="H1417">
        <v>2003</v>
      </c>
      <c r="J1417" s="1334" t="s">
        <v>475</v>
      </c>
      <c r="K1417" s="1335" t="s">
        <v>475</v>
      </c>
      <c r="L1417" s="180">
        <v>0</v>
      </c>
      <c r="M1417" t="s">
        <v>104</v>
      </c>
      <c r="N1417" t="str">
        <f t="shared" si="90"/>
        <v>WATER FILTRATION B (4308)</v>
      </c>
      <c r="O1417" t="s">
        <v>52</v>
      </c>
      <c r="P1417" t="str">
        <f t="shared" si="91"/>
        <v>18000_4308</v>
      </c>
      <c r="Q1417" s="180">
        <v>100</v>
      </c>
    </row>
    <row r="1418" spans="1:17">
      <c r="A1418" t="str">
        <f t="shared" si="88"/>
        <v>UGA_4309</v>
      </c>
      <c r="B1418" t="str">
        <f t="shared" si="89"/>
        <v>UGA_PESTICIDE CONTAIN.</v>
      </c>
      <c r="C1418" t="s">
        <v>443</v>
      </c>
      <c r="D1418" s="180" t="s">
        <v>51</v>
      </c>
      <c r="E1418" t="s">
        <v>3858</v>
      </c>
      <c r="F1418" t="s">
        <v>3859</v>
      </c>
      <c r="G1418" s="180">
        <v>128</v>
      </c>
      <c r="H1418">
        <v>2000</v>
      </c>
      <c r="J1418" s="1334" t="s">
        <v>475</v>
      </c>
      <c r="K1418" s="1335" t="s">
        <v>475</v>
      </c>
      <c r="L1418" s="180">
        <v>0</v>
      </c>
      <c r="M1418" t="s">
        <v>104</v>
      </c>
      <c r="N1418" t="str">
        <f t="shared" si="90"/>
        <v>PESTICIDE CONTAIN. (4309)</v>
      </c>
      <c r="O1418" t="s">
        <v>52</v>
      </c>
      <c r="P1418" t="str">
        <f t="shared" si="91"/>
        <v>18000_4309</v>
      </c>
      <c r="Q1418" s="180">
        <v>100</v>
      </c>
    </row>
    <row r="1419" spans="1:17">
      <c r="A1419" t="str">
        <f t="shared" si="88"/>
        <v>UGA_4310</v>
      </c>
      <c r="B1419" t="str">
        <f t="shared" si="89"/>
        <v>UGA_HORTICULTURE SHADE</v>
      </c>
      <c r="C1419" t="s">
        <v>443</v>
      </c>
      <c r="D1419" s="180" t="s">
        <v>51</v>
      </c>
      <c r="E1419" t="s">
        <v>2640</v>
      </c>
      <c r="F1419" t="s">
        <v>2641</v>
      </c>
      <c r="G1419" s="180">
        <v>3024</v>
      </c>
      <c r="H1419">
        <v>2003</v>
      </c>
      <c r="J1419" s="1334" t="s">
        <v>475</v>
      </c>
      <c r="K1419" s="1335" t="s">
        <v>475</v>
      </c>
      <c r="L1419" s="180">
        <v>0</v>
      </c>
      <c r="M1419" t="s">
        <v>104</v>
      </c>
      <c r="N1419" t="str">
        <f t="shared" si="90"/>
        <v>HORTICULTURE SHADE (4310)</v>
      </c>
      <c r="O1419" t="s">
        <v>52</v>
      </c>
      <c r="P1419" t="str">
        <f t="shared" si="91"/>
        <v>18000_4310</v>
      </c>
      <c r="Q1419" s="180">
        <v>100</v>
      </c>
    </row>
    <row r="1420" spans="1:17">
      <c r="A1420" t="str">
        <f t="shared" si="88"/>
        <v>UGA_4311</v>
      </c>
      <c r="B1420" t="str">
        <f t="shared" si="89"/>
        <v>UGA_RAINOUT SHELTER</v>
      </c>
      <c r="C1420" t="s">
        <v>443</v>
      </c>
      <c r="D1420" s="180" t="s">
        <v>51</v>
      </c>
      <c r="E1420" t="s">
        <v>4302</v>
      </c>
      <c r="F1420" t="s">
        <v>4303</v>
      </c>
      <c r="G1420" s="180">
        <v>4309</v>
      </c>
      <c r="H1420">
        <v>1995</v>
      </c>
      <c r="J1420" s="1334" t="s">
        <v>475</v>
      </c>
      <c r="K1420" s="1335" t="s">
        <v>475</v>
      </c>
      <c r="L1420" s="180">
        <v>0</v>
      </c>
      <c r="M1420" t="s">
        <v>104</v>
      </c>
      <c r="N1420" t="str">
        <f t="shared" si="90"/>
        <v>RAINOUT SHELTER (4311)</v>
      </c>
      <c r="O1420" t="s">
        <v>52</v>
      </c>
      <c r="P1420" t="str">
        <f t="shared" si="91"/>
        <v>18000_4311</v>
      </c>
      <c r="Q1420" s="180">
        <v>100</v>
      </c>
    </row>
    <row r="1421" spans="1:17">
      <c r="A1421" t="str">
        <f t="shared" si="88"/>
        <v>UGA_4312</v>
      </c>
      <c r="B1421" t="str">
        <f t="shared" si="89"/>
        <v>UGA_TURF BUILDING</v>
      </c>
      <c r="C1421" t="s">
        <v>443</v>
      </c>
      <c r="D1421" s="180" t="s">
        <v>51</v>
      </c>
      <c r="E1421" t="s">
        <v>3409</v>
      </c>
      <c r="F1421" t="s">
        <v>3410</v>
      </c>
      <c r="G1421" s="180">
        <v>7992</v>
      </c>
      <c r="H1421">
        <v>2008</v>
      </c>
      <c r="J1421" s="1334" t="s">
        <v>475</v>
      </c>
      <c r="K1421" s="1335" t="s">
        <v>475</v>
      </c>
      <c r="L1421" s="180">
        <v>0</v>
      </c>
      <c r="M1421" t="s">
        <v>104</v>
      </c>
      <c r="N1421" t="str">
        <f t="shared" si="90"/>
        <v>TURF BUILDING (4312)</v>
      </c>
      <c r="O1421" t="s">
        <v>52</v>
      </c>
      <c r="P1421" t="str">
        <f t="shared" si="91"/>
        <v>18000_4312</v>
      </c>
      <c r="Q1421" s="180">
        <v>100</v>
      </c>
    </row>
    <row r="1422" spans="1:17">
      <c r="A1422" t="str">
        <f t="shared" si="88"/>
        <v>UGA_4315</v>
      </c>
      <c r="B1422" t="str">
        <f t="shared" si="89"/>
        <v>UGA_PEACH RESEARCH GREENHOUSE 2</v>
      </c>
      <c r="C1422" t="s">
        <v>443</v>
      </c>
      <c r="D1422" s="180" t="s">
        <v>51</v>
      </c>
      <c r="E1422" t="s">
        <v>7043</v>
      </c>
      <c r="F1422" t="s">
        <v>7146</v>
      </c>
      <c r="G1422" s="180">
        <v>2000</v>
      </c>
      <c r="H1422">
        <v>2021</v>
      </c>
      <c r="J1422" s="1334" t="s">
        <v>475</v>
      </c>
      <c r="K1422" s="1335" t="s">
        <v>475</v>
      </c>
      <c r="L1422" s="180">
        <v>0</v>
      </c>
      <c r="M1422" t="s">
        <v>104</v>
      </c>
      <c r="N1422" t="str">
        <f t="shared" si="90"/>
        <v>PEACH RESEARCH GREENHOUSE 2 (4315)</v>
      </c>
      <c r="O1422" t="s">
        <v>52</v>
      </c>
      <c r="P1422" t="str">
        <f t="shared" si="91"/>
        <v>18000_4315</v>
      </c>
      <c r="Q1422" s="180">
        <v>100</v>
      </c>
    </row>
    <row r="1423" spans="1:17">
      <c r="A1423" t="str">
        <f t="shared" si="88"/>
        <v>UGA_4317</v>
      </c>
      <c r="B1423" t="str">
        <f t="shared" si="89"/>
        <v>UGA_PEACH GREENHOUSE 1</v>
      </c>
      <c r="C1423" t="s">
        <v>443</v>
      </c>
      <c r="D1423" s="180" t="s">
        <v>51</v>
      </c>
      <c r="E1423" t="s">
        <v>7044</v>
      </c>
      <c r="F1423" t="s">
        <v>7147</v>
      </c>
      <c r="G1423" s="180">
        <v>2016</v>
      </c>
      <c r="H1423">
        <v>2021</v>
      </c>
      <c r="J1423" s="1334" t="s">
        <v>475</v>
      </c>
      <c r="K1423" s="1335" t="s">
        <v>475</v>
      </c>
      <c r="L1423" s="180">
        <v>0</v>
      </c>
      <c r="M1423" t="s">
        <v>104</v>
      </c>
      <c r="N1423" t="str">
        <f t="shared" si="90"/>
        <v>PEACH GREENHOUSE 1 (4317)</v>
      </c>
      <c r="O1423" t="s">
        <v>52</v>
      </c>
      <c r="P1423" t="str">
        <f t="shared" si="91"/>
        <v>18000_4317</v>
      </c>
      <c r="Q1423" s="180">
        <v>100</v>
      </c>
    </row>
    <row r="1424" spans="1:17">
      <c r="A1424" t="str">
        <f t="shared" si="88"/>
        <v>UGA_4360</v>
      </c>
      <c r="B1424" t="str">
        <f t="shared" si="89"/>
        <v>UGA_SEPTIC SYS EDU FAC</v>
      </c>
      <c r="C1424" t="s">
        <v>443</v>
      </c>
      <c r="D1424" s="180" t="s">
        <v>51</v>
      </c>
      <c r="E1424" t="s">
        <v>3182</v>
      </c>
      <c r="F1424" t="s">
        <v>3183</v>
      </c>
      <c r="G1424" s="180">
        <v>1800</v>
      </c>
      <c r="H1424">
        <v>2008</v>
      </c>
      <c r="J1424" s="1334" t="s">
        <v>475</v>
      </c>
      <c r="K1424" s="1335" t="s">
        <v>475</v>
      </c>
      <c r="L1424" s="180">
        <v>0</v>
      </c>
      <c r="M1424" t="s">
        <v>104</v>
      </c>
      <c r="N1424" t="str">
        <f t="shared" si="90"/>
        <v>SEPTIC SYS EDU FAC (4360)</v>
      </c>
      <c r="O1424" t="s">
        <v>52</v>
      </c>
      <c r="P1424" t="str">
        <f t="shared" si="91"/>
        <v>18000_4360</v>
      </c>
      <c r="Q1424" s="180">
        <v>100</v>
      </c>
    </row>
    <row r="1425" spans="1:17">
      <c r="A1425" t="str">
        <f t="shared" si="88"/>
        <v>UGA_4367</v>
      </c>
      <c r="B1425" t="str">
        <f t="shared" si="89"/>
        <v>UGA_BLUEBERRY RSCH</v>
      </c>
      <c r="C1425" t="s">
        <v>443</v>
      </c>
      <c r="D1425" s="180" t="s">
        <v>51</v>
      </c>
      <c r="E1425" t="s">
        <v>3534</v>
      </c>
      <c r="F1425" t="s">
        <v>3535</v>
      </c>
      <c r="G1425" s="180">
        <v>1820</v>
      </c>
      <c r="H1425">
        <v>2017</v>
      </c>
      <c r="J1425" s="1334" t="s">
        <v>475</v>
      </c>
      <c r="K1425" s="1335" t="s">
        <v>901</v>
      </c>
      <c r="L1425" s="180">
        <v>0</v>
      </c>
      <c r="M1425" t="s">
        <v>104</v>
      </c>
      <c r="N1425" t="str">
        <f t="shared" si="90"/>
        <v>BLUEBERRY RSCH (4367)</v>
      </c>
      <c r="O1425" t="s">
        <v>52</v>
      </c>
      <c r="P1425" t="str">
        <f t="shared" si="91"/>
        <v>18000_4367</v>
      </c>
      <c r="Q1425" s="180">
        <v>100</v>
      </c>
    </row>
    <row r="1426" spans="1:17">
      <c r="A1426" t="str">
        <f t="shared" si="88"/>
        <v>UGA_4368</v>
      </c>
      <c r="B1426" t="str">
        <f t="shared" si="89"/>
        <v>UGA_FOOD PROD INOV/COM</v>
      </c>
      <c r="C1426" t="s">
        <v>443</v>
      </c>
      <c r="D1426" s="180" t="s">
        <v>51</v>
      </c>
      <c r="E1426" t="s">
        <v>3717</v>
      </c>
      <c r="F1426" t="s">
        <v>3718</v>
      </c>
      <c r="G1426" s="180">
        <v>22929</v>
      </c>
      <c r="H1426">
        <v>2015</v>
      </c>
      <c r="J1426" s="1334" t="s">
        <v>475</v>
      </c>
      <c r="K1426" s="1335" t="s">
        <v>475</v>
      </c>
      <c r="L1426" s="180">
        <v>0</v>
      </c>
      <c r="M1426" t="s">
        <v>104</v>
      </c>
      <c r="N1426" t="str">
        <f t="shared" si="90"/>
        <v>FOOD PROD INOV/COM (4368)</v>
      </c>
      <c r="O1426" t="s">
        <v>52</v>
      </c>
      <c r="P1426" t="str">
        <f t="shared" si="91"/>
        <v>18000_4368</v>
      </c>
      <c r="Q1426" s="180">
        <v>100</v>
      </c>
    </row>
    <row r="1427" spans="1:17">
      <c r="A1427" t="str">
        <f t="shared" si="88"/>
        <v>UGA_4369</v>
      </c>
      <c r="B1427" t="str">
        <f t="shared" si="89"/>
        <v>UGA_WESTBROOK USDA BARN</v>
      </c>
      <c r="C1427" t="s">
        <v>443</v>
      </c>
      <c r="D1427" s="180" t="s">
        <v>51</v>
      </c>
      <c r="E1427" t="s">
        <v>3411</v>
      </c>
      <c r="F1427" t="s">
        <v>3412</v>
      </c>
      <c r="G1427" s="180">
        <v>2500</v>
      </c>
      <c r="H1427">
        <v>2010</v>
      </c>
      <c r="J1427" s="1334" t="s">
        <v>475</v>
      </c>
      <c r="K1427" s="1335" t="s">
        <v>475</v>
      </c>
      <c r="L1427" s="180">
        <v>0</v>
      </c>
      <c r="M1427" t="s">
        <v>104</v>
      </c>
      <c r="N1427" t="str">
        <f t="shared" si="90"/>
        <v>WESTBROOK USDA BARN (4369)</v>
      </c>
      <c r="O1427" t="s">
        <v>52</v>
      </c>
      <c r="P1427" t="str">
        <f t="shared" si="91"/>
        <v>18000_4369</v>
      </c>
      <c r="Q1427" s="180">
        <v>0</v>
      </c>
    </row>
    <row r="1428" spans="1:17">
      <c r="A1428" t="str">
        <f t="shared" si="88"/>
        <v>UGA_4370</v>
      </c>
      <c r="B1428" t="str">
        <f t="shared" si="89"/>
        <v>UGA_GRIFFIN SLC UTILITY BLDG</v>
      </c>
      <c r="C1428" t="s">
        <v>443</v>
      </c>
      <c r="D1428" s="180" t="s">
        <v>51</v>
      </c>
      <c r="E1428" t="s">
        <v>2149</v>
      </c>
      <c r="F1428" t="s">
        <v>2150</v>
      </c>
      <c r="G1428" s="180">
        <v>588</v>
      </c>
      <c r="H1428">
        <v>2008</v>
      </c>
      <c r="J1428" s="1334" t="s">
        <v>475</v>
      </c>
      <c r="K1428" s="1335" t="s">
        <v>475</v>
      </c>
      <c r="L1428" s="180">
        <v>100</v>
      </c>
      <c r="M1428" t="s">
        <v>104</v>
      </c>
      <c r="N1428" t="str">
        <f t="shared" si="90"/>
        <v>GRIFFIN SLC UTILITY BLDG (4370)</v>
      </c>
      <c r="O1428" t="s">
        <v>52</v>
      </c>
      <c r="P1428" t="str">
        <f t="shared" si="91"/>
        <v>18000_4370</v>
      </c>
      <c r="Q1428" s="180">
        <v>100</v>
      </c>
    </row>
    <row r="1429" spans="1:17">
      <c r="A1429" t="str">
        <f t="shared" si="88"/>
        <v>UGA_4371</v>
      </c>
      <c r="B1429" t="str">
        <f t="shared" si="89"/>
        <v>UGA_TURF LAKE PUMPHS</v>
      </c>
      <c r="C1429" t="s">
        <v>443</v>
      </c>
      <c r="D1429" s="180" t="s">
        <v>51</v>
      </c>
      <c r="E1429" t="s">
        <v>3221</v>
      </c>
      <c r="F1429" t="s">
        <v>3222</v>
      </c>
      <c r="G1429" s="180">
        <v>216</v>
      </c>
      <c r="H1429">
        <v>1999</v>
      </c>
      <c r="J1429" s="1334" t="s">
        <v>475</v>
      </c>
      <c r="K1429" s="1335" t="s">
        <v>475</v>
      </c>
      <c r="L1429" s="180">
        <v>0</v>
      </c>
      <c r="M1429" t="s">
        <v>104</v>
      </c>
      <c r="N1429" t="str">
        <f t="shared" si="90"/>
        <v>TURF LAKE PUMPHS (4371)</v>
      </c>
      <c r="O1429" t="s">
        <v>52</v>
      </c>
      <c r="P1429" t="str">
        <f t="shared" si="91"/>
        <v>18000_4371</v>
      </c>
      <c r="Q1429" s="180">
        <v>100</v>
      </c>
    </row>
    <row r="1430" spans="1:17">
      <c r="A1430" t="str">
        <f t="shared" si="88"/>
        <v>UGA_4372</v>
      </c>
      <c r="B1430" t="str">
        <f t="shared" si="89"/>
        <v>UGA_SPC TRAINING CTR</v>
      </c>
      <c r="C1430" t="s">
        <v>443</v>
      </c>
      <c r="D1430" s="180" t="s">
        <v>51</v>
      </c>
      <c r="E1430" t="s">
        <v>3992</v>
      </c>
      <c r="F1430" t="s">
        <v>3993</v>
      </c>
      <c r="G1430" s="180">
        <v>4455</v>
      </c>
      <c r="H1430">
        <v>1997</v>
      </c>
      <c r="J1430" s="1334" t="s">
        <v>475</v>
      </c>
      <c r="K1430" s="1335" t="s">
        <v>475</v>
      </c>
      <c r="L1430" s="180">
        <v>0</v>
      </c>
      <c r="M1430" t="s">
        <v>104</v>
      </c>
      <c r="N1430" t="str">
        <f t="shared" si="90"/>
        <v>SPC TRAINING CTR (4372)</v>
      </c>
      <c r="O1430" t="s">
        <v>52</v>
      </c>
      <c r="P1430" t="str">
        <f t="shared" si="91"/>
        <v>18000_4372</v>
      </c>
      <c r="Q1430" s="180">
        <v>100</v>
      </c>
    </row>
    <row r="1431" spans="1:17">
      <c r="A1431" t="str">
        <f t="shared" si="88"/>
        <v>UGA_4373</v>
      </c>
      <c r="B1431" t="str">
        <f t="shared" si="89"/>
        <v>UGA_GARDEN WELL HOUSE</v>
      </c>
      <c r="C1431" t="s">
        <v>443</v>
      </c>
      <c r="D1431" s="180" t="s">
        <v>51</v>
      </c>
      <c r="E1431" t="s">
        <v>3004</v>
      </c>
      <c r="F1431" t="s">
        <v>3005</v>
      </c>
      <c r="G1431" s="180">
        <v>88</v>
      </c>
      <c r="H1431">
        <v>1997</v>
      </c>
      <c r="J1431" s="1334" t="s">
        <v>475</v>
      </c>
      <c r="K1431" s="1335" t="s">
        <v>475</v>
      </c>
      <c r="L1431" s="180">
        <v>0</v>
      </c>
      <c r="M1431" t="s">
        <v>104</v>
      </c>
      <c r="N1431" t="str">
        <f t="shared" si="90"/>
        <v>GARDEN WELL HOUSE (4373)</v>
      </c>
      <c r="O1431" t="s">
        <v>52</v>
      </c>
      <c r="P1431" t="str">
        <f t="shared" si="91"/>
        <v>18000_4373</v>
      </c>
      <c r="Q1431" s="180">
        <v>100</v>
      </c>
    </row>
    <row r="1432" spans="1:17">
      <c r="A1432" t="str">
        <f t="shared" si="88"/>
        <v>UGA_4374</v>
      </c>
      <c r="B1432" t="str">
        <f t="shared" si="89"/>
        <v>UGA_FUEL PUMPING STATN</v>
      </c>
      <c r="C1432" t="s">
        <v>443</v>
      </c>
      <c r="D1432" s="180" t="s">
        <v>51</v>
      </c>
      <c r="E1432" t="s">
        <v>2524</v>
      </c>
      <c r="F1432" t="s">
        <v>2525</v>
      </c>
      <c r="G1432" s="180">
        <v>149</v>
      </c>
      <c r="H1432">
        <v>1997</v>
      </c>
      <c r="J1432" s="1334" t="s">
        <v>475</v>
      </c>
      <c r="K1432" s="1335" t="s">
        <v>475</v>
      </c>
      <c r="L1432" s="180">
        <v>0</v>
      </c>
      <c r="M1432" t="s">
        <v>104</v>
      </c>
      <c r="N1432" t="str">
        <f t="shared" si="90"/>
        <v>FUEL PUMPING STATN (4374)</v>
      </c>
      <c r="O1432" t="s">
        <v>52</v>
      </c>
      <c r="P1432" t="str">
        <f t="shared" si="91"/>
        <v>18000_4374</v>
      </c>
      <c r="Q1432" s="180">
        <v>0</v>
      </c>
    </row>
    <row r="1433" spans="1:17">
      <c r="A1433" t="str">
        <f t="shared" si="88"/>
        <v>UGA_4375</v>
      </c>
      <c r="B1433" t="str">
        <f t="shared" si="89"/>
        <v>UGA_NCW PAVILLION</v>
      </c>
      <c r="C1433" t="s">
        <v>443</v>
      </c>
      <c r="D1433" s="180" t="s">
        <v>51</v>
      </c>
      <c r="E1433" t="s">
        <v>2839</v>
      </c>
      <c r="F1433" t="s">
        <v>2840</v>
      </c>
      <c r="G1433" s="180">
        <v>4421</v>
      </c>
      <c r="H1433">
        <v>1997</v>
      </c>
      <c r="J1433" s="1334" t="s">
        <v>475</v>
      </c>
      <c r="K1433" s="1335" t="s">
        <v>475</v>
      </c>
      <c r="L1433" s="180">
        <v>15</v>
      </c>
      <c r="M1433" t="s">
        <v>104</v>
      </c>
      <c r="N1433" t="str">
        <f t="shared" si="90"/>
        <v>NCW PAVILLION (4375)</v>
      </c>
      <c r="O1433" t="s">
        <v>52</v>
      </c>
      <c r="P1433" t="str">
        <f t="shared" si="91"/>
        <v>18000_4375</v>
      </c>
      <c r="Q1433" s="180">
        <v>0</v>
      </c>
    </row>
    <row r="1434" spans="1:17">
      <c r="A1434" t="str">
        <f t="shared" si="88"/>
        <v>UGA_4376</v>
      </c>
      <c r="B1434" t="str">
        <f t="shared" si="89"/>
        <v>UGA_GARDEN MAINT BLDG</v>
      </c>
      <c r="C1434" t="s">
        <v>443</v>
      </c>
      <c r="D1434" s="180" t="s">
        <v>51</v>
      </c>
      <c r="E1434" t="s">
        <v>1655</v>
      </c>
      <c r="F1434" t="s">
        <v>1656</v>
      </c>
      <c r="G1434" s="180">
        <v>1500</v>
      </c>
      <c r="H1434">
        <v>1997</v>
      </c>
      <c r="J1434" s="1334" t="s">
        <v>475</v>
      </c>
      <c r="K1434" s="1335" t="s">
        <v>475</v>
      </c>
      <c r="L1434" s="180">
        <v>0</v>
      </c>
      <c r="M1434" t="s">
        <v>104</v>
      </c>
      <c r="N1434" t="str">
        <f t="shared" si="90"/>
        <v>GARDEN MAINT BLDG (4376)</v>
      </c>
      <c r="O1434" t="s">
        <v>52</v>
      </c>
      <c r="P1434" t="str">
        <f t="shared" si="91"/>
        <v>18000_4376</v>
      </c>
      <c r="Q1434" s="180">
        <v>100</v>
      </c>
    </row>
    <row r="1435" spans="1:17">
      <c r="A1435" t="str">
        <f t="shared" si="88"/>
        <v>UGA_4377</v>
      </c>
      <c r="B1435" t="str">
        <f t="shared" si="89"/>
        <v>UGA_GARDEN TETON GRNHS</v>
      </c>
      <c r="C1435" t="s">
        <v>443</v>
      </c>
      <c r="D1435" s="180" t="s">
        <v>51</v>
      </c>
      <c r="E1435" t="s">
        <v>1657</v>
      </c>
      <c r="F1435" t="s">
        <v>1658</v>
      </c>
      <c r="G1435" s="180">
        <v>2962</v>
      </c>
      <c r="H1435">
        <v>1997</v>
      </c>
      <c r="J1435" s="1334" t="s">
        <v>475</v>
      </c>
      <c r="K1435" s="1335" t="s">
        <v>475</v>
      </c>
      <c r="L1435" s="180">
        <v>0</v>
      </c>
      <c r="M1435" t="s">
        <v>104</v>
      </c>
      <c r="N1435" t="str">
        <f t="shared" si="90"/>
        <v>GARDEN TETON GRNHS (4377)</v>
      </c>
      <c r="O1435" t="s">
        <v>52</v>
      </c>
      <c r="P1435" t="str">
        <f t="shared" si="91"/>
        <v>18000_4377</v>
      </c>
      <c r="Q1435" s="180">
        <v>0</v>
      </c>
    </row>
    <row r="1436" spans="1:17">
      <c r="A1436" t="str">
        <f t="shared" si="88"/>
        <v>UGA_4379</v>
      </c>
      <c r="B1436" t="str">
        <f t="shared" si="89"/>
        <v>UGA_ENVIROTRON GRNHS</v>
      </c>
      <c r="C1436" t="s">
        <v>443</v>
      </c>
      <c r="D1436" s="180" t="s">
        <v>51</v>
      </c>
      <c r="E1436" t="s">
        <v>2463</v>
      </c>
      <c r="F1436" t="s">
        <v>2464</v>
      </c>
      <c r="G1436" s="180">
        <v>4452</v>
      </c>
      <c r="H1436">
        <v>1998</v>
      </c>
      <c r="J1436" s="1334" t="s">
        <v>475</v>
      </c>
      <c r="K1436" s="1335" t="s">
        <v>475</v>
      </c>
      <c r="L1436" s="180">
        <v>0</v>
      </c>
      <c r="M1436" t="s">
        <v>104</v>
      </c>
      <c r="N1436" t="str">
        <f t="shared" si="90"/>
        <v>ENVIROTRON GRNHS (4379)</v>
      </c>
      <c r="O1436" t="s">
        <v>52</v>
      </c>
      <c r="P1436" t="str">
        <f t="shared" si="91"/>
        <v>18000_4379</v>
      </c>
      <c r="Q1436" s="180">
        <v>100</v>
      </c>
    </row>
    <row r="1437" spans="1:17">
      <c r="A1437" t="str">
        <f t="shared" si="88"/>
        <v>UGA_4380</v>
      </c>
      <c r="B1437" t="str">
        <f t="shared" si="89"/>
        <v>UGA_WSTBRK USDA EQ SHD</v>
      </c>
      <c r="C1437" t="s">
        <v>443</v>
      </c>
      <c r="D1437" s="180" t="s">
        <v>51</v>
      </c>
      <c r="E1437" t="s">
        <v>2261</v>
      </c>
      <c r="F1437" t="s">
        <v>2262</v>
      </c>
      <c r="G1437" s="180">
        <v>6000</v>
      </c>
      <c r="H1437">
        <v>2004</v>
      </c>
      <c r="J1437" s="1334" t="s">
        <v>475</v>
      </c>
      <c r="K1437" s="1335" t="s">
        <v>475</v>
      </c>
      <c r="L1437" s="180">
        <v>0</v>
      </c>
      <c r="M1437" t="s">
        <v>104</v>
      </c>
      <c r="N1437" t="str">
        <f t="shared" si="90"/>
        <v>WSTBRK USDA EQ SHD (4380)</v>
      </c>
      <c r="O1437" t="s">
        <v>52</v>
      </c>
      <c r="P1437" t="str">
        <f t="shared" si="91"/>
        <v>18000_4380</v>
      </c>
      <c r="Q1437" s="180">
        <v>2</v>
      </c>
    </row>
    <row r="1438" spans="1:17">
      <c r="A1438" t="str">
        <f t="shared" si="88"/>
        <v>UGA_4382</v>
      </c>
      <c r="B1438" t="str">
        <f t="shared" si="89"/>
        <v>UGA_COLD STORAGE BLDG</v>
      </c>
      <c r="C1438" t="s">
        <v>443</v>
      </c>
      <c r="D1438" s="180" t="s">
        <v>51</v>
      </c>
      <c r="E1438" t="s">
        <v>4166</v>
      </c>
      <c r="F1438" t="s">
        <v>4167</v>
      </c>
      <c r="G1438" s="180">
        <v>330</v>
      </c>
      <c r="H1438">
        <v>2002</v>
      </c>
      <c r="J1438" s="1334" t="s">
        <v>475</v>
      </c>
      <c r="K1438" s="1335" t="s">
        <v>475</v>
      </c>
      <c r="L1438" s="180">
        <v>0</v>
      </c>
      <c r="M1438" t="s">
        <v>104</v>
      </c>
      <c r="N1438" t="str">
        <f t="shared" si="90"/>
        <v>COLD STORAGE BLDG (4382)</v>
      </c>
      <c r="O1438" t="s">
        <v>52</v>
      </c>
      <c r="P1438" t="str">
        <f t="shared" si="91"/>
        <v>18000_4382</v>
      </c>
      <c r="Q1438" s="180">
        <v>100</v>
      </c>
    </row>
    <row r="1439" spans="1:17">
      <c r="A1439" t="str">
        <f t="shared" si="88"/>
        <v>UGA_4384</v>
      </c>
      <c r="B1439" t="str">
        <f t="shared" si="89"/>
        <v>UGA_PLANT RESEARCH BLD</v>
      </c>
      <c r="C1439" t="s">
        <v>443</v>
      </c>
      <c r="D1439" s="180" t="s">
        <v>51</v>
      </c>
      <c r="E1439" t="s">
        <v>2910</v>
      </c>
      <c r="F1439" t="s">
        <v>2911</v>
      </c>
      <c r="G1439" s="180">
        <v>2947</v>
      </c>
      <c r="H1439">
        <v>1994</v>
      </c>
      <c r="J1439" s="1334" t="s">
        <v>475</v>
      </c>
      <c r="K1439" s="1335" t="s">
        <v>475</v>
      </c>
      <c r="L1439" s="180">
        <v>0</v>
      </c>
      <c r="M1439" t="s">
        <v>104</v>
      </c>
      <c r="N1439" t="str">
        <f t="shared" si="90"/>
        <v>PLANT RESEARCH BLD (4384)</v>
      </c>
      <c r="O1439" t="s">
        <v>52</v>
      </c>
      <c r="P1439" t="str">
        <f t="shared" si="91"/>
        <v>18000_4384</v>
      </c>
      <c r="Q1439" s="180">
        <v>100</v>
      </c>
    </row>
    <row r="1440" spans="1:17">
      <c r="A1440" t="str">
        <f t="shared" si="88"/>
        <v>UGA_4387</v>
      </c>
      <c r="B1440" t="str">
        <f t="shared" si="89"/>
        <v>UGA_WESTBROOK POND PH</v>
      </c>
      <c r="C1440" t="s">
        <v>443</v>
      </c>
      <c r="D1440" s="180" t="s">
        <v>51</v>
      </c>
      <c r="E1440" t="s">
        <v>1906</v>
      </c>
      <c r="F1440" t="s">
        <v>1907</v>
      </c>
      <c r="G1440" s="180">
        <v>64</v>
      </c>
      <c r="H1440">
        <v>1993</v>
      </c>
      <c r="J1440" s="1334" t="s">
        <v>475</v>
      </c>
      <c r="K1440" s="1335" t="s">
        <v>475</v>
      </c>
      <c r="L1440" s="180">
        <v>0</v>
      </c>
      <c r="M1440" t="s">
        <v>104</v>
      </c>
      <c r="N1440" t="str">
        <f t="shared" si="90"/>
        <v>WESTBROOK POND PH (4387)</v>
      </c>
      <c r="O1440" t="s">
        <v>52</v>
      </c>
      <c r="P1440" t="str">
        <f t="shared" si="91"/>
        <v>18000_4387</v>
      </c>
      <c r="Q1440" s="180">
        <v>100</v>
      </c>
    </row>
    <row r="1441" spans="1:17">
      <c r="A1441" t="str">
        <f t="shared" si="88"/>
        <v>UGA_4388</v>
      </c>
      <c r="B1441" t="str">
        <f t="shared" si="89"/>
        <v>UGA_WESTBROOK POLE BRN</v>
      </c>
      <c r="C1441" t="s">
        <v>443</v>
      </c>
      <c r="D1441" s="180" t="s">
        <v>51</v>
      </c>
      <c r="E1441" t="s">
        <v>3006</v>
      </c>
      <c r="F1441" t="s">
        <v>3007</v>
      </c>
      <c r="G1441" s="180">
        <v>4992</v>
      </c>
      <c r="H1441">
        <v>1993</v>
      </c>
      <c r="J1441" s="1334" t="s">
        <v>475</v>
      </c>
      <c r="K1441" s="1335" t="s">
        <v>475</v>
      </c>
      <c r="L1441" s="180">
        <v>0</v>
      </c>
      <c r="M1441" t="s">
        <v>104</v>
      </c>
      <c r="N1441" t="str">
        <f t="shared" si="90"/>
        <v>WESTBROOK POLE BRN (4388)</v>
      </c>
      <c r="O1441" t="s">
        <v>52</v>
      </c>
      <c r="P1441" t="str">
        <f t="shared" si="91"/>
        <v>18000_4388</v>
      </c>
      <c r="Q1441" s="180">
        <v>100</v>
      </c>
    </row>
    <row r="1442" spans="1:17">
      <c r="A1442" t="str">
        <f t="shared" si="88"/>
        <v>UGA_4389</v>
      </c>
      <c r="B1442" t="str">
        <f t="shared" si="89"/>
        <v>UGA_SUN-RAIN SHELTER</v>
      </c>
      <c r="C1442" t="s">
        <v>443</v>
      </c>
      <c r="D1442" s="180" t="s">
        <v>51</v>
      </c>
      <c r="E1442" t="s">
        <v>3790</v>
      </c>
      <c r="F1442" t="s">
        <v>3791</v>
      </c>
      <c r="G1442" s="180">
        <v>2668</v>
      </c>
      <c r="H1442">
        <v>1991</v>
      </c>
      <c r="J1442" s="1334" t="s">
        <v>475</v>
      </c>
      <c r="K1442" s="1335" t="s">
        <v>475</v>
      </c>
      <c r="L1442" s="180">
        <v>0</v>
      </c>
      <c r="M1442" t="s">
        <v>104</v>
      </c>
      <c r="N1442" t="str">
        <f t="shared" si="90"/>
        <v>SUN-RAIN SHELTER (4389)</v>
      </c>
      <c r="O1442" t="s">
        <v>52</v>
      </c>
      <c r="P1442" t="str">
        <f t="shared" si="91"/>
        <v>18000_4389</v>
      </c>
      <c r="Q1442" s="180">
        <v>100</v>
      </c>
    </row>
    <row r="1443" spans="1:17">
      <c r="A1443" t="str">
        <f t="shared" si="88"/>
        <v>UGA_4393</v>
      </c>
      <c r="B1443" t="str">
        <f t="shared" si="89"/>
        <v>UGA_PATHOLOGY GREENHS</v>
      </c>
      <c r="C1443" t="s">
        <v>443</v>
      </c>
      <c r="D1443" s="180" t="s">
        <v>51</v>
      </c>
      <c r="E1443" t="s">
        <v>3536</v>
      </c>
      <c r="F1443" t="s">
        <v>3537</v>
      </c>
      <c r="G1443" s="180">
        <v>1749</v>
      </c>
      <c r="H1443">
        <v>1993</v>
      </c>
      <c r="J1443" s="1334" t="s">
        <v>475</v>
      </c>
      <c r="K1443" s="1335" t="s">
        <v>475</v>
      </c>
      <c r="L1443" s="180">
        <v>0</v>
      </c>
      <c r="M1443" t="s">
        <v>104</v>
      </c>
      <c r="N1443" t="str">
        <f t="shared" si="90"/>
        <v>PATHOLOGY GREENHS (4393)</v>
      </c>
      <c r="O1443" t="s">
        <v>52</v>
      </c>
      <c r="P1443" t="str">
        <f t="shared" si="91"/>
        <v>18000_4393</v>
      </c>
      <c r="Q1443" s="180">
        <v>100</v>
      </c>
    </row>
    <row r="1444" spans="1:17">
      <c r="A1444" t="str">
        <f t="shared" si="88"/>
        <v>UGA_4394</v>
      </c>
      <c r="B1444" t="str">
        <f t="shared" si="89"/>
        <v>UGA_MELTON STORAGE BLD</v>
      </c>
      <c r="C1444" t="s">
        <v>443</v>
      </c>
      <c r="D1444" s="180" t="s">
        <v>51</v>
      </c>
      <c r="E1444" t="s">
        <v>1835</v>
      </c>
      <c r="F1444" t="s">
        <v>1836</v>
      </c>
      <c r="G1444" s="180">
        <v>2706</v>
      </c>
      <c r="H1444">
        <v>1992</v>
      </c>
      <c r="J1444" s="1334" t="s">
        <v>475</v>
      </c>
      <c r="K1444" s="1335" t="s">
        <v>475</v>
      </c>
      <c r="L1444" s="180">
        <v>0</v>
      </c>
      <c r="M1444" t="s">
        <v>104</v>
      </c>
      <c r="N1444" t="str">
        <f t="shared" si="90"/>
        <v>MELTON STORAGE BLD (4394)</v>
      </c>
      <c r="O1444" t="s">
        <v>52</v>
      </c>
      <c r="P1444" t="str">
        <f t="shared" si="91"/>
        <v>18000_4394</v>
      </c>
      <c r="Q1444" s="180">
        <v>100</v>
      </c>
    </row>
    <row r="1445" spans="1:17">
      <c r="A1445" t="str">
        <f t="shared" si="88"/>
        <v>UGA_4398</v>
      </c>
      <c r="B1445" t="str">
        <f t="shared" si="89"/>
        <v>UGA_ENT SHADEHOUSE</v>
      </c>
      <c r="C1445" t="s">
        <v>443</v>
      </c>
      <c r="D1445" s="180" t="s">
        <v>51</v>
      </c>
      <c r="E1445" t="s">
        <v>2108</v>
      </c>
      <c r="F1445" t="s">
        <v>2109</v>
      </c>
      <c r="G1445" s="180">
        <v>3500</v>
      </c>
      <c r="H1445">
        <v>1999</v>
      </c>
      <c r="J1445" s="1334" t="s">
        <v>475</v>
      </c>
      <c r="K1445" s="1335" t="s">
        <v>475</v>
      </c>
      <c r="L1445" s="180">
        <v>0</v>
      </c>
      <c r="M1445" t="s">
        <v>104</v>
      </c>
      <c r="N1445" t="str">
        <f t="shared" si="90"/>
        <v>ENT SHADEHOUSE (4398)</v>
      </c>
      <c r="O1445" t="s">
        <v>52</v>
      </c>
      <c r="P1445" t="str">
        <f t="shared" si="91"/>
        <v>18000_4398</v>
      </c>
      <c r="Q1445" s="180">
        <v>100</v>
      </c>
    </row>
    <row r="1446" spans="1:17">
      <c r="A1446" t="str">
        <f t="shared" si="88"/>
        <v>UGA_4399</v>
      </c>
      <c r="B1446" t="str">
        <f t="shared" si="89"/>
        <v>UGA_PATHOLOGY POLY GH</v>
      </c>
      <c r="C1446" t="s">
        <v>443</v>
      </c>
      <c r="D1446" s="180" t="s">
        <v>51</v>
      </c>
      <c r="E1446" t="s">
        <v>2841</v>
      </c>
      <c r="F1446" t="s">
        <v>2842</v>
      </c>
      <c r="G1446" s="180">
        <v>2946</v>
      </c>
      <c r="H1446">
        <v>1997</v>
      </c>
      <c r="J1446" s="1334" t="s">
        <v>475</v>
      </c>
      <c r="K1446" s="1335" t="s">
        <v>475</v>
      </c>
      <c r="L1446" s="180">
        <v>0</v>
      </c>
      <c r="M1446" t="s">
        <v>104</v>
      </c>
      <c r="N1446" t="str">
        <f t="shared" si="90"/>
        <v>PATHOLOGY POLY GH (4399)</v>
      </c>
      <c r="O1446" t="s">
        <v>52</v>
      </c>
      <c r="P1446" t="str">
        <f t="shared" si="91"/>
        <v>18000_4399</v>
      </c>
      <c r="Q1446" s="180">
        <v>0</v>
      </c>
    </row>
    <row r="1447" spans="1:17">
      <c r="A1447" t="str">
        <f t="shared" si="88"/>
        <v>UGA_4400</v>
      </c>
      <c r="B1447" t="str">
        <f t="shared" si="89"/>
        <v>UGA_GRIFFIN SLC</v>
      </c>
      <c r="C1447" t="s">
        <v>443</v>
      </c>
      <c r="D1447" s="180" t="s">
        <v>51</v>
      </c>
      <c r="E1447" t="s">
        <v>3390</v>
      </c>
      <c r="F1447" t="s">
        <v>3391</v>
      </c>
      <c r="G1447" s="180">
        <v>32945</v>
      </c>
      <c r="H1447">
        <v>2009</v>
      </c>
      <c r="J1447" s="1334" t="s">
        <v>475</v>
      </c>
      <c r="K1447" s="1335" t="s">
        <v>475</v>
      </c>
      <c r="L1447" s="180">
        <v>100</v>
      </c>
      <c r="M1447" t="s">
        <v>104</v>
      </c>
      <c r="N1447" t="str">
        <f t="shared" si="90"/>
        <v>GRIFFIN SLC (4400)</v>
      </c>
      <c r="O1447" t="s">
        <v>52</v>
      </c>
      <c r="P1447" t="str">
        <f t="shared" si="91"/>
        <v>18000_4400</v>
      </c>
      <c r="Q1447" s="180">
        <v>0</v>
      </c>
    </row>
    <row r="1448" spans="1:17">
      <c r="A1448" t="str">
        <f t="shared" si="88"/>
        <v>UGA_4401</v>
      </c>
      <c r="B1448" t="str">
        <f t="shared" si="89"/>
        <v>UGA_SUPPORT SRVCS BLDG</v>
      </c>
      <c r="C1448" t="s">
        <v>443</v>
      </c>
      <c r="D1448" s="180" t="s">
        <v>51</v>
      </c>
      <c r="E1448" t="s">
        <v>3719</v>
      </c>
      <c r="F1448" t="s">
        <v>3720</v>
      </c>
      <c r="G1448" s="180">
        <v>17410</v>
      </c>
      <c r="H1448">
        <v>1957</v>
      </c>
      <c r="J1448" s="1334" t="s">
        <v>475</v>
      </c>
      <c r="K1448" s="1335" t="s">
        <v>475</v>
      </c>
      <c r="L1448" s="180">
        <v>8</v>
      </c>
      <c r="M1448" t="s">
        <v>104</v>
      </c>
      <c r="N1448" t="str">
        <f t="shared" si="90"/>
        <v>SUPPORT SRVCS BLDG (4401)</v>
      </c>
      <c r="O1448" t="s">
        <v>52</v>
      </c>
      <c r="P1448" t="str">
        <f t="shared" si="91"/>
        <v>18000_4401</v>
      </c>
      <c r="Q1448" s="180">
        <v>0</v>
      </c>
    </row>
    <row r="1449" spans="1:17">
      <c r="A1449" t="str">
        <f t="shared" si="88"/>
        <v>UGA_4405</v>
      </c>
      <c r="B1449" t="str">
        <f t="shared" si="89"/>
        <v>UGA_DUNDEE CAFE</v>
      </c>
      <c r="C1449" t="s">
        <v>443</v>
      </c>
      <c r="D1449" s="180" t="s">
        <v>51</v>
      </c>
      <c r="E1449" t="s">
        <v>2304</v>
      </c>
      <c r="F1449" t="s">
        <v>2305</v>
      </c>
      <c r="G1449" s="180">
        <v>6872</v>
      </c>
      <c r="H1449">
        <v>1920</v>
      </c>
      <c r="J1449" s="1334" t="s">
        <v>475</v>
      </c>
      <c r="K1449" s="1335" t="s">
        <v>481</v>
      </c>
      <c r="L1449" s="180">
        <v>4</v>
      </c>
      <c r="M1449" t="s">
        <v>104</v>
      </c>
      <c r="N1449" t="str">
        <f t="shared" si="90"/>
        <v>DUNDEE CAFE (4405)</v>
      </c>
      <c r="O1449" t="s">
        <v>52</v>
      </c>
      <c r="P1449" t="str">
        <f t="shared" si="91"/>
        <v>18000_4405</v>
      </c>
      <c r="Q1449" s="180">
        <v>100</v>
      </c>
    </row>
    <row r="1450" spans="1:17">
      <c r="A1450" t="str">
        <f t="shared" si="88"/>
        <v>UGA_4408</v>
      </c>
      <c r="B1450" t="str">
        <f t="shared" si="89"/>
        <v>UGA_SANFORD BARN</v>
      </c>
      <c r="C1450" t="s">
        <v>443</v>
      </c>
      <c r="D1450" s="180" t="s">
        <v>51</v>
      </c>
      <c r="E1450" t="s">
        <v>1464</v>
      </c>
      <c r="F1450" t="s">
        <v>1465</v>
      </c>
      <c r="G1450" s="180">
        <v>7421</v>
      </c>
      <c r="H1450">
        <v>1938</v>
      </c>
      <c r="J1450" s="1334" t="s">
        <v>475</v>
      </c>
      <c r="K1450" s="1335" t="s">
        <v>475</v>
      </c>
      <c r="L1450" s="180">
        <v>5</v>
      </c>
      <c r="M1450" t="s">
        <v>104</v>
      </c>
      <c r="N1450" t="str">
        <f t="shared" si="90"/>
        <v>SANFORD BARN (4408)</v>
      </c>
      <c r="O1450" t="s">
        <v>52</v>
      </c>
      <c r="P1450" t="str">
        <f t="shared" si="91"/>
        <v>18000_4408</v>
      </c>
      <c r="Q1450" s="180">
        <v>0</v>
      </c>
    </row>
    <row r="1451" spans="1:17">
      <c r="A1451" t="str">
        <f t="shared" si="88"/>
        <v>UGA_4413</v>
      </c>
      <c r="B1451" t="str">
        <f t="shared" si="89"/>
        <v>UGA_COWART BUILDING</v>
      </c>
      <c r="C1451" t="s">
        <v>443</v>
      </c>
      <c r="D1451" s="180" t="s">
        <v>51</v>
      </c>
      <c r="E1451" t="s">
        <v>1964</v>
      </c>
      <c r="F1451" t="s">
        <v>1965</v>
      </c>
      <c r="G1451" s="180">
        <v>9890</v>
      </c>
      <c r="H1451">
        <v>1948</v>
      </c>
      <c r="J1451" s="1334" t="s">
        <v>475</v>
      </c>
      <c r="K1451" s="1335" t="s">
        <v>486</v>
      </c>
      <c r="L1451" s="180">
        <v>2</v>
      </c>
      <c r="M1451" t="s">
        <v>104</v>
      </c>
      <c r="N1451" t="str">
        <f t="shared" si="90"/>
        <v>COWART BUILDING (4413)</v>
      </c>
      <c r="O1451" t="s">
        <v>52</v>
      </c>
      <c r="P1451" t="str">
        <f t="shared" si="91"/>
        <v>18000_4413</v>
      </c>
      <c r="Q1451" s="180">
        <v>90</v>
      </c>
    </row>
    <row r="1452" spans="1:17">
      <c r="A1452" t="str">
        <f t="shared" si="88"/>
        <v>UGA_4414</v>
      </c>
      <c r="B1452" t="str">
        <f t="shared" si="89"/>
        <v>UGA_ALAMO BUILDING</v>
      </c>
      <c r="C1452" t="s">
        <v>443</v>
      </c>
      <c r="D1452" s="180" t="s">
        <v>51</v>
      </c>
      <c r="E1452" t="s">
        <v>2110</v>
      </c>
      <c r="F1452" t="s">
        <v>2111</v>
      </c>
      <c r="G1452" s="180">
        <v>10461</v>
      </c>
      <c r="H1452">
        <v>1941</v>
      </c>
      <c r="J1452" s="1334" t="s">
        <v>475</v>
      </c>
      <c r="K1452" s="1335" t="s">
        <v>475</v>
      </c>
      <c r="L1452" s="180">
        <v>0</v>
      </c>
      <c r="M1452" t="s">
        <v>104</v>
      </c>
      <c r="N1452" t="str">
        <f t="shared" si="90"/>
        <v>ALAMO BUILDING (4414)</v>
      </c>
      <c r="O1452" t="s">
        <v>52</v>
      </c>
      <c r="P1452" t="str">
        <f t="shared" si="91"/>
        <v>18000_4414</v>
      </c>
      <c r="Q1452" s="180">
        <v>0</v>
      </c>
    </row>
    <row r="1453" spans="1:17">
      <c r="A1453" t="str">
        <f t="shared" si="88"/>
        <v>UGA_4416</v>
      </c>
      <c r="B1453" t="str">
        <f t="shared" si="89"/>
        <v>UGA_FLYNT BUILDING</v>
      </c>
      <c r="C1453" t="s">
        <v>443</v>
      </c>
      <c r="D1453" s="180" t="s">
        <v>51</v>
      </c>
      <c r="E1453" t="s">
        <v>2608</v>
      </c>
      <c r="F1453" t="s">
        <v>2609</v>
      </c>
      <c r="G1453" s="180">
        <v>25931</v>
      </c>
      <c r="H1453">
        <v>1928</v>
      </c>
      <c r="J1453" s="1334" t="s">
        <v>475</v>
      </c>
      <c r="K1453" s="1335" t="s">
        <v>475</v>
      </c>
      <c r="L1453" s="180">
        <v>57</v>
      </c>
      <c r="M1453" t="s">
        <v>104</v>
      </c>
      <c r="N1453" t="str">
        <f t="shared" si="90"/>
        <v>FLYNT BUILDING (4416)</v>
      </c>
      <c r="O1453" t="s">
        <v>52</v>
      </c>
      <c r="P1453" t="str">
        <f t="shared" si="91"/>
        <v>18000_4416</v>
      </c>
      <c r="Q1453" s="180">
        <v>0</v>
      </c>
    </row>
    <row r="1454" spans="1:17">
      <c r="A1454" t="str">
        <f t="shared" si="88"/>
        <v>UGA_4417</v>
      </c>
      <c r="B1454" t="str">
        <f t="shared" si="89"/>
        <v>UGA_URBAN AG CTR</v>
      </c>
      <c r="C1454" t="s">
        <v>443</v>
      </c>
      <c r="D1454" s="180" t="s">
        <v>51</v>
      </c>
      <c r="E1454" t="s">
        <v>3228</v>
      </c>
      <c r="F1454" t="s">
        <v>3229</v>
      </c>
      <c r="G1454" s="180">
        <v>8366</v>
      </c>
      <c r="H1454">
        <v>1952</v>
      </c>
      <c r="J1454" s="1334" t="s">
        <v>475</v>
      </c>
      <c r="K1454" s="1335" t="s">
        <v>1520</v>
      </c>
      <c r="L1454" s="180">
        <v>0</v>
      </c>
      <c r="M1454" t="s">
        <v>104</v>
      </c>
      <c r="N1454" t="str">
        <f t="shared" si="90"/>
        <v>URBAN AG CTR (4417)</v>
      </c>
      <c r="O1454" t="s">
        <v>52</v>
      </c>
      <c r="P1454" t="str">
        <f t="shared" si="91"/>
        <v>18000_4417</v>
      </c>
      <c r="Q1454" s="180">
        <v>0</v>
      </c>
    </row>
    <row r="1455" spans="1:17">
      <c r="A1455" t="str">
        <f t="shared" si="88"/>
        <v>UGA_4419</v>
      </c>
      <c r="B1455" t="str">
        <f t="shared" si="89"/>
        <v>UGA_GIN SHOP</v>
      </c>
      <c r="C1455" t="s">
        <v>443</v>
      </c>
      <c r="D1455" s="180" t="s">
        <v>51</v>
      </c>
      <c r="E1455" t="s">
        <v>3560</v>
      </c>
      <c r="F1455" t="s">
        <v>3561</v>
      </c>
      <c r="G1455" s="180">
        <v>6616</v>
      </c>
      <c r="H1455">
        <v>1946</v>
      </c>
      <c r="J1455" s="1334" t="s">
        <v>475</v>
      </c>
      <c r="K1455" s="1335" t="s">
        <v>481</v>
      </c>
      <c r="L1455" s="180">
        <v>0</v>
      </c>
      <c r="M1455" t="s">
        <v>104</v>
      </c>
      <c r="N1455" t="str">
        <f t="shared" si="90"/>
        <v>GIN SHOP (4419)</v>
      </c>
      <c r="O1455" t="s">
        <v>52</v>
      </c>
      <c r="P1455" t="str">
        <f t="shared" si="91"/>
        <v>18000_4419</v>
      </c>
      <c r="Q1455" s="180">
        <v>0</v>
      </c>
    </row>
    <row r="1456" spans="1:17">
      <c r="A1456" t="str">
        <f t="shared" si="88"/>
        <v>UGA_4421</v>
      </c>
      <c r="B1456" t="str">
        <f t="shared" si="89"/>
        <v>UGA_TISSUE CULTURE LAB</v>
      </c>
      <c r="C1456" t="s">
        <v>443</v>
      </c>
      <c r="D1456" s="180" t="s">
        <v>51</v>
      </c>
      <c r="E1456" t="s">
        <v>3538</v>
      </c>
      <c r="F1456" t="s">
        <v>3539</v>
      </c>
      <c r="G1456" s="180">
        <v>13031</v>
      </c>
      <c r="H1456">
        <v>1957</v>
      </c>
      <c r="J1456" s="1334" t="s">
        <v>475</v>
      </c>
      <c r="K1456" s="1335" t="s">
        <v>1520</v>
      </c>
      <c r="L1456" s="180">
        <v>37</v>
      </c>
      <c r="M1456" t="s">
        <v>104</v>
      </c>
      <c r="N1456" t="str">
        <f t="shared" si="90"/>
        <v>TISSUE CULTURE LAB (4421)</v>
      </c>
      <c r="O1456" t="s">
        <v>52</v>
      </c>
      <c r="P1456" t="str">
        <f t="shared" si="91"/>
        <v>18000_4421</v>
      </c>
      <c r="Q1456" s="180">
        <v>0</v>
      </c>
    </row>
    <row r="1457" spans="1:17">
      <c r="A1457" t="str">
        <f t="shared" si="88"/>
        <v>UGA_4426</v>
      </c>
      <c r="B1457" t="str">
        <f t="shared" si="89"/>
        <v>UGA_STRESS PHYS BLDG</v>
      </c>
      <c r="C1457" t="s">
        <v>443</v>
      </c>
      <c r="D1457" s="180" t="s">
        <v>51</v>
      </c>
      <c r="E1457" t="s">
        <v>1489</v>
      </c>
      <c r="F1457" t="s">
        <v>1490</v>
      </c>
      <c r="G1457" s="180">
        <v>2053</v>
      </c>
      <c r="H1457">
        <v>1940</v>
      </c>
      <c r="J1457" s="1334" t="s">
        <v>475</v>
      </c>
      <c r="K1457" s="1335" t="s">
        <v>475</v>
      </c>
      <c r="L1457" s="180">
        <v>4</v>
      </c>
      <c r="M1457" t="s">
        <v>104</v>
      </c>
      <c r="N1457" t="str">
        <f t="shared" si="90"/>
        <v>STRESS PHYS BLDG (4426)</v>
      </c>
      <c r="O1457" t="s">
        <v>52</v>
      </c>
      <c r="P1457" t="str">
        <f t="shared" si="91"/>
        <v>18000_4426</v>
      </c>
      <c r="Q1457" s="180">
        <v>100</v>
      </c>
    </row>
    <row r="1458" spans="1:17">
      <c r="A1458" t="str">
        <f t="shared" si="88"/>
        <v>UGA_4434</v>
      </c>
      <c r="B1458" t="str">
        <f t="shared" si="89"/>
        <v>UGA_WESTBROOK TOOL SHD</v>
      </c>
      <c r="C1458" t="s">
        <v>443</v>
      </c>
      <c r="D1458" s="180" t="s">
        <v>51</v>
      </c>
      <c r="E1458" t="s">
        <v>3792</v>
      </c>
      <c r="F1458" t="s">
        <v>3793</v>
      </c>
      <c r="G1458" s="180">
        <v>1200</v>
      </c>
      <c r="H1458">
        <v>1958</v>
      </c>
      <c r="J1458" s="1334" t="s">
        <v>475</v>
      </c>
      <c r="K1458" s="1335" t="s">
        <v>486</v>
      </c>
      <c r="L1458" s="180">
        <v>0</v>
      </c>
      <c r="M1458" t="s">
        <v>104</v>
      </c>
      <c r="N1458" t="str">
        <f t="shared" si="90"/>
        <v>WESTBROOK TOOL SHD (4434)</v>
      </c>
      <c r="O1458" t="s">
        <v>52</v>
      </c>
      <c r="P1458" t="str">
        <f t="shared" si="91"/>
        <v>18000_4434</v>
      </c>
      <c r="Q1458" s="180">
        <v>100</v>
      </c>
    </row>
    <row r="1459" spans="1:17">
      <c r="A1459" t="str">
        <f t="shared" si="88"/>
        <v>UGA_4442</v>
      </c>
      <c r="B1459" t="str">
        <f t="shared" si="89"/>
        <v>UGA_PLANT INTRO BLDG</v>
      </c>
      <c r="C1459" t="s">
        <v>443</v>
      </c>
      <c r="D1459" s="180" t="s">
        <v>51</v>
      </c>
      <c r="E1459" t="s">
        <v>2151</v>
      </c>
      <c r="F1459" t="s">
        <v>2152</v>
      </c>
      <c r="G1459" s="180">
        <v>5774</v>
      </c>
      <c r="H1459">
        <v>1966</v>
      </c>
      <c r="J1459" s="1334" t="s">
        <v>475</v>
      </c>
      <c r="K1459" s="1335" t="s">
        <v>481</v>
      </c>
      <c r="L1459" s="180">
        <v>0</v>
      </c>
      <c r="M1459" t="s">
        <v>104</v>
      </c>
      <c r="N1459" t="str">
        <f t="shared" si="90"/>
        <v>PLANT INTRO BLDG (4442)</v>
      </c>
      <c r="O1459" t="s">
        <v>52</v>
      </c>
      <c r="P1459" t="str">
        <f t="shared" si="91"/>
        <v>18000_4442</v>
      </c>
      <c r="Q1459" s="180">
        <v>100</v>
      </c>
    </row>
    <row r="1460" spans="1:17">
      <c r="A1460" t="str">
        <f t="shared" si="88"/>
        <v>UGA_4445</v>
      </c>
      <c r="B1460" t="str">
        <f t="shared" si="89"/>
        <v>UGA_VIRUS LAB BUILDING</v>
      </c>
      <c r="C1460" t="s">
        <v>443</v>
      </c>
      <c r="D1460" s="180" t="s">
        <v>51</v>
      </c>
      <c r="E1460" t="s">
        <v>1752</v>
      </c>
      <c r="F1460" t="s">
        <v>1753</v>
      </c>
      <c r="G1460" s="180">
        <v>5822</v>
      </c>
      <c r="H1460">
        <v>1962</v>
      </c>
      <c r="J1460" s="1334" t="s">
        <v>475</v>
      </c>
      <c r="K1460" s="1335" t="s">
        <v>1520</v>
      </c>
      <c r="L1460" s="180">
        <v>0</v>
      </c>
      <c r="M1460" t="s">
        <v>104</v>
      </c>
      <c r="N1460" t="str">
        <f t="shared" si="90"/>
        <v>VIRUS LAB BUILDING (4445)</v>
      </c>
      <c r="O1460" t="s">
        <v>52</v>
      </c>
      <c r="P1460" t="str">
        <f t="shared" si="91"/>
        <v>18000_4445</v>
      </c>
      <c r="Q1460" s="180">
        <v>100</v>
      </c>
    </row>
    <row r="1461" spans="1:17">
      <c r="A1461" t="str">
        <f t="shared" si="88"/>
        <v>UGA_4457</v>
      </c>
      <c r="B1461" t="str">
        <f t="shared" si="89"/>
        <v>UGA_S-9 LAB BUILDING</v>
      </c>
      <c r="C1461" t="s">
        <v>443</v>
      </c>
      <c r="D1461" s="180" t="s">
        <v>51</v>
      </c>
      <c r="E1461" t="s">
        <v>2782</v>
      </c>
      <c r="F1461" t="s">
        <v>2783</v>
      </c>
      <c r="G1461" s="180">
        <v>5291</v>
      </c>
      <c r="H1461">
        <v>1969</v>
      </c>
      <c r="J1461" s="1334" t="s">
        <v>475</v>
      </c>
      <c r="K1461" s="1335" t="s">
        <v>1520</v>
      </c>
      <c r="L1461" s="180">
        <v>0</v>
      </c>
      <c r="M1461" t="s">
        <v>104</v>
      </c>
      <c r="N1461" t="str">
        <f t="shared" si="90"/>
        <v>S-9 LAB BUILDING (4457)</v>
      </c>
      <c r="O1461" t="s">
        <v>52</v>
      </c>
      <c r="P1461" t="str">
        <f t="shared" si="91"/>
        <v>18000_4457</v>
      </c>
      <c r="Q1461" s="180">
        <v>100</v>
      </c>
    </row>
    <row r="1462" spans="1:17">
      <c r="A1462" t="str">
        <f t="shared" si="88"/>
        <v>UGA_4461</v>
      </c>
      <c r="B1462" t="str">
        <f t="shared" si="89"/>
        <v>UGA_HORT GREENHOUSE</v>
      </c>
      <c r="C1462" t="s">
        <v>443</v>
      </c>
      <c r="D1462" s="180" t="s">
        <v>51</v>
      </c>
      <c r="E1462" t="s">
        <v>3604</v>
      </c>
      <c r="F1462" t="s">
        <v>3605</v>
      </c>
      <c r="G1462" s="180">
        <v>1831</v>
      </c>
      <c r="H1462">
        <v>1971</v>
      </c>
      <c r="J1462" s="1334" t="s">
        <v>475</v>
      </c>
      <c r="K1462" s="1335" t="s">
        <v>475</v>
      </c>
      <c r="L1462" s="180">
        <v>0</v>
      </c>
      <c r="M1462" t="s">
        <v>104</v>
      </c>
      <c r="N1462" t="str">
        <f t="shared" si="90"/>
        <v>HORT GREENHOUSE (4461)</v>
      </c>
      <c r="O1462" t="s">
        <v>52</v>
      </c>
      <c r="P1462" t="str">
        <f t="shared" si="91"/>
        <v>18000_4461</v>
      </c>
      <c r="Q1462" s="180">
        <v>100</v>
      </c>
    </row>
    <row r="1463" spans="1:17">
      <c r="A1463" t="str">
        <f t="shared" si="88"/>
        <v>UGA_4462</v>
      </c>
      <c r="B1463" t="str">
        <f t="shared" si="89"/>
        <v>UGA_STUCKEY CONF CNTR</v>
      </c>
      <c r="C1463" t="s">
        <v>443</v>
      </c>
      <c r="D1463" s="180" t="s">
        <v>51</v>
      </c>
      <c r="E1463" t="s">
        <v>2373</v>
      </c>
      <c r="F1463" t="s">
        <v>2374</v>
      </c>
      <c r="G1463" s="180">
        <v>29574</v>
      </c>
      <c r="H1463">
        <v>1954</v>
      </c>
      <c r="J1463" s="1334" t="s">
        <v>475</v>
      </c>
      <c r="K1463" s="1335" t="s">
        <v>481</v>
      </c>
      <c r="L1463" s="180">
        <v>31</v>
      </c>
      <c r="M1463" t="s">
        <v>104</v>
      </c>
      <c r="N1463" t="str">
        <f t="shared" si="90"/>
        <v>STUCKEY CONF CNTR (4462)</v>
      </c>
      <c r="O1463" t="s">
        <v>52</v>
      </c>
      <c r="P1463" t="str">
        <f t="shared" si="91"/>
        <v>18000_4462</v>
      </c>
      <c r="Q1463" s="180">
        <v>100</v>
      </c>
    </row>
    <row r="1464" spans="1:17">
      <c r="A1464" t="str">
        <f t="shared" si="88"/>
        <v>UGA_4463</v>
      </c>
      <c r="B1464" t="str">
        <f t="shared" si="89"/>
        <v>UGA_MELTON BUILDING</v>
      </c>
      <c r="C1464" t="s">
        <v>443</v>
      </c>
      <c r="D1464" s="180" t="s">
        <v>51</v>
      </c>
      <c r="E1464" t="s">
        <v>1687</v>
      </c>
      <c r="F1464" t="s">
        <v>1688</v>
      </c>
      <c r="G1464" s="180">
        <v>75059</v>
      </c>
      <c r="H1464">
        <v>1966</v>
      </c>
      <c r="J1464" s="1334" t="s">
        <v>475</v>
      </c>
      <c r="K1464" s="1335" t="s">
        <v>486</v>
      </c>
      <c r="L1464" s="180">
        <v>0</v>
      </c>
      <c r="M1464" t="s">
        <v>104</v>
      </c>
      <c r="N1464" t="str">
        <f t="shared" si="90"/>
        <v>MELTON BUILDING (4463)</v>
      </c>
      <c r="O1464" t="s">
        <v>52</v>
      </c>
      <c r="P1464" t="str">
        <f t="shared" si="91"/>
        <v>18000_4463</v>
      </c>
      <c r="Q1464" s="180">
        <v>100</v>
      </c>
    </row>
    <row r="1465" spans="1:17">
      <c r="A1465" t="str">
        <f t="shared" si="88"/>
        <v>UGA_4466</v>
      </c>
      <c r="B1465" t="str">
        <f t="shared" si="89"/>
        <v>UGA_VISITOR HOUSING</v>
      </c>
      <c r="C1465" t="s">
        <v>443</v>
      </c>
      <c r="D1465" s="180" t="s">
        <v>51</v>
      </c>
      <c r="E1465" t="s">
        <v>4318</v>
      </c>
      <c r="F1465" t="s">
        <v>4319</v>
      </c>
      <c r="G1465" s="180">
        <v>2046</v>
      </c>
      <c r="H1465">
        <v>1948</v>
      </c>
      <c r="J1465" s="1334" t="s">
        <v>475</v>
      </c>
      <c r="K1465" s="1335" t="s">
        <v>475</v>
      </c>
      <c r="L1465" s="180">
        <v>0</v>
      </c>
      <c r="M1465" t="s">
        <v>104</v>
      </c>
      <c r="N1465" t="str">
        <f t="shared" si="90"/>
        <v>VISITOR HOUSING (4466)</v>
      </c>
      <c r="O1465" t="s">
        <v>52</v>
      </c>
      <c r="P1465" t="str">
        <f t="shared" si="91"/>
        <v>18000_4466</v>
      </c>
      <c r="Q1465" s="180">
        <v>100</v>
      </c>
    </row>
    <row r="1466" spans="1:17">
      <c r="A1466" t="str">
        <f t="shared" si="88"/>
        <v>UGA_4475</v>
      </c>
      <c r="B1466" t="str">
        <f t="shared" si="89"/>
        <v>UGA_REDDING BUILDING</v>
      </c>
      <c r="C1466" t="s">
        <v>443</v>
      </c>
      <c r="D1466" s="180" t="s">
        <v>51</v>
      </c>
      <c r="E1466" t="s">
        <v>2436</v>
      </c>
      <c r="F1466" t="s">
        <v>2437</v>
      </c>
      <c r="G1466" s="180">
        <v>33369</v>
      </c>
      <c r="H1466">
        <v>1977</v>
      </c>
      <c r="J1466" s="1334" t="s">
        <v>475</v>
      </c>
      <c r="K1466" s="1335" t="s">
        <v>1520</v>
      </c>
      <c r="L1466" s="180">
        <v>12</v>
      </c>
      <c r="M1466" t="s">
        <v>104</v>
      </c>
      <c r="N1466" t="str">
        <f t="shared" si="90"/>
        <v>REDDING BUILDING (4475)</v>
      </c>
      <c r="O1466" t="s">
        <v>52</v>
      </c>
      <c r="P1466" t="str">
        <f t="shared" si="91"/>
        <v>18000_4475</v>
      </c>
      <c r="Q1466" s="180">
        <v>100</v>
      </c>
    </row>
    <row r="1467" spans="1:17">
      <c r="A1467" t="str">
        <f t="shared" si="88"/>
        <v>UGA_4476</v>
      </c>
      <c r="B1467" t="str">
        <f t="shared" si="89"/>
        <v>UGA_PESTICIDE BUILDING</v>
      </c>
      <c r="C1467" t="s">
        <v>443</v>
      </c>
      <c r="D1467" s="180" t="s">
        <v>51</v>
      </c>
      <c r="E1467" t="s">
        <v>2013</v>
      </c>
      <c r="F1467" t="s">
        <v>2014</v>
      </c>
      <c r="G1467" s="180">
        <v>1513</v>
      </c>
      <c r="H1467">
        <v>1975</v>
      </c>
      <c r="J1467" s="1334" t="s">
        <v>475</v>
      </c>
      <c r="K1467" s="1335" t="s">
        <v>475</v>
      </c>
      <c r="L1467" s="180">
        <v>0</v>
      </c>
      <c r="M1467" t="s">
        <v>104</v>
      </c>
      <c r="N1467" t="str">
        <f t="shared" si="90"/>
        <v>PESTICIDE BUILDING (4476)</v>
      </c>
      <c r="O1467" t="s">
        <v>52</v>
      </c>
      <c r="P1467" t="str">
        <f t="shared" si="91"/>
        <v>18000_4476</v>
      </c>
      <c r="Q1467" s="180">
        <v>100</v>
      </c>
    </row>
    <row r="1468" spans="1:17">
      <c r="A1468" t="str">
        <f t="shared" si="88"/>
        <v>UGA_4481</v>
      </c>
      <c r="B1468" t="str">
        <f t="shared" si="89"/>
        <v>UGA_DEMPSEY MAINT BLDG</v>
      </c>
      <c r="C1468" t="s">
        <v>443</v>
      </c>
      <c r="D1468" s="180" t="s">
        <v>51</v>
      </c>
      <c r="E1468" t="s">
        <v>1857</v>
      </c>
      <c r="F1468" t="s">
        <v>1858</v>
      </c>
      <c r="G1468" s="180">
        <v>3247</v>
      </c>
      <c r="H1468">
        <v>1974</v>
      </c>
      <c r="J1468" s="1334" t="s">
        <v>475</v>
      </c>
      <c r="K1468" s="1335" t="s">
        <v>475</v>
      </c>
      <c r="L1468" s="180">
        <v>0</v>
      </c>
      <c r="M1468" t="s">
        <v>104</v>
      </c>
      <c r="N1468" t="str">
        <f t="shared" si="90"/>
        <v>DEMPSEY MAINT BLDG (4481)</v>
      </c>
      <c r="O1468" t="s">
        <v>52</v>
      </c>
      <c r="P1468" t="str">
        <f t="shared" si="91"/>
        <v>18000_4481</v>
      </c>
      <c r="Q1468" s="180">
        <v>100</v>
      </c>
    </row>
    <row r="1469" spans="1:17">
      <c r="A1469" t="str">
        <f t="shared" si="88"/>
        <v>UGA_4482</v>
      </c>
      <c r="B1469" t="str">
        <f t="shared" si="89"/>
        <v>UGA_SEED STOR COOLER</v>
      </c>
      <c r="C1469" t="s">
        <v>443</v>
      </c>
      <c r="D1469" s="180" t="s">
        <v>51</v>
      </c>
      <c r="E1469" t="s">
        <v>3080</v>
      </c>
      <c r="F1469" t="s">
        <v>3081</v>
      </c>
      <c r="G1469" s="180">
        <v>2600</v>
      </c>
      <c r="H1469">
        <v>1978</v>
      </c>
      <c r="J1469" s="1334" t="s">
        <v>475</v>
      </c>
      <c r="K1469" s="1335" t="s">
        <v>475</v>
      </c>
      <c r="L1469" s="180">
        <v>0</v>
      </c>
      <c r="M1469" t="s">
        <v>104</v>
      </c>
      <c r="N1469" t="str">
        <f t="shared" si="90"/>
        <v>SEED STOR COOLER (4482)</v>
      </c>
      <c r="O1469" t="s">
        <v>52</v>
      </c>
      <c r="P1469" t="str">
        <f t="shared" si="91"/>
        <v>18000_4482</v>
      </c>
      <c r="Q1469" s="180">
        <v>100</v>
      </c>
    </row>
    <row r="1470" spans="1:17">
      <c r="A1470" t="str">
        <f t="shared" si="88"/>
        <v>UGA_4483</v>
      </c>
      <c r="B1470" t="str">
        <f t="shared" si="89"/>
        <v>UGA_CHEMICAL STORAGE</v>
      </c>
      <c r="C1470" t="s">
        <v>443</v>
      </c>
      <c r="D1470" s="180" t="s">
        <v>51</v>
      </c>
      <c r="E1470" t="s">
        <v>3646</v>
      </c>
      <c r="F1470" t="s">
        <v>2067</v>
      </c>
      <c r="G1470" s="180">
        <v>415</v>
      </c>
      <c r="H1470">
        <v>1977</v>
      </c>
      <c r="J1470" s="1334" t="s">
        <v>475</v>
      </c>
      <c r="K1470" s="1335" t="s">
        <v>475</v>
      </c>
      <c r="L1470" s="180">
        <v>0</v>
      </c>
      <c r="M1470" t="s">
        <v>104</v>
      </c>
      <c r="N1470" t="str">
        <f t="shared" si="90"/>
        <v>CHEMICAL STORAGE (4483)</v>
      </c>
      <c r="O1470" t="s">
        <v>52</v>
      </c>
      <c r="P1470" t="str">
        <f t="shared" si="91"/>
        <v>18000_4483</v>
      </c>
      <c r="Q1470" s="180">
        <v>100</v>
      </c>
    </row>
    <row r="1471" spans="1:17">
      <c r="A1471" t="str">
        <f t="shared" si="88"/>
        <v>UGA_4486</v>
      </c>
      <c r="B1471" t="str">
        <f t="shared" si="89"/>
        <v>UGA_ENVIROTRON BG/COOL</v>
      </c>
      <c r="C1471" t="s">
        <v>443</v>
      </c>
      <c r="D1471" s="180" t="s">
        <v>51</v>
      </c>
      <c r="E1471" t="s">
        <v>3647</v>
      </c>
      <c r="F1471" t="s">
        <v>3648</v>
      </c>
      <c r="G1471" s="180">
        <v>8070</v>
      </c>
      <c r="H1471">
        <v>1980</v>
      </c>
      <c r="J1471" s="1334" t="s">
        <v>475</v>
      </c>
      <c r="K1471" s="1335" t="s">
        <v>475</v>
      </c>
      <c r="L1471" s="180">
        <v>0</v>
      </c>
      <c r="M1471" t="s">
        <v>104</v>
      </c>
      <c r="N1471" t="str">
        <f t="shared" si="90"/>
        <v>ENVIROTRON BG/COOL (4486)</v>
      </c>
      <c r="O1471" t="s">
        <v>52</v>
      </c>
      <c r="P1471" t="str">
        <f t="shared" si="91"/>
        <v>18000_4486</v>
      </c>
      <c r="Q1471" s="180">
        <v>100</v>
      </c>
    </row>
    <row r="1472" spans="1:17">
      <c r="A1472" t="str">
        <f t="shared" si="88"/>
        <v>UGA_4488</v>
      </c>
      <c r="B1472" t="str">
        <f t="shared" si="89"/>
        <v>UGA_WESTRBRK N STG BLD</v>
      </c>
      <c r="C1472" t="s">
        <v>443</v>
      </c>
      <c r="D1472" s="180" t="s">
        <v>51</v>
      </c>
      <c r="E1472" t="s">
        <v>4396</v>
      </c>
      <c r="F1472" t="s">
        <v>4397</v>
      </c>
      <c r="G1472" s="180">
        <v>3652</v>
      </c>
      <c r="H1472">
        <v>1981</v>
      </c>
      <c r="J1472" s="1334" t="s">
        <v>475</v>
      </c>
      <c r="K1472" s="1335" t="s">
        <v>475</v>
      </c>
      <c r="L1472" s="180">
        <v>4</v>
      </c>
      <c r="M1472" t="s">
        <v>104</v>
      </c>
      <c r="N1472" t="str">
        <f t="shared" si="90"/>
        <v>WESTRBRK N STG BLD (4488)</v>
      </c>
      <c r="O1472" t="s">
        <v>52</v>
      </c>
      <c r="P1472" t="str">
        <f t="shared" si="91"/>
        <v>18000_4488</v>
      </c>
      <c r="Q1472" s="180">
        <v>100</v>
      </c>
    </row>
    <row r="1473" spans="1:17">
      <c r="A1473" t="str">
        <f t="shared" si="88"/>
        <v>UGA_4489</v>
      </c>
      <c r="B1473" t="str">
        <f t="shared" si="89"/>
        <v>UGA_GARDEN STG BLD</v>
      </c>
      <c r="C1473" t="s">
        <v>443</v>
      </c>
      <c r="D1473" s="180" t="s">
        <v>51</v>
      </c>
      <c r="E1473" t="s">
        <v>2465</v>
      </c>
      <c r="F1473" t="s">
        <v>2466</v>
      </c>
      <c r="G1473" s="180">
        <v>2930</v>
      </c>
      <c r="H1473">
        <v>1981</v>
      </c>
      <c r="J1473" s="1334" t="s">
        <v>475</v>
      </c>
      <c r="K1473" s="1335" t="s">
        <v>475</v>
      </c>
      <c r="L1473" s="180">
        <v>0</v>
      </c>
      <c r="M1473" t="s">
        <v>104</v>
      </c>
      <c r="N1473" t="str">
        <f t="shared" si="90"/>
        <v>GARDEN STG BLD (4489)</v>
      </c>
      <c r="O1473" t="s">
        <v>52</v>
      </c>
      <c r="P1473" t="str">
        <f t="shared" si="91"/>
        <v>18000_4489</v>
      </c>
      <c r="Q1473" s="180">
        <v>100</v>
      </c>
    </row>
    <row r="1474" spans="1:17">
      <c r="A1474" t="str">
        <f t="shared" si="88"/>
        <v>UGA_4492</v>
      </c>
      <c r="B1474" t="str">
        <f t="shared" si="89"/>
        <v>UGA_FACILITIES SVC BLD</v>
      </c>
      <c r="C1474" t="s">
        <v>443</v>
      </c>
      <c r="D1474" s="180" t="s">
        <v>51</v>
      </c>
      <c r="E1474" t="s">
        <v>1600</v>
      </c>
      <c r="F1474" t="s">
        <v>1601</v>
      </c>
      <c r="G1474" s="180">
        <v>2400</v>
      </c>
      <c r="H1474">
        <v>1983</v>
      </c>
      <c r="J1474" s="1334" t="s">
        <v>475</v>
      </c>
      <c r="K1474" s="1335" t="s">
        <v>475</v>
      </c>
      <c r="L1474" s="180">
        <v>23</v>
      </c>
      <c r="M1474" t="s">
        <v>104</v>
      </c>
      <c r="N1474" t="str">
        <f t="shared" si="90"/>
        <v>FACILITIES SVC BLD (4492)</v>
      </c>
      <c r="O1474" t="s">
        <v>52</v>
      </c>
      <c r="P1474" t="str">
        <f t="shared" si="91"/>
        <v>18000_4492</v>
      </c>
      <c r="Q1474" s="180">
        <v>100</v>
      </c>
    </row>
    <row r="1475" spans="1:17">
      <c r="A1475" t="str">
        <f t="shared" ref="A1475:A1538" si="92">_xlfn.CONCAT(D1475,"_",E1475)</f>
        <v>UGA_4496</v>
      </c>
      <c r="B1475" t="str">
        <f t="shared" ref="B1475:B1538" si="93">_xlfn.CONCAT(D1475,"_",F1475)</f>
        <v>UGA_HORT STORAGE BLD</v>
      </c>
      <c r="C1475" t="s">
        <v>443</v>
      </c>
      <c r="D1475" s="180" t="s">
        <v>51</v>
      </c>
      <c r="E1475" t="s">
        <v>3392</v>
      </c>
      <c r="F1475" t="s">
        <v>3393</v>
      </c>
      <c r="G1475" s="180">
        <v>2926</v>
      </c>
      <c r="H1475">
        <v>1984</v>
      </c>
      <c r="J1475" s="1334" t="s">
        <v>475</v>
      </c>
      <c r="K1475" s="1335" t="s">
        <v>486</v>
      </c>
      <c r="L1475" s="180">
        <v>10</v>
      </c>
      <c r="M1475" t="s">
        <v>104</v>
      </c>
      <c r="N1475" t="str">
        <f t="shared" ref="N1475:N1538" si="94">_xlfn.CONCAT(F1475," (",E1475,")")</f>
        <v>HORT STORAGE BLD (4496)</v>
      </c>
      <c r="O1475" t="s">
        <v>52</v>
      </c>
      <c r="P1475" t="str">
        <f t="shared" ref="P1475:P1538" si="95">_xlfn.CONCAT(C1475,"_",E1475)</f>
        <v>18000_4496</v>
      </c>
      <c r="Q1475" s="180">
        <v>100</v>
      </c>
    </row>
    <row r="1476" spans="1:17">
      <c r="A1476" t="str">
        <f t="shared" si="92"/>
        <v>UGA_4498</v>
      </c>
      <c r="B1476" t="str">
        <f t="shared" si="93"/>
        <v>UGA_HORT POLY GH 1</v>
      </c>
      <c r="C1476" t="s">
        <v>443</v>
      </c>
      <c r="D1476" s="180" t="s">
        <v>51</v>
      </c>
      <c r="E1476" t="s">
        <v>2843</v>
      </c>
      <c r="F1476" t="s">
        <v>2844</v>
      </c>
      <c r="G1476" s="180">
        <v>2946</v>
      </c>
      <c r="H1476">
        <v>1989</v>
      </c>
      <c r="J1476" s="1334" t="s">
        <v>475</v>
      </c>
      <c r="K1476" s="1335" t="s">
        <v>475</v>
      </c>
      <c r="L1476" s="180">
        <v>0</v>
      </c>
      <c r="M1476" t="s">
        <v>104</v>
      </c>
      <c r="N1476" t="str">
        <f t="shared" si="94"/>
        <v>HORT POLY GH 1 (4498)</v>
      </c>
      <c r="O1476" t="s">
        <v>52</v>
      </c>
      <c r="P1476" t="str">
        <f t="shared" si="95"/>
        <v>18000_4498</v>
      </c>
      <c r="Q1476" s="180">
        <v>100</v>
      </c>
    </row>
    <row r="1477" spans="1:17">
      <c r="A1477" t="str">
        <f t="shared" si="92"/>
        <v>UGA_4499</v>
      </c>
      <c r="B1477" t="str">
        <f t="shared" si="93"/>
        <v>UGA_HORT POLY GH 2</v>
      </c>
      <c r="C1477" t="s">
        <v>443</v>
      </c>
      <c r="D1477" s="180" t="s">
        <v>51</v>
      </c>
      <c r="E1477" t="s">
        <v>4433</v>
      </c>
      <c r="F1477" t="s">
        <v>4434</v>
      </c>
      <c r="G1477" s="180">
        <v>2946</v>
      </c>
      <c r="H1477">
        <v>1998</v>
      </c>
      <c r="J1477" s="1334" t="s">
        <v>475</v>
      </c>
      <c r="K1477" s="1335" t="s">
        <v>475</v>
      </c>
      <c r="L1477" s="180">
        <v>0</v>
      </c>
      <c r="M1477" t="s">
        <v>104</v>
      </c>
      <c r="N1477" t="str">
        <f t="shared" si="94"/>
        <v>HORT POLY GH 2 (4499)</v>
      </c>
      <c r="O1477" t="s">
        <v>52</v>
      </c>
      <c r="P1477" t="str">
        <f t="shared" si="95"/>
        <v>18000_4499</v>
      </c>
      <c r="Q1477" s="180">
        <v>100</v>
      </c>
    </row>
    <row r="1478" spans="1:17">
      <c r="A1478" t="str">
        <f t="shared" si="92"/>
        <v>UGA_4501</v>
      </c>
      <c r="B1478" t="str">
        <f t="shared" si="93"/>
        <v>UGA_BLEDSOE SERVICE BG</v>
      </c>
      <c r="C1478" t="s">
        <v>443</v>
      </c>
      <c r="D1478" s="180" t="s">
        <v>51</v>
      </c>
      <c r="E1478" t="s">
        <v>3994</v>
      </c>
      <c r="F1478" t="s">
        <v>3995</v>
      </c>
      <c r="G1478" s="180">
        <v>3404</v>
      </c>
      <c r="H1478">
        <v>1975</v>
      </c>
      <c r="J1478" s="1334" t="s">
        <v>475</v>
      </c>
      <c r="K1478" s="1335" t="s">
        <v>486</v>
      </c>
      <c r="L1478" s="180">
        <v>0</v>
      </c>
      <c r="M1478" t="s">
        <v>4</v>
      </c>
      <c r="N1478" t="str">
        <f t="shared" si="94"/>
        <v>BLEDSOE SERVICE BG (4501)</v>
      </c>
      <c r="O1478" t="s">
        <v>52</v>
      </c>
      <c r="P1478" t="str">
        <f t="shared" si="95"/>
        <v>18000_4501</v>
      </c>
      <c r="Q1478" s="180">
        <v>100</v>
      </c>
    </row>
    <row r="1479" spans="1:17">
      <c r="A1479" t="str">
        <f t="shared" si="92"/>
        <v>UGA_4503</v>
      </c>
      <c r="B1479" t="str">
        <f t="shared" si="93"/>
        <v>UGA_BLEDSOE FARM RESID</v>
      </c>
      <c r="C1479" t="s">
        <v>443</v>
      </c>
      <c r="D1479" s="180" t="s">
        <v>51</v>
      </c>
      <c r="E1479" t="s">
        <v>2845</v>
      </c>
      <c r="F1479" t="s">
        <v>2846</v>
      </c>
      <c r="G1479" s="180">
        <v>1392</v>
      </c>
      <c r="H1479">
        <v>1975</v>
      </c>
      <c r="J1479" s="1334" t="s">
        <v>475</v>
      </c>
      <c r="K1479" s="1335" t="s">
        <v>475</v>
      </c>
      <c r="L1479" s="180">
        <v>0</v>
      </c>
      <c r="M1479" t="s">
        <v>4</v>
      </c>
      <c r="N1479" t="str">
        <f t="shared" si="94"/>
        <v>BLEDSOE FARM RESID (4503)</v>
      </c>
      <c r="O1479" t="s">
        <v>52</v>
      </c>
      <c r="P1479" t="str">
        <f t="shared" si="95"/>
        <v>18000_4503</v>
      </c>
      <c r="Q1479" s="180">
        <v>100</v>
      </c>
    </row>
    <row r="1480" spans="1:17">
      <c r="A1480" t="str">
        <f t="shared" si="92"/>
        <v>UGA_4504</v>
      </c>
      <c r="B1480" t="str">
        <f t="shared" si="93"/>
        <v>UGA_BLEDSOE IRRG PMPHS</v>
      </c>
      <c r="C1480" t="s">
        <v>443</v>
      </c>
      <c r="D1480" s="180" t="s">
        <v>51</v>
      </c>
      <c r="E1480" t="s">
        <v>2912</v>
      </c>
      <c r="F1480" t="s">
        <v>2913</v>
      </c>
      <c r="G1480" s="180">
        <v>146</v>
      </c>
      <c r="H1480">
        <v>1975</v>
      </c>
      <c r="J1480" s="1334" t="s">
        <v>475</v>
      </c>
      <c r="K1480" s="1335" t="s">
        <v>475</v>
      </c>
      <c r="L1480" s="180">
        <v>0</v>
      </c>
      <c r="M1480" t="s">
        <v>4</v>
      </c>
      <c r="N1480" t="str">
        <f t="shared" si="94"/>
        <v>BLEDSOE IRRG PMPHS (4504)</v>
      </c>
      <c r="O1480" t="s">
        <v>52</v>
      </c>
      <c r="P1480" t="str">
        <f t="shared" si="95"/>
        <v>18000_4504</v>
      </c>
      <c r="Q1480" s="180">
        <v>100</v>
      </c>
    </row>
    <row r="1481" spans="1:17">
      <c r="A1481" t="str">
        <f t="shared" si="92"/>
        <v>UGA_4505</v>
      </c>
      <c r="B1481" t="str">
        <f t="shared" si="93"/>
        <v>UGA_BLEDSOE METAL STRG</v>
      </c>
      <c r="C1481" t="s">
        <v>443</v>
      </c>
      <c r="D1481" s="180" t="s">
        <v>51</v>
      </c>
      <c r="E1481" t="s">
        <v>1491</v>
      </c>
      <c r="F1481" t="s">
        <v>1492</v>
      </c>
      <c r="G1481" s="180">
        <v>3240</v>
      </c>
      <c r="H1481">
        <v>1979</v>
      </c>
      <c r="J1481" s="1334" t="s">
        <v>475</v>
      </c>
      <c r="K1481" s="1335" t="s">
        <v>475</v>
      </c>
      <c r="L1481" s="180">
        <v>0</v>
      </c>
      <c r="M1481" t="s">
        <v>4</v>
      </c>
      <c r="N1481" t="str">
        <f t="shared" si="94"/>
        <v>BLEDSOE METAL STRG (4505)</v>
      </c>
      <c r="O1481" t="s">
        <v>52</v>
      </c>
      <c r="P1481" t="str">
        <f t="shared" si="95"/>
        <v>18000_4505</v>
      </c>
      <c r="Q1481" s="180">
        <v>100</v>
      </c>
    </row>
    <row r="1482" spans="1:17">
      <c r="A1482" t="str">
        <f t="shared" si="92"/>
        <v>UGA_4506</v>
      </c>
      <c r="B1482" t="str">
        <f t="shared" si="93"/>
        <v>UGA_BLEDSOE FERT/PEST</v>
      </c>
      <c r="C1482" t="s">
        <v>443</v>
      </c>
      <c r="D1482" s="180" t="s">
        <v>51</v>
      </c>
      <c r="E1482" t="s">
        <v>3039</v>
      </c>
      <c r="F1482" t="s">
        <v>3040</v>
      </c>
      <c r="G1482" s="180">
        <v>1440</v>
      </c>
      <c r="H1482">
        <v>1984</v>
      </c>
      <c r="J1482" s="1334" t="s">
        <v>475</v>
      </c>
      <c r="K1482" s="1335" t="s">
        <v>475</v>
      </c>
      <c r="L1482" s="180">
        <v>0</v>
      </c>
      <c r="M1482" t="s">
        <v>4</v>
      </c>
      <c r="N1482" t="str">
        <f t="shared" si="94"/>
        <v>BLEDSOE FERT/PEST (4506)</v>
      </c>
      <c r="O1482" t="s">
        <v>52</v>
      </c>
      <c r="P1482" t="str">
        <f t="shared" si="95"/>
        <v>18000_4506</v>
      </c>
      <c r="Q1482" s="180">
        <v>100</v>
      </c>
    </row>
    <row r="1483" spans="1:17">
      <c r="A1483" t="str">
        <f t="shared" si="92"/>
        <v>UGA_4508</v>
      </c>
      <c r="B1483" t="str">
        <f t="shared" si="93"/>
        <v>UGA_BLEDSOE EQUIP SHED</v>
      </c>
      <c r="C1483" t="s">
        <v>443</v>
      </c>
      <c r="D1483" s="180" t="s">
        <v>51</v>
      </c>
      <c r="E1483" t="s">
        <v>3230</v>
      </c>
      <c r="F1483" t="s">
        <v>3231</v>
      </c>
      <c r="G1483" s="180">
        <v>3230</v>
      </c>
      <c r="H1483">
        <v>1992</v>
      </c>
      <c r="J1483" s="1334" t="s">
        <v>475</v>
      </c>
      <c r="K1483" s="1335" t="s">
        <v>475</v>
      </c>
      <c r="L1483" s="180">
        <v>0</v>
      </c>
      <c r="M1483" t="s">
        <v>4</v>
      </c>
      <c r="N1483" t="str">
        <f t="shared" si="94"/>
        <v>BLEDSOE EQUIP SHED (4508)</v>
      </c>
      <c r="O1483" t="s">
        <v>52</v>
      </c>
      <c r="P1483" t="str">
        <f t="shared" si="95"/>
        <v>18000_4508</v>
      </c>
      <c r="Q1483" s="180">
        <v>100</v>
      </c>
    </row>
    <row r="1484" spans="1:17">
      <c r="A1484" t="str">
        <f t="shared" si="92"/>
        <v>UGA_4512</v>
      </c>
      <c r="B1484" t="str">
        <f t="shared" si="93"/>
        <v>UGA_CROP PROCESSING</v>
      </c>
      <c r="C1484" t="s">
        <v>443</v>
      </c>
      <c r="D1484" s="180" t="s">
        <v>51</v>
      </c>
      <c r="E1484" t="s">
        <v>3394</v>
      </c>
      <c r="F1484" t="s">
        <v>3395</v>
      </c>
      <c r="G1484" s="180">
        <v>3265</v>
      </c>
      <c r="H1484">
        <v>2015</v>
      </c>
      <c r="J1484" s="1334" t="s">
        <v>475</v>
      </c>
      <c r="K1484" s="1335" t="s">
        <v>475</v>
      </c>
      <c r="L1484" s="180">
        <v>0</v>
      </c>
      <c r="M1484" t="s">
        <v>104</v>
      </c>
      <c r="N1484" t="str">
        <f t="shared" si="94"/>
        <v>CROP PROCESSING (4512)</v>
      </c>
      <c r="O1484" t="s">
        <v>52</v>
      </c>
      <c r="P1484" t="str">
        <f t="shared" si="95"/>
        <v>18000_4512</v>
      </c>
      <c r="Q1484" s="180">
        <v>100</v>
      </c>
    </row>
    <row r="1485" spans="1:17">
      <c r="A1485" t="str">
        <f t="shared" si="92"/>
        <v>UGA_4548</v>
      </c>
      <c r="B1485" t="str">
        <f t="shared" si="93"/>
        <v>UGA_GARDEN GAZEBO 1</v>
      </c>
      <c r="C1485" t="s">
        <v>443</v>
      </c>
      <c r="D1485" s="180" t="s">
        <v>51</v>
      </c>
      <c r="E1485" t="s">
        <v>1549</v>
      </c>
      <c r="F1485" t="s">
        <v>1550</v>
      </c>
      <c r="G1485" s="180">
        <v>370</v>
      </c>
      <c r="H1485">
        <v>2007</v>
      </c>
      <c r="J1485" s="1334" t="s">
        <v>475</v>
      </c>
      <c r="K1485" s="1335" t="s">
        <v>475</v>
      </c>
      <c r="L1485" s="180">
        <v>0</v>
      </c>
      <c r="M1485" t="s">
        <v>104</v>
      </c>
      <c r="N1485" t="str">
        <f t="shared" si="94"/>
        <v>GARDEN GAZEBO 1 (4548)</v>
      </c>
      <c r="O1485" t="s">
        <v>52</v>
      </c>
      <c r="P1485" t="str">
        <f t="shared" si="95"/>
        <v>18000_4548</v>
      </c>
      <c r="Q1485" s="180">
        <v>100</v>
      </c>
    </row>
    <row r="1486" spans="1:17">
      <c r="A1486" t="str">
        <f t="shared" si="92"/>
        <v>UGA_4549</v>
      </c>
      <c r="B1486" t="str">
        <f t="shared" si="93"/>
        <v>UGA_GARDEN GAZEBO 2</v>
      </c>
      <c r="C1486" t="s">
        <v>443</v>
      </c>
      <c r="D1486" s="180" t="s">
        <v>51</v>
      </c>
      <c r="E1486" t="s">
        <v>3289</v>
      </c>
      <c r="F1486" t="s">
        <v>3290</v>
      </c>
      <c r="G1486" s="180">
        <v>370</v>
      </c>
      <c r="H1486">
        <v>2009</v>
      </c>
      <c r="J1486" s="1334" t="s">
        <v>475</v>
      </c>
      <c r="K1486" s="1335" t="s">
        <v>475</v>
      </c>
      <c r="L1486" s="180">
        <v>0</v>
      </c>
      <c r="M1486" t="s">
        <v>104</v>
      </c>
      <c r="N1486" t="str">
        <f t="shared" si="94"/>
        <v>GARDEN GAZEBO 2 (4549)</v>
      </c>
      <c r="O1486" t="s">
        <v>52</v>
      </c>
      <c r="P1486" t="str">
        <f t="shared" si="95"/>
        <v>18000_4549</v>
      </c>
      <c r="Q1486" s="180">
        <v>100</v>
      </c>
    </row>
    <row r="1487" spans="1:17">
      <c r="A1487" t="str">
        <f t="shared" si="92"/>
        <v>UGA_4550</v>
      </c>
      <c r="B1487" t="str">
        <f t="shared" si="93"/>
        <v>UGA_GRDN EDUCATION CNT</v>
      </c>
      <c r="C1487" t="s">
        <v>443</v>
      </c>
      <c r="D1487" s="180" t="s">
        <v>51</v>
      </c>
      <c r="E1487" t="s">
        <v>2526</v>
      </c>
      <c r="F1487" t="s">
        <v>2527</v>
      </c>
      <c r="G1487" s="180">
        <v>1707</v>
      </c>
      <c r="H1487">
        <v>2007</v>
      </c>
      <c r="J1487" s="1334" t="s">
        <v>475</v>
      </c>
      <c r="K1487" s="1335" t="s">
        <v>475</v>
      </c>
      <c r="L1487" s="180">
        <v>0</v>
      </c>
      <c r="M1487" t="s">
        <v>104</v>
      </c>
      <c r="N1487" t="str">
        <f t="shared" si="94"/>
        <v>GRDN EDUCATION CNT (4550)</v>
      </c>
      <c r="O1487" t="s">
        <v>52</v>
      </c>
      <c r="P1487" t="str">
        <f t="shared" si="95"/>
        <v>18000_4550</v>
      </c>
      <c r="Q1487" s="180">
        <v>100</v>
      </c>
    </row>
    <row r="1488" spans="1:17">
      <c r="A1488" t="str">
        <f t="shared" si="92"/>
        <v>UGA_4551</v>
      </c>
      <c r="B1488" t="str">
        <f t="shared" si="93"/>
        <v>UGA_GRDN-CHLDRNS ARBOR</v>
      </c>
      <c r="C1488" t="s">
        <v>443</v>
      </c>
      <c r="D1488" s="180" t="s">
        <v>51</v>
      </c>
      <c r="E1488" t="s">
        <v>2610</v>
      </c>
      <c r="F1488" t="s">
        <v>2611</v>
      </c>
      <c r="G1488" s="180">
        <v>48</v>
      </c>
      <c r="H1488">
        <v>2000</v>
      </c>
      <c r="J1488" s="1334" t="s">
        <v>475</v>
      </c>
      <c r="K1488" s="1335" t="s">
        <v>475</v>
      </c>
      <c r="L1488" s="180">
        <v>0</v>
      </c>
      <c r="M1488" t="s">
        <v>104</v>
      </c>
      <c r="N1488" t="str">
        <f t="shared" si="94"/>
        <v>GRDN-CHLDRNS ARBOR (4551)</v>
      </c>
      <c r="O1488" t="s">
        <v>52</v>
      </c>
      <c r="P1488" t="str">
        <f t="shared" si="95"/>
        <v>18000_4551</v>
      </c>
      <c r="Q1488" s="180">
        <v>100</v>
      </c>
    </row>
    <row r="1489" spans="1:17">
      <c r="A1489" t="str">
        <f t="shared" si="92"/>
        <v>UGA_4552</v>
      </c>
      <c r="B1489" t="str">
        <f t="shared" si="93"/>
        <v>UGA_GRDN-SMALL PERGOLA</v>
      </c>
      <c r="C1489" t="s">
        <v>443</v>
      </c>
      <c r="D1489" s="180" t="s">
        <v>51</v>
      </c>
      <c r="E1489" t="s">
        <v>1602</v>
      </c>
      <c r="F1489" t="s">
        <v>1603</v>
      </c>
      <c r="G1489" s="180">
        <v>70</v>
      </c>
      <c r="H1489">
        <v>2002</v>
      </c>
      <c r="J1489" s="1334" t="s">
        <v>475</v>
      </c>
      <c r="K1489" s="1335" t="s">
        <v>475</v>
      </c>
      <c r="L1489" s="180">
        <v>0</v>
      </c>
      <c r="M1489" t="s">
        <v>104</v>
      </c>
      <c r="N1489" t="str">
        <f t="shared" si="94"/>
        <v>GRDN-SMALL PERGOLA (4552)</v>
      </c>
      <c r="O1489" t="s">
        <v>52</v>
      </c>
      <c r="P1489" t="str">
        <f t="shared" si="95"/>
        <v>18000_4552</v>
      </c>
      <c r="Q1489" s="180">
        <v>100</v>
      </c>
    </row>
    <row r="1490" spans="1:17">
      <c r="A1490" t="str">
        <f t="shared" si="92"/>
        <v>UGA_4553</v>
      </c>
      <c r="B1490" t="str">
        <f t="shared" si="93"/>
        <v>UGA_GRDN-LARGE PERGOLA</v>
      </c>
      <c r="C1490" t="s">
        <v>443</v>
      </c>
      <c r="D1490" s="180" t="s">
        <v>51</v>
      </c>
      <c r="E1490" t="s">
        <v>4244</v>
      </c>
      <c r="F1490" t="s">
        <v>4245</v>
      </c>
      <c r="G1490" s="180">
        <v>1128</v>
      </c>
      <c r="H1490">
        <v>1999</v>
      </c>
      <c r="J1490" s="1334" t="s">
        <v>475</v>
      </c>
      <c r="K1490" s="1335" t="s">
        <v>475</v>
      </c>
      <c r="L1490" s="180">
        <v>0</v>
      </c>
      <c r="M1490" t="s">
        <v>104</v>
      </c>
      <c r="N1490" t="str">
        <f t="shared" si="94"/>
        <v>GRDN-LARGE PERGOLA (4553)</v>
      </c>
      <c r="O1490" t="s">
        <v>52</v>
      </c>
      <c r="P1490" t="str">
        <f t="shared" si="95"/>
        <v>18000_4553</v>
      </c>
      <c r="Q1490" s="180">
        <v>100</v>
      </c>
    </row>
    <row r="1491" spans="1:17">
      <c r="A1491" t="str">
        <f t="shared" si="92"/>
        <v>UGA_4554</v>
      </c>
      <c r="B1491" t="str">
        <f t="shared" si="93"/>
        <v>UGA_GRDN-PUMPING STATN</v>
      </c>
      <c r="C1491" t="s">
        <v>443</v>
      </c>
      <c r="D1491" s="180" t="s">
        <v>51</v>
      </c>
      <c r="E1491" t="s">
        <v>2438</v>
      </c>
      <c r="F1491" t="s">
        <v>2439</v>
      </c>
      <c r="G1491" s="180">
        <v>230</v>
      </c>
      <c r="H1491">
        <v>1997</v>
      </c>
      <c r="J1491" s="1334" t="s">
        <v>475</v>
      </c>
      <c r="K1491" s="1335" t="s">
        <v>475</v>
      </c>
      <c r="L1491" s="180">
        <v>0</v>
      </c>
      <c r="M1491" t="s">
        <v>104</v>
      </c>
      <c r="N1491" t="str">
        <f t="shared" si="94"/>
        <v>GRDN-PUMPING STATN (4554)</v>
      </c>
      <c r="O1491" t="s">
        <v>52</v>
      </c>
      <c r="P1491" t="str">
        <f t="shared" si="95"/>
        <v>18000_4554</v>
      </c>
      <c r="Q1491" s="180">
        <v>100</v>
      </c>
    </row>
    <row r="1492" spans="1:17">
      <c r="A1492" t="str">
        <f t="shared" si="92"/>
        <v>UGA_4555</v>
      </c>
      <c r="B1492" t="str">
        <f t="shared" si="93"/>
        <v>UGA_GRDN-SHADE STRUCTR</v>
      </c>
      <c r="C1492" t="s">
        <v>443</v>
      </c>
      <c r="D1492" s="180" t="s">
        <v>51</v>
      </c>
      <c r="E1492" t="s">
        <v>2914</v>
      </c>
      <c r="F1492" t="s">
        <v>2915</v>
      </c>
      <c r="G1492" s="180">
        <v>1928</v>
      </c>
      <c r="H1492">
        <v>2000</v>
      </c>
      <c r="J1492" s="1334" t="s">
        <v>475</v>
      </c>
      <c r="K1492" s="1335" t="s">
        <v>475</v>
      </c>
      <c r="L1492" s="180">
        <v>0</v>
      </c>
      <c r="M1492" t="s">
        <v>104</v>
      </c>
      <c r="N1492" t="str">
        <f t="shared" si="94"/>
        <v>GRDN-SHADE STRUCTR (4555)</v>
      </c>
      <c r="O1492" t="s">
        <v>52</v>
      </c>
      <c r="P1492" t="str">
        <f t="shared" si="95"/>
        <v>18000_4555</v>
      </c>
      <c r="Q1492" s="180">
        <v>100</v>
      </c>
    </row>
    <row r="1493" spans="1:17">
      <c r="A1493" t="str">
        <f t="shared" si="92"/>
        <v>UGA_4556</v>
      </c>
      <c r="B1493" t="str">
        <f t="shared" si="93"/>
        <v>UGA_DEMPSEY WELLHOUSE</v>
      </c>
      <c r="C1493" t="s">
        <v>443</v>
      </c>
      <c r="D1493" s="180" t="s">
        <v>51</v>
      </c>
      <c r="E1493" t="s">
        <v>1659</v>
      </c>
      <c r="F1493" t="s">
        <v>1660</v>
      </c>
      <c r="G1493" s="180">
        <v>100</v>
      </c>
      <c r="H1493">
        <v>2002</v>
      </c>
      <c r="J1493" s="1334" t="s">
        <v>475</v>
      </c>
      <c r="K1493" s="1335" t="s">
        <v>475</v>
      </c>
      <c r="L1493" s="180">
        <v>0</v>
      </c>
      <c r="M1493" t="s">
        <v>104</v>
      </c>
      <c r="N1493" t="str">
        <f t="shared" si="94"/>
        <v>DEMPSEY WELLHOUSE (4556)</v>
      </c>
      <c r="O1493" t="s">
        <v>52</v>
      </c>
      <c r="P1493" t="str">
        <f t="shared" si="95"/>
        <v>18000_4556</v>
      </c>
      <c r="Q1493" s="180">
        <v>100</v>
      </c>
    </row>
    <row r="1494" spans="1:17">
      <c r="A1494" t="str">
        <f t="shared" si="92"/>
        <v>UGA_4558</v>
      </c>
      <c r="B1494" t="str">
        <f t="shared" si="93"/>
        <v>UGA_GARDEN TEA HOUSE</v>
      </c>
      <c r="C1494" t="s">
        <v>443</v>
      </c>
      <c r="D1494" s="180" t="s">
        <v>51</v>
      </c>
      <c r="E1494" t="s">
        <v>3649</v>
      </c>
      <c r="F1494" t="s">
        <v>3650</v>
      </c>
      <c r="G1494" s="180">
        <v>264</v>
      </c>
      <c r="H1494">
        <v>2010</v>
      </c>
      <c r="J1494" s="1334" t="s">
        <v>475</v>
      </c>
      <c r="K1494" s="1335" t="s">
        <v>475</v>
      </c>
      <c r="L1494" s="180">
        <v>0</v>
      </c>
      <c r="M1494" t="s">
        <v>104</v>
      </c>
      <c r="N1494" t="str">
        <f t="shared" si="94"/>
        <v>GARDEN TEA HOUSE (4558)</v>
      </c>
      <c r="O1494" t="s">
        <v>52</v>
      </c>
      <c r="P1494" t="str">
        <f t="shared" si="95"/>
        <v>18000_4558</v>
      </c>
      <c r="Q1494" s="180">
        <v>100</v>
      </c>
    </row>
    <row r="1495" spans="1:17">
      <c r="A1495" t="str">
        <f t="shared" si="92"/>
        <v>UGA_4559</v>
      </c>
      <c r="B1495" t="str">
        <f t="shared" si="93"/>
        <v>UGA_TURF SCIENCE RAINOUT SHELTER</v>
      </c>
      <c r="C1495" t="s">
        <v>443</v>
      </c>
      <c r="D1495" s="180" t="s">
        <v>51</v>
      </c>
      <c r="E1495" t="s">
        <v>3910</v>
      </c>
      <c r="F1495" t="s">
        <v>3911</v>
      </c>
      <c r="G1495" s="180">
        <v>600</v>
      </c>
      <c r="H1495">
        <v>2011</v>
      </c>
      <c r="J1495" s="1334" t="s">
        <v>475</v>
      </c>
      <c r="K1495" s="1335" t="s">
        <v>475</v>
      </c>
      <c r="L1495" s="180">
        <v>0</v>
      </c>
      <c r="M1495" t="s">
        <v>104</v>
      </c>
      <c r="N1495" t="str">
        <f t="shared" si="94"/>
        <v>TURF SCIENCE RAINOUT SHELTER (4559)</v>
      </c>
      <c r="O1495" t="s">
        <v>52</v>
      </c>
      <c r="P1495" t="str">
        <f t="shared" si="95"/>
        <v>18000_4559</v>
      </c>
      <c r="Q1495" s="180">
        <v>100</v>
      </c>
    </row>
    <row r="1496" spans="1:17">
      <c r="A1496" t="str">
        <f t="shared" si="92"/>
        <v>UGA_4560</v>
      </c>
      <c r="B1496" t="str">
        <f t="shared" si="93"/>
        <v>UGA_TURF SCI R&amp;E FAC</v>
      </c>
      <c r="C1496" t="s">
        <v>443</v>
      </c>
      <c r="D1496" s="180" t="s">
        <v>51</v>
      </c>
      <c r="E1496" t="s">
        <v>4435</v>
      </c>
      <c r="F1496" t="s">
        <v>4436</v>
      </c>
      <c r="G1496" s="180">
        <v>35163</v>
      </c>
      <c r="H1496">
        <v>2017</v>
      </c>
      <c r="J1496" s="1334" t="s">
        <v>475</v>
      </c>
      <c r="K1496" s="1335" t="s">
        <v>901</v>
      </c>
      <c r="L1496" s="180">
        <v>0</v>
      </c>
      <c r="M1496" t="s">
        <v>104</v>
      </c>
      <c r="N1496" t="str">
        <f t="shared" si="94"/>
        <v>TURF SCI R&amp;E FAC (4560)</v>
      </c>
      <c r="O1496" t="s">
        <v>52</v>
      </c>
      <c r="P1496" t="str">
        <f t="shared" si="95"/>
        <v>18000_4560</v>
      </c>
      <c r="Q1496" s="180">
        <v>100</v>
      </c>
    </row>
    <row r="1497" spans="1:17">
      <c r="A1497" t="str">
        <f t="shared" si="92"/>
        <v>UGA_4578</v>
      </c>
      <c r="B1497" t="str">
        <f t="shared" si="93"/>
        <v>UGA_P PT WEST SHELTER</v>
      </c>
      <c r="C1497" t="s">
        <v>443</v>
      </c>
      <c r="D1497" s="180" t="s">
        <v>51</v>
      </c>
      <c r="E1497" t="s">
        <v>2153</v>
      </c>
      <c r="F1497" t="s">
        <v>2154</v>
      </c>
      <c r="G1497" s="180">
        <v>7200</v>
      </c>
      <c r="H1497">
        <v>2014</v>
      </c>
      <c r="J1497" s="1334" t="s">
        <v>475</v>
      </c>
      <c r="K1497" s="1335" t="s">
        <v>475</v>
      </c>
      <c r="L1497" s="180">
        <v>0</v>
      </c>
      <c r="M1497" t="s">
        <v>67</v>
      </c>
      <c r="N1497" t="str">
        <f t="shared" si="94"/>
        <v>P PT WEST SHELTER (4578)</v>
      </c>
      <c r="O1497" t="s">
        <v>52</v>
      </c>
      <c r="P1497" t="str">
        <f t="shared" si="95"/>
        <v>18000_4578</v>
      </c>
      <c r="Q1497" s="180">
        <v>100</v>
      </c>
    </row>
    <row r="1498" spans="1:17">
      <c r="A1498" t="str">
        <f t="shared" si="92"/>
        <v>UGA_4580</v>
      </c>
      <c r="B1498" t="str">
        <f t="shared" si="93"/>
        <v>UGA_UGA FUTURE FARMSTEAD</v>
      </c>
      <c r="C1498" t="s">
        <v>443</v>
      </c>
      <c r="D1498" s="180" t="s">
        <v>51</v>
      </c>
      <c r="E1498" t="s">
        <v>2042</v>
      </c>
      <c r="F1498" t="s">
        <v>2043</v>
      </c>
      <c r="G1498" s="180">
        <v>5383</v>
      </c>
      <c r="H1498">
        <v>2014</v>
      </c>
      <c r="J1498" s="1334" t="s">
        <v>475</v>
      </c>
      <c r="K1498" s="1335" t="s">
        <v>475</v>
      </c>
      <c r="L1498" s="180">
        <v>0</v>
      </c>
      <c r="M1498" t="s">
        <v>67</v>
      </c>
      <c r="N1498" t="str">
        <f t="shared" si="94"/>
        <v>UGA FUTURE FARMSTEAD (4580)</v>
      </c>
      <c r="O1498" t="s">
        <v>52</v>
      </c>
      <c r="P1498" t="str">
        <f t="shared" si="95"/>
        <v>18000_4580</v>
      </c>
      <c r="Q1498" s="180">
        <v>100</v>
      </c>
    </row>
    <row r="1499" spans="1:17">
      <c r="A1499" t="str">
        <f t="shared" si="92"/>
        <v>UGA_4581</v>
      </c>
      <c r="B1499" t="str">
        <f t="shared" si="93"/>
        <v>UGA_TURF SCI GRN HS</v>
      </c>
      <c r="C1499" t="s">
        <v>443</v>
      </c>
      <c r="D1499" s="180" t="s">
        <v>51</v>
      </c>
      <c r="E1499" t="s">
        <v>3502</v>
      </c>
      <c r="F1499" t="s">
        <v>3503</v>
      </c>
      <c r="G1499" s="180">
        <v>7447</v>
      </c>
      <c r="H1499">
        <v>2018</v>
      </c>
      <c r="J1499" s="1334" t="s">
        <v>475</v>
      </c>
      <c r="K1499" s="1335" t="s">
        <v>901</v>
      </c>
      <c r="L1499" s="180">
        <v>0</v>
      </c>
      <c r="M1499" t="s">
        <v>67</v>
      </c>
      <c r="N1499" t="str">
        <f t="shared" si="94"/>
        <v>TURF SCI GRN HS (4581)</v>
      </c>
      <c r="O1499" t="s">
        <v>52</v>
      </c>
      <c r="P1499" t="str">
        <f t="shared" si="95"/>
        <v>18000_4581</v>
      </c>
      <c r="Q1499" s="180">
        <v>100</v>
      </c>
    </row>
    <row r="1500" spans="1:17">
      <c r="A1500" t="str">
        <f t="shared" si="92"/>
        <v>UGA_4598</v>
      </c>
      <c r="B1500" t="str">
        <f t="shared" si="93"/>
        <v>UGA_FRS LANG 60X120</v>
      </c>
      <c r="C1500" t="s">
        <v>443</v>
      </c>
      <c r="D1500" s="180" t="s">
        <v>51</v>
      </c>
      <c r="E1500" t="s">
        <v>3396</v>
      </c>
      <c r="F1500" t="s">
        <v>3397</v>
      </c>
      <c r="G1500" s="180">
        <v>7200</v>
      </c>
      <c r="H1500">
        <v>2013</v>
      </c>
      <c r="J1500" s="1334" t="s">
        <v>475</v>
      </c>
      <c r="K1500" s="1335" t="s">
        <v>475</v>
      </c>
      <c r="L1500" s="180">
        <v>0</v>
      </c>
      <c r="M1500" t="s">
        <v>67</v>
      </c>
      <c r="N1500" t="str">
        <f t="shared" si="94"/>
        <v>FRS LANG 60X120 (4598)</v>
      </c>
      <c r="O1500" t="s">
        <v>52</v>
      </c>
      <c r="P1500" t="str">
        <f t="shared" si="95"/>
        <v>18000_4598</v>
      </c>
      <c r="Q1500" s="180">
        <v>5</v>
      </c>
    </row>
    <row r="1501" spans="1:17">
      <c r="A1501" t="str">
        <f t="shared" si="92"/>
        <v>UGA_4599</v>
      </c>
      <c r="B1501" t="str">
        <f t="shared" si="93"/>
        <v>UGA_MICRO-GIN EQUP SHD</v>
      </c>
      <c r="C1501" t="s">
        <v>443</v>
      </c>
      <c r="D1501" s="180" t="s">
        <v>51</v>
      </c>
      <c r="E1501" t="s">
        <v>2612</v>
      </c>
      <c r="F1501" t="s">
        <v>2613</v>
      </c>
      <c r="G1501" s="180">
        <v>6000</v>
      </c>
      <c r="H1501">
        <v>2005</v>
      </c>
      <c r="J1501" s="1334" t="s">
        <v>475</v>
      </c>
      <c r="K1501" s="1335" t="s">
        <v>475</v>
      </c>
      <c r="L1501" s="180">
        <v>0</v>
      </c>
      <c r="M1501" t="s">
        <v>67</v>
      </c>
      <c r="N1501" t="str">
        <f t="shared" si="94"/>
        <v>MICRO-GIN EQUP SHD (4599)</v>
      </c>
      <c r="O1501" t="s">
        <v>52</v>
      </c>
      <c r="P1501" t="str">
        <f t="shared" si="95"/>
        <v>18000_4599</v>
      </c>
      <c r="Q1501" s="180">
        <v>5</v>
      </c>
    </row>
    <row r="1502" spans="1:17">
      <c r="A1502" t="str">
        <f t="shared" si="92"/>
        <v>UGA_4600</v>
      </c>
      <c r="B1502" t="str">
        <f t="shared" si="93"/>
        <v>UGA_MICRO -GIN FACIL</v>
      </c>
      <c r="C1502" t="s">
        <v>443</v>
      </c>
      <c r="D1502" s="180" t="s">
        <v>51</v>
      </c>
      <c r="E1502" t="s">
        <v>2614</v>
      </c>
      <c r="F1502" t="s">
        <v>2615</v>
      </c>
      <c r="G1502" s="180">
        <v>7500</v>
      </c>
      <c r="H1502">
        <v>2003</v>
      </c>
      <c r="J1502" s="1334" t="s">
        <v>475</v>
      </c>
      <c r="K1502" s="1335" t="s">
        <v>475</v>
      </c>
      <c r="L1502" s="180">
        <v>0</v>
      </c>
      <c r="M1502" t="s">
        <v>67</v>
      </c>
      <c r="N1502" t="str">
        <f t="shared" si="94"/>
        <v>MICRO -GIN FACIL (4600)</v>
      </c>
      <c r="O1502" t="s">
        <v>52</v>
      </c>
      <c r="P1502" t="str">
        <f t="shared" si="95"/>
        <v>18000_4600</v>
      </c>
      <c r="Q1502" s="180">
        <v>100</v>
      </c>
    </row>
    <row r="1503" spans="1:17">
      <c r="A1503" t="str">
        <f t="shared" si="92"/>
        <v>UGA_4601</v>
      </c>
      <c r="B1503" t="str">
        <f t="shared" si="93"/>
        <v>UGA_ADMINISTRATION OFF</v>
      </c>
      <c r="C1503" t="s">
        <v>443</v>
      </c>
      <c r="D1503" s="180" t="s">
        <v>51</v>
      </c>
      <c r="E1503" t="s">
        <v>4304</v>
      </c>
      <c r="F1503" t="s">
        <v>4305</v>
      </c>
      <c r="G1503" s="180">
        <v>19087</v>
      </c>
      <c r="H1503">
        <v>1954</v>
      </c>
      <c r="J1503" s="1334" t="s">
        <v>475</v>
      </c>
      <c r="K1503" s="1335" t="s">
        <v>481</v>
      </c>
      <c r="L1503" s="180">
        <v>0</v>
      </c>
      <c r="M1503" t="s">
        <v>67</v>
      </c>
      <c r="N1503" t="str">
        <f t="shared" si="94"/>
        <v>ADMINISTRATION OFF (4601)</v>
      </c>
      <c r="O1503" t="s">
        <v>52</v>
      </c>
      <c r="P1503" t="str">
        <f t="shared" si="95"/>
        <v>18000_4601</v>
      </c>
      <c r="Q1503" s="180">
        <v>100</v>
      </c>
    </row>
    <row r="1504" spans="1:17">
      <c r="A1504" t="str">
        <f t="shared" si="92"/>
        <v>UGA_4602</v>
      </c>
      <c r="B1504" t="str">
        <f t="shared" si="93"/>
        <v>UGA_H. H. TIFT BLDG</v>
      </c>
      <c r="C1504" t="s">
        <v>443</v>
      </c>
      <c r="D1504" s="180" t="s">
        <v>51</v>
      </c>
      <c r="E1504" t="s">
        <v>2155</v>
      </c>
      <c r="F1504" t="s">
        <v>2156</v>
      </c>
      <c r="G1504" s="180">
        <v>13547</v>
      </c>
      <c r="H1504">
        <v>1922</v>
      </c>
      <c r="J1504" s="1334" t="s">
        <v>475</v>
      </c>
      <c r="K1504" s="1335" t="s">
        <v>481</v>
      </c>
      <c r="L1504" s="180">
        <v>0</v>
      </c>
      <c r="M1504" t="s">
        <v>67</v>
      </c>
      <c r="N1504" t="str">
        <f t="shared" si="94"/>
        <v>H. H. TIFT BLDG (4602)</v>
      </c>
      <c r="O1504" t="s">
        <v>52</v>
      </c>
      <c r="P1504" t="str">
        <f t="shared" si="95"/>
        <v>18000_4602</v>
      </c>
      <c r="Q1504" s="180">
        <v>94</v>
      </c>
    </row>
    <row r="1505" spans="1:17">
      <c r="A1505" t="str">
        <f t="shared" si="92"/>
        <v>UGA_4603</v>
      </c>
      <c r="B1505" t="str">
        <f t="shared" si="93"/>
        <v>UGA_AG RESEARCH BLDG</v>
      </c>
      <c r="C1505" t="s">
        <v>443</v>
      </c>
      <c r="D1505" s="180" t="s">
        <v>51</v>
      </c>
      <c r="E1505" t="s">
        <v>2226</v>
      </c>
      <c r="F1505" t="s">
        <v>2227</v>
      </c>
      <c r="G1505" s="180">
        <v>14465</v>
      </c>
      <c r="H1505">
        <v>1937</v>
      </c>
      <c r="J1505" s="1334" t="s">
        <v>475</v>
      </c>
      <c r="K1505" s="1335" t="s">
        <v>481</v>
      </c>
      <c r="L1505" s="180">
        <v>0</v>
      </c>
      <c r="M1505" t="s">
        <v>67</v>
      </c>
      <c r="N1505" t="str">
        <f t="shared" si="94"/>
        <v>AG RESEARCH BLDG (4603)</v>
      </c>
      <c r="O1505" t="s">
        <v>52</v>
      </c>
      <c r="P1505" t="str">
        <f t="shared" si="95"/>
        <v>18000_4603</v>
      </c>
      <c r="Q1505" s="180">
        <v>100</v>
      </c>
    </row>
    <row r="1506" spans="1:17">
      <c r="A1506" t="str">
        <f t="shared" si="92"/>
        <v>UGA_4604</v>
      </c>
      <c r="B1506" t="str">
        <f t="shared" si="93"/>
        <v>UGA_HORTICULTURE BLDG</v>
      </c>
      <c r="C1506" t="s">
        <v>443</v>
      </c>
      <c r="D1506" s="180" t="s">
        <v>51</v>
      </c>
      <c r="E1506" t="s">
        <v>3860</v>
      </c>
      <c r="F1506" t="s">
        <v>3861</v>
      </c>
      <c r="G1506" s="180">
        <v>15821</v>
      </c>
      <c r="H1506">
        <v>1963</v>
      </c>
      <c r="J1506" s="1334" t="s">
        <v>475</v>
      </c>
      <c r="K1506" s="1335" t="s">
        <v>481</v>
      </c>
      <c r="L1506" s="180">
        <v>0</v>
      </c>
      <c r="M1506" t="s">
        <v>67</v>
      </c>
      <c r="N1506" t="str">
        <f t="shared" si="94"/>
        <v>HORTICULTURE BLDG (4604)</v>
      </c>
      <c r="O1506" t="s">
        <v>52</v>
      </c>
      <c r="P1506" t="str">
        <f t="shared" si="95"/>
        <v>18000_4604</v>
      </c>
      <c r="Q1506" s="180">
        <v>100</v>
      </c>
    </row>
    <row r="1507" spans="1:17">
      <c r="A1507" t="str">
        <f t="shared" si="92"/>
        <v>UGA_4607</v>
      </c>
      <c r="B1507" t="str">
        <f t="shared" si="93"/>
        <v>UGA_PLANT SCI - TIFTON</v>
      </c>
      <c r="C1507" t="s">
        <v>443</v>
      </c>
      <c r="D1507" s="180" t="s">
        <v>51</v>
      </c>
      <c r="E1507" t="s">
        <v>3862</v>
      </c>
      <c r="F1507" t="s">
        <v>3863</v>
      </c>
      <c r="G1507" s="180">
        <v>24478</v>
      </c>
      <c r="H1507">
        <v>1974</v>
      </c>
      <c r="J1507" s="1334" t="s">
        <v>475</v>
      </c>
      <c r="K1507" s="1335" t="s">
        <v>1520</v>
      </c>
      <c r="L1507" s="180">
        <v>0</v>
      </c>
      <c r="M1507" t="s">
        <v>67</v>
      </c>
      <c r="N1507" t="str">
        <f t="shared" si="94"/>
        <v>PLANT SCI - TIFTON (4607)</v>
      </c>
      <c r="O1507" t="s">
        <v>52</v>
      </c>
      <c r="P1507" t="str">
        <f t="shared" si="95"/>
        <v>18000_4607</v>
      </c>
      <c r="Q1507" s="180">
        <v>100</v>
      </c>
    </row>
    <row r="1508" spans="1:17">
      <c r="A1508" t="str">
        <f t="shared" si="92"/>
        <v>UGA_4608</v>
      </c>
      <c r="B1508" t="str">
        <f t="shared" si="93"/>
        <v>UGA_GH #2 HOR AGY</v>
      </c>
      <c r="C1508" t="s">
        <v>443</v>
      </c>
      <c r="D1508" s="180" t="s">
        <v>51</v>
      </c>
      <c r="E1508" t="s">
        <v>2228</v>
      </c>
      <c r="F1508" t="s">
        <v>2229</v>
      </c>
      <c r="G1508" s="180">
        <v>2500</v>
      </c>
      <c r="H1508">
        <v>1943</v>
      </c>
      <c r="J1508" s="1334" t="s">
        <v>475</v>
      </c>
      <c r="K1508" s="1335" t="s">
        <v>1520</v>
      </c>
      <c r="L1508" s="180">
        <v>0</v>
      </c>
      <c r="M1508" t="s">
        <v>67</v>
      </c>
      <c r="N1508" t="str">
        <f t="shared" si="94"/>
        <v>GH #2 HOR AGY (4608)</v>
      </c>
      <c r="O1508" t="s">
        <v>52</v>
      </c>
      <c r="P1508" t="str">
        <f t="shared" si="95"/>
        <v>18000_4608</v>
      </c>
      <c r="Q1508" s="180">
        <v>100</v>
      </c>
    </row>
    <row r="1509" spans="1:17">
      <c r="A1509" t="str">
        <f t="shared" si="92"/>
        <v>UGA_4609</v>
      </c>
      <c r="B1509" t="str">
        <f t="shared" si="93"/>
        <v>UGA_GH #3 AGY</v>
      </c>
      <c r="C1509" t="s">
        <v>443</v>
      </c>
      <c r="D1509" s="180" t="s">
        <v>51</v>
      </c>
      <c r="E1509" t="s">
        <v>1837</v>
      </c>
      <c r="F1509" t="s">
        <v>1838</v>
      </c>
      <c r="G1509" s="180">
        <v>3700</v>
      </c>
      <c r="H1509">
        <v>1956</v>
      </c>
      <c r="J1509" s="1334" t="s">
        <v>475</v>
      </c>
      <c r="K1509" s="1335" t="s">
        <v>486</v>
      </c>
      <c r="L1509" s="180">
        <v>0</v>
      </c>
      <c r="M1509" t="s">
        <v>67</v>
      </c>
      <c r="N1509" t="str">
        <f t="shared" si="94"/>
        <v>GH #3 AGY (4609)</v>
      </c>
      <c r="O1509" t="s">
        <v>52</v>
      </c>
      <c r="P1509" t="str">
        <f t="shared" si="95"/>
        <v>18000_4609</v>
      </c>
      <c r="Q1509" s="180">
        <v>100</v>
      </c>
    </row>
    <row r="1510" spans="1:17">
      <c r="A1510" t="str">
        <f t="shared" si="92"/>
        <v>UGA_4613</v>
      </c>
      <c r="B1510" t="str">
        <f t="shared" si="93"/>
        <v>UGA_MAIN BARN</v>
      </c>
      <c r="C1510" t="s">
        <v>443</v>
      </c>
      <c r="D1510" s="180" t="s">
        <v>51</v>
      </c>
      <c r="E1510" t="s">
        <v>3651</v>
      </c>
      <c r="F1510" t="s">
        <v>3652</v>
      </c>
      <c r="G1510" s="180">
        <v>9936</v>
      </c>
      <c r="H1510">
        <v>1920</v>
      </c>
      <c r="J1510" s="1334" t="s">
        <v>475</v>
      </c>
      <c r="K1510" s="1335" t="s">
        <v>486</v>
      </c>
      <c r="L1510" s="180">
        <v>0</v>
      </c>
      <c r="M1510" t="s">
        <v>67</v>
      </c>
      <c r="N1510" t="str">
        <f t="shared" si="94"/>
        <v>MAIN BARN (4613)</v>
      </c>
      <c r="O1510" t="s">
        <v>52</v>
      </c>
      <c r="P1510" t="str">
        <f t="shared" si="95"/>
        <v>18000_4613</v>
      </c>
      <c r="Q1510" s="180">
        <v>100</v>
      </c>
    </row>
    <row r="1511" spans="1:17">
      <c r="A1511" t="str">
        <f t="shared" si="92"/>
        <v>UGA_4619</v>
      </c>
      <c r="B1511" t="str">
        <f t="shared" si="93"/>
        <v>UGA_WEED CONTROL GH HH</v>
      </c>
      <c r="C1511" t="s">
        <v>443</v>
      </c>
      <c r="D1511" s="180" t="s">
        <v>51</v>
      </c>
      <c r="E1511" t="s">
        <v>3794</v>
      </c>
      <c r="F1511" t="s">
        <v>3795</v>
      </c>
      <c r="G1511" s="180">
        <v>3249</v>
      </c>
      <c r="H1511">
        <v>1963</v>
      </c>
      <c r="J1511" s="1334" t="s">
        <v>475</v>
      </c>
      <c r="K1511" s="1335" t="s">
        <v>1520</v>
      </c>
      <c r="L1511" s="180">
        <v>0</v>
      </c>
      <c r="M1511" t="s">
        <v>67</v>
      </c>
      <c r="N1511" t="str">
        <f t="shared" si="94"/>
        <v>WEED CONTROL GH HH (4619)</v>
      </c>
      <c r="O1511" t="s">
        <v>52</v>
      </c>
      <c r="P1511" t="str">
        <f t="shared" si="95"/>
        <v>18000_4619</v>
      </c>
      <c r="Q1511" s="180">
        <v>100</v>
      </c>
    </row>
    <row r="1512" spans="1:17">
      <c r="A1512" t="str">
        <f t="shared" si="92"/>
        <v>UGA_4620</v>
      </c>
      <c r="B1512" t="str">
        <f t="shared" si="93"/>
        <v>UGA_PAT GH-HH</v>
      </c>
      <c r="C1512" t="s">
        <v>443</v>
      </c>
      <c r="D1512" s="180" t="s">
        <v>51</v>
      </c>
      <c r="E1512" t="s">
        <v>4246</v>
      </c>
      <c r="F1512" t="s">
        <v>4247</v>
      </c>
      <c r="G1512" s="180">
        <v>3866</v>
      </c>
      <c r="H1512">
        <v>1963</v>
      </c>
      <c r="J1512" s="1334" t="s">
        <v>475</v>
      </c>
      <c r="K1512" s="1335" t="s">
        <v>475</v>
      </c>
      <c r="L1512" s="180">
        <v>0</v>
      </c>
      <c r="M1512" t="s">
        <v>67</v>
      </c>
      <c r="N1512" t="str">
        <f t="shared" si="94"/>
        <v>PAT GH-HH (4620)</v>
      </c>
      <c r="O1512" t="s">
        <v>52</v>
      </c>
      <c r="P1512" t="str">
        <f t="shared" si="95"/>
        <v>18000_4620</v>
      </c>
      <c r="Q1512" s="180">
        <v>100</v>
      </c>
    </row>
    <row r="1513" spans="1:17">
      <c r="A1513" t="str">
        <f t="shared" si="92"/>
        <v>UGA_4621</v>
      </c>
      <c r="B1513" t="str">
        <f t="shared" si="93"/>
        <v>UGA_PP GROW CHAMBER</v>
      </c>
      <c r="C1513" t="s">
        <v>443</v>
      </c>
      <c r="D1513" s="180" t="s">
        <v>51</v>
      </c>
      <c r="E1513" t="s">
        <v>1551</v>
      </c>
      <c r="F1513" t="s">
        <v>1552</v>
      </c>
      <c r="G1513" s="180">
        <v>532</v>
      </c>
      <c r="H1513">
        <v>1966</v>
      </c>
      <c r="J1513" s="1334" t="s">
        <v>475</v>
      </c>
      <c r="K1513" s="1335" t="s">
        <v>1520</v>
      </c>
      <c r="L1513" s="180">
        <v>0</v>
      </c>
      <c r="M1513" t="s">
        <v>67</v>
      </c>
      <c r="N1513" t="str">
        <f t="shared" si="94"/>
        <v>PP GROW CHAMBER (4621)</v>
      </c>
      <c r="O1513" t="s">
        <v>52</v>
      </c>
      <c r="P1513" t="str">
        <f t="shared" si="95"/>
        <v>18000_4621</v>
      </c>
      <c r="Q1513" s="180">
        <v>100</v>
      </c>
    </row>
    <row r="1514" spans="1:17">
      <c r="A1514" t="str">
        <f t="shared" si="92"/>
        <v>UGA_4623</v>
      </c>
      <c r="B1514" t="str">
        <f t="shared" si="93"/>
        <v>UGA_GR BR HH &amp; GH</v>
      </c>
      <c r="C1514" t="s">
        <v>443</v>
      </c>
      <c r="D1514" s="180" t="s">
        <v>51</v>
      </c>
      <c r="E1514" t="s">
        <v>2547</v>
      </c>
      <c r="F1514" t="s">
        <v>2548</v>
      </c>
      <c r="G1514" s="180">
        <v>5390</v>
      </c>
      <c r="H1514">
        <v>1967</v>
      </c>
      <c r="J1514" s="1334" t="s">
        <v>475</v>
      </c>
      <c r="K1514" s="1335" t="s">
        <v>475</v>
      </c>
      <c r="L1514" s="180">
        <v>0</v>
      </c>
      <c r="M1514" t="s">
        <v>67</v>
      </c>
      <c r="N1514" t="str">
        <f t="shared" si="94"/>
        <v>GR BR HH &amp; GH (4623)</v>
      </c>
      <c r="O1514" t="s">
        <v>52</v>
      </c>
      <c r="P1514" t="str">
        <f t="shared" si="95"/>
        <v>18000_4623</v>
      </c>
      <c r="Q1514" s="180">
        <v>100</v>
      </c>
    </row>
    <row r="1515" spans="1:17">
      <c r="A1515" t="str">
        <f t="shared" si="92"/>
        <v>UGA_4625</v>
      </c>
      <c r="B1515" t="str">
        <f t="shared" si="93"/>
        <v>UGA_HOR GREENHSE CPES</v>
      </c>
      <c r="C1515" t="s">
        <v>443</v>
      </c>
      <c r="D1515" s="180" t="s">
        <v>51</v>
      </c>
      <c r="E1515" t="s">
        <v>2044</v>
      </c>
      <c r="F1515" t="s">
        <v>2045</v>
      </c>
      <c r="G1515" s="180">
        <v>1976</v>
      </c>
      <c r="H1515">
        <v>1967</v>
      </c>
      <c r="J1515" s="1334" t="s">
        <v>475</v>
      </c>
      <c r="K1515" s="1335" t="s">
        <v>475</v>
      </c>
      <c r="L1515" s="180">
        <v>0</v>
      </c>
      <c r="M1515" t="s">
        <v>67</v>
      </c>
      <c r="N1515" t="str">
        <f t="shared" si="94"/>
        <v>HOR GREENHSE CPES (4625)</v>
      </c>
      <c r="O1515" t="s">
        <v>52</v>
      </c>
      <c r="P1515" t="str">
        <f t="shared" si="95"/>
        <v>18000_4625</v>
      </c>
      <c r="Q1515" s="180">
        <v>100</v>
      </c>
    </row>
    <row r="1516" spans="1:17">
      <c r="A1516" t="str">
        <f t="shared" si="92"/>
        <v>UGA_4628</v>
      </c>
      <c r="B1516" t="str">
        <f t="shared" si="93"/>
        <v>UGA_ARBORETUM COTTAGE</v>
      </c>
      <c r="C1516" t="s">
        <v>443</v>
      </c>
      <c r="D1516" s="180" t="s">
        <v>51</v>
      </c>
      <c r="E1516" t="s">
        <v>1493</v>
      </c>
      <c r="F1516" t="s">
        <v>1494</v>
      </c>
      <c r="G1516" s="180">
        <v>1128</v>
      </c>
      <c r="H1516">
        <v>1935</v>
      </c>
      <c r="J1516" s="1334" t="s">
        <v>475</v>
      </c>
      <c r="K1516" s="1335" t="s">
        <v>486</v>
      </c>
      <c r="L1516" s="180">
        <v>0</v>
      </c>
      <c r="M1516" t="s">
        <v>67</v>
      </c>
      <c r="N1516" t="str">
        <f t="shared" si="94"/>
        <v>ARBORETUM COTTAGE (4628)</v>
      </c>
      <c r="O1516" t="s">
        <v>52</v>
      </c>
      <c r="P1516" t="str">
        <f t="shared" si="95"/>
        <v>18000_4628</v>
      </c>
      <c r="Q1516" s="180">
        <v>100</v>
      </c>
    </row>
    <row r="1517" spans="1:17">
      <c r="A1517" t="str">
        <f t="shared" si="92"/>
        <v>UGA_4629</v>
      </c>
      <c r="B1517" t="str">
        <f t="shared" si="93"/>
        <v>UGA_ENGINEERING BLDG</v>
      </c>
      <c r="C1517" t="s">
        <v>443</v>
      </c>
      <c r="D1517" s="180" t="s">
        <v>51</v>
      </c>
      <c r="E1517" t="s">
        <v>1495</v>
      </c>
      <c r="F1517" t="s">
        <v>7148</v>
      </c>
      <c r="G1517" s="180">
        <v>23327</v>
      </c>
      <c r="H1517">
        <v>1966</v>
      </c>
      <c r="J1517" s="1334" t="s">
        <v>475</v>
      </c>
      <c r="K1517" s="1335" t="s">
        <v>1520</v>
      </c>
      <c r="L1517" s="180">
        <v>0</v>
      </c>
      <c r="M1517" t="s">
        <v>67</v>
      </c>
      <c r="N1517" t="str">
        <f t="shared" si="94"/>
        <v>ENGINEERING BLDG (4629)</v>
      </c>
      <c r="O1517" t="s">
        <v>52</v>
      </c>
      <c r="P1517" t="str">
        <f t="shared" si="95"/>
        <v>18000_4629</v>
      </c>
      <c r="Q1517" s="180">
        <v>100</v>
      </c>
    </row>
    <row r="1518" spans="1:17">
      <c r="A1518" t="str">
        <f t="shared" si="92"/>
        <v>UGA_4630</v>
      </c>
      <c r="B1518" t="str">
        <f t="shared" si="93"/>
        <v>UGA_HORTICULTURE BARN</v>
      </c>
      <c r="C1518" t="s">
        <v>443</v>
      </c>
      <c r="D1518" s="180" t="s">
        <v>51</v>
      </c>
      <c r="E1518" t="s">
        <v>3291</v>
      </c>
      <c r="F1518" t="s">
        <v>3292</v>
      </c>
      <c r="G1518" s="180">
        <v>1584</v>
      </c>
      <c r="H1518">
        <v>1960</v>
      </c>
      <c r="J1518" s="1334" t="s">
        <v>475</v>
      </c>
      <c r="K1518" s="1335" t="s">
        <v>481</v>
      </c>
      <c r="L1518" s="180">
        <v>0</v>
      </c>
      <c r="M1518" t="s">
        <v>67</v>
      </c>
      <c r="N1518" t="str">
        <f t="shared" si="94"/>
        <v>HORTICULTURE BARN (4630)</v>
      </c>
      <c r="O1518" t="s">
        <v>52</v>
      </c>
      <c r="P1518" t="str">
        <f t="shared" si="95"/>
        <v>18000_4630</v>
      </c>
      <c r="Q1518" s="180">
        <v>100</v>
      </c>
    </row>
    <row r="1519" spans="1:17">
      <c r="A1519" t="str">
        <f t="shared" si="92"/>
        <v>UGA_4636</v>
      </c>
      <c r="B1519" t="str">
        <f t="shared" si="93"/>
        <v>UGA_BIO &amp; AG ENG ANNEX</v>
      </c>
      <c r="C1519" t="s">
        <v>443</v>
      </c>
      <c r="D1519" s="180" t="s">
        <v>51</v>
      </c>
      <c r="E1519" t="s">
        <v>1908</v>
      </c>
      <c r="F1519" t="s">
        <v>1909</v>
      </c>
      <c r="G1519" s="180">
        <v>7027</v>
      </c>
      <c r="H1519">
        <v>1970</v>
      </c>
      <c r="J1519" s="1334" t="s">
        <v>475</v>
      </c>
      <c r="K1519" s="1335" t="s">
        <v>1520</v>
      </c>
      <c r="L1519" s="180">
        <v>0</v>
      </c>
      <c r="M1519" t="s">
        <v>67</v>
      </c>
      <c r="N1519" t="str">
        <f t="shared" si="94"/>
        <v>BIO &amp; AG ENG ANNEX (4636)</v>
      </c>
      <c r="O1519" t="s">
        <v>52</v>
      </c>
      <c r="P1519" t="str">
        <f t="shared" si="95"/>
        <v>18000_4636</v>
      </c>
      <c r="Q1519" s="180">
        <v>100</v>
      </c>
    </row>
    <row r="1520" spans="1:17">
      <c r="A1520" t="str">
        <f t="shared" si="92"/>
        <v>UGA_4640</v>
      </c>
      <c r="B1520" t="str">
        <f t="shared" si="93"/>
        <v>UGA_ENTOMOLOGY BLDG</v>
      </c>
      <c r="C1520" t="s">
        <v>443</v>
      </c>
      <c r="D1520" s="180" t="s">
        <v>51</v>
      </c>
      <c r="E1520" t="s">
        <v>3008</v>
      </c>
      <c r="F1520" t="s">
        <v>7149</v>
      </c>
      <c r="G1520" s="180">
        <v>6372</v>
      </c>
      <c r="H1520">
        <v>1965</v>
      </c>
      <c r="J1520" s="1334" t="s">
        <v>475</v>
      </c>
      <c r="K1520" s="1335" t="s">
        <v>1520</v>
      </c>
      <c r="L1520" s="180">
        <v>0</v>
      </c>
      <c r="M1520" t="s">
        <v>67</v>
      </c>
      <c r="N1520" t="str">
        <f t="shared" si="94"/>
        <v>ENTOMOLOGY BLDG (4640)</v>
      </c>
      <c r="O1520" t="s">
        <v>52</v>
      </c>
      <c r="P1520" t="str">
        <f t="shared" si="95"/>
        <v>18000_4640</v>
      </c>
      <c r="Q1520" s="180">
        <v>100</v>
      </c>
    </row>
    <row r="1521" spans="1:17">
      <c r="A1521" t="str">
        <f t="shared" si="92"/>
        <v>UGA_4641</v>
      </c>
      <c r="B1521" t="str">
        <f t="shared" si="93"/>
        <v>UGA_ENT GREENHSE CPES</v>
      </c>
      <c r="C1521" t="s">
        <v>443</v>
      </c>
      <c r="D1521" s="180" t="s">
        <v>51</v>
      </c>
      <c r="E1521" t="s">
        <v>3740</v>
      </c>
      <c r="F1521" t="s">
        <v>3741</v>
      </c>
      <c r="G1521" s="180">
        <v>3984</v>
      </c>
      <c r="H1521">
        <v>1965</v>
      </c>
      <c r="J1521" s="1334" t="s">
        <v>475</v>
      </c>
      <c r="K1521" s="1335" t="s">
        <v>481</v>
      </c>
      <c r="L1521" s="180">
        <v>0</v>
      </c>
      <c r="M1521" t="s">
        <v>67</v>
      </c>
      <c r="N1521" t="str">
        <f t="shared" si="94"/>
        <v>ENT GREENHSE CPES (4641)</v>
      </c>
      <c r="O1521" t="s">
        <v>52</v>
      </c>
      <c r="P1521" t="str">
        <f t="shared" si="95"/>
        <v>18000_4641</v>
      </c>
      <c r="Q1521" s="180">
        <v>100</v>
      </c>
    </row>
    <row r="1522" spans="1:17">
      <c r="A1522" t="str">
        <f t="shared" si="92"/>
        <v>UGA_4643</v>
      </c>
      <c r="B1522" t="str">
        <f t="shared" si="93"/>
        <v>UGA_INSECTARY</v>
      </c>
      <c r="C1522" t="s">
        <v>443</v>
      </c>
      <c r="D1522" s="180" t="s">
        <v>51</v>
      </c>
      <c r="E1522" t="s">
        <v>3223</v>
      </c>
      <c r="F1522" t="s">
        <v>3224</v>
      </c>
      <c r="G1522" s="180">
        <v>1256</v>
      </c>
      <c r="H1522">
        <v>1956</v>
      </c>
      <c r="J1522" s="1334" t="s">
        <v>475</v>
      </c>
      <c r="K1522" s="1335" t="s">
        <v>1520</v>
      </c>
      <c r="L1522" s="180">
        <v>0</v>
      </c>
      <c r="M1522" t="s">
        <v>67</v>
      </c>
      <c r="N1522" t="str">
        <f t="shared" si="94"/>
        <v>INSECTARY (4643)</v>
      </c>
      <c r="O1522" t="s">
        <v>52</v>
      </c>
      <c r="P1522" t="str">
        <f t="shared" si="95"/>
        <v>18000_4643</v>
      </c>
      <c r="Q1522" s="180">
        <v>100</v>
      </c>
    </row>
    <row r="1523" spans="1:17">
      <c r="A1523" t="str">
        <f t="shared" si="92"/>
        <v>UGA_4644</v>
      </c>
      <c r="B1523" t="str">
        <f t="shared" si="93"/>
        <v>UGA_ENTOMOLOGY LAB</v>
      </c>
      <c r="C1523" t="s">
        <v>443</v>
      </c>
      <c r="D1523" s="180" t="s">
        <v>51</v>
      </c>
      <c r="E1523" t="s">
        <v>4320</v>
      </c>
      <c r="F1523" t="s">
        <v>4321</v>
      </c>
      <c r="G1523" s="180">
        <v>563</v>
      </c>
      <c r="H1523">
        <v>1956</v>
      </c>
      <c r="J1523" s="1334" t="s">
        <v>475</v>
      </c>
      <c r="K1523" s="1335" t="s">
        <v>1520</v>
      </c>
      <c r="L1523" s="180">
        <v>0</v>
      </c>
      <c r="M1523" t="s">
        <v>67</v>
      </c>
      <c r="N1523" t="str">
        <f t="shared" si="94"/>
        <v>ENTOMOLOGY LAB (4644)</v>
      </c>
      <c r="O1523" t="s">
        <v>52</v>
      </c>
      <c r="P1523" t="str">
        <f t="shared" si="95"/>
        <v>18000_4644</v>
      </c>
      <c r="Q1523" s="180">
        <v>100</v>
      </c>
    </row>
    <row r="1524" spans="1:17">
      <c r="A1524" t="str">
        <f t="shared" si="92"/>
        <v>UGA_4645</v>
      </c>
      <c r="B1524" t="str">
        <f t="shared" si="93"/>
        <v>UGA_ENT EQUIP SHED</v>
      </c>
      <c r="C1524" t="s">
        <v>443</v>
      </c>
      <c r="D1524" s="180" t="s">
        <v>51</v>
      </c>
      <c r="E1524" t="s">
        <v>2263</v>
      </c>
      <c r="F1524" t="s">
        <v>2264</v>
      </c>
      <c r="G1524" s="180">
        <v>1460</v>
      </c>
      <c r="H1524">
        <v>1968</v>
      </c>
      <c r="J1524" s="1334" t="s">
        <v>475</v>
      </c>
      <c r="K1524" s="1335" t="s">
        <v>1520</v>
      </c>
      <c r="L1524" s="180">
        <v>0</v>
      </c>
      <c r="M1524" t="s">
        <v>67</v>
      </c>
      <c r="N1524" t="str">
        <f t="shared" si="94"/>
        <v>ENT EQUIP SHED (4645)</v>
      </c>
      <c r="O1524" t="s">
        <v>52</v>
      </c>
      <c r="P1524" t="str">
        <f t="shared" si="95"/>
        <v>18000_4645</v>
      </c>
      <c r="Q1524" s="180">
        <v>100</v>
      </c>
    </row>
    <row r="1525" spans="1:17">
      <c r="A1525" t="str">
        <f t="shared" si="92"/>
        <v>UGA_4646</v>
      </c>
      <c r="B1525" t="str">
        <f t="shared" si="93"/>
        <v>UGA_PEANUT BARN (ENT.)</v>
      </c>
      <c r="C1525" t="s">
        <v>443</v>
      </c>
      <c r="D1525" s="180" t="s">
        <v>51</v>
      </c>
      <c r="E1525" t="s">
        <v>3504</v>
      </c>
      <c r="F1525" t="s">
        <v>3505</v>
      </c>
      <c r="G1525" s="180">
        <v>970</v>
      </c>
      <c r="H1525">
        <v>1964</v>
      </c>
      <c r="J1525" s="1334" t="s">
        <v>475</v>
      </c>
      <c r="K1525" s="1335" t="s">
        <v>1520</v>
      </c>
      <c r="L1525" s="180">
        <v>0</v>
      </c>
      <c r="M1525" t="s">
        <v>67</v>
      </c>
      <c r="N1525" t="str">
        <f t="shared" si="94"/>
        <v>PEANUT BARN (ENT.) (4646)</v>
      </c>
      <c r="O1525" t="s">
        <v>52</v>
      </c>
      <c r="P1525" t="str">
        <f t="shared" si="95"/>
        <v>18000_4646</v>
      </c>
      <c r="Q1525" s="180">
        <v>100</v>
      </c>
    </row>
    <row r="1526" spans="1:17">
      <c r="A1526" t="str">
        <f t="shared" si="92"/>
        <v>UGA_4647</v>
      </c>
      <c r="B1526" t="str">
        <f t="shared" si="93"/>
        <v>UGA_POTATO CURING HSE</v>
      </c>
      <c r="C1526" t="s">
        <v>443</v>
      </c>
      <c r="D1526" s="180" t="s">
        <v>51</v>
      </c>
      <c r="E1526" t="s">
        <v>4306</v>
      </c>
      <c r="F1526" t="s">
        <v>4307</v>
      </c>
      <c r="G1526" s="180">
        <v>1196</v>
      </c>
      <c r="H1526">
        <v>1944</v>
      </c>
      <c r="J1526" s="1334" t="s">
        <v>475</v>
      </c>
      <c r="K1526" s="1335" t="s">
        <v>481</v>
      </c>
      <c r="L1526" s="180">
        <v>0</v>
      </c>
      <c r="M1526" t="s">
        <v>67</v>
      </c>
      <c r="N1526" t="str">
        <f t="shared" si="94"/>
        <v>POTATO CURING HSE (4647)</v>
      </c>
      <c r="O1526" t="s">
        <v>52</v>
      </c>
      <c r="P1526" t="str">
        <f t="shared" si="95"/>
        <v>18000_4647</v>
      </c>
      <c r="Q1526" s="180">
        <v>0</v>
      </c>
    </row>
    <row r="1527" spans="1:17">
      <c r="A1527" t="str">
        <f t="shared" si="92"/>
        <v>UGA_4648</v>
      </c>
      <c r="B1527" t="str">
        <f t="shared" si="93"/>
        <v>UGA_SEED DRYING HOUSE</v>
      </c>
      <c r="C1527" t="s">
        <v>443</v>
      </c>
      <c r="D1527" s="180" t="s">
        <v>51</v>
      </c>
      <c r="E1527" t="s">
        <v>3796</v>
      </c>
      <c r="F1527" t="s">
        <v>3797</v>
      </c>
      <c r="G1527" s="180">
        <v>1054</v>
      </c>
      <c r="H1527">
        <v>1950</v>
      </c>
      <c r="J1527" s="1334" t="s">
        <v>475</v>
      </c>
      <c r="K1527" s="1335" t="s">
        <v>481</v>
      </c>
      <c r="L1527" s="180">
        <v>0</v>
      </c>
      <c r="M1527" t="s">
        <v>67</v>
      </c>
      <c r="N1527" t="str">
        <f t="shared" si="94"/>
        <v>SEED DRYING HOUSE (4648)</v>
      </c>
      <c r="O1527" t="s">
        <v>52</v>
      </c>
      <c r="P1527" t="str">
        <f t="shared" si="95"/>
        <v>18000_4648</v>
      </c>
      <c r="Q1527" s="180">
        <v>0</v>
      </c>
    </row>
    <row r="1528" spans="1:17">
      <c r="A1528" t="str">
        <f t="shared" si="92"/>
        <v>UGA_4649</v>
      </c>
      <c r="B1528" t="str">
        <f t="shared" si="93"/>
        <v>UGA_SEED CLEAN HOUSE</v>
      </c>
      <c r="C1528" t="s">
        <v>443</v>
      </c>
      <c r="D1528" s="180" t="s">
        <v>51</v>
      </c>
      <c r="E1528" t="s">
        <v>1689</v>
      </c>
      <c r="F1528" t="s">
        <v>1690</v>
      </c>
      <c r="G1528" s="180">
        <v>1320</v>
      </c>
      <c r="H1528">
        <v>1951</v>
      </c>
      <c r="J1528" s="1334" t="s">
        <v>475</v>
      </c>
      <c r="K1528" s="1335" t="s">
        <v>1520</v>
      </c>
      <c r="L1528" s="180">
        <v>0</v>
      </c>
      <c r="M1528" t="s">
        <v>67</v>
      </c>
      <c r="N1528" t="str">
        <f t="shared" si="94"/>
        <v>SEED CLEAN HOUSE (4649)</v>
      </c>
      <c r="O1528" t="s">
        <v>52</v>
      </c>
      <c r="P1528" t="str">
        <f t="shared" si="95"/>
        <v>18000_4649</v>
      </c>
      <c r="Q1528" s="180">
        <v>100</v>
      </c>
    </row>
    <row r="1529" spans="1:17">
      <c r="A1529" t="str">
        <f t="shared" si="92"/>
        <v>UGA_4650</v>
      </c>
      <c r="B1529" t="str">
        <f t="shared" si="93"/>
        <v>UGA_GIN &amp; SEED HOUSE</v>
      </c>
      <c r="C1529" t="s">
        <v>443</v>
      </c>
      <c r="D1529" s="180" t="s">
        <v>51</v>
      </c>
      <c r="E1529" t="s">
        <v>3041</v>
      </c>
      <c r="F1529" t="s">
        <v>3042</v>
      </c>
      <c r="G1529" s="180">
        <v>3757</v>
      </c>
      <c r="H1529">
        <v>1942</v>
      </c>
      <c r="J1529" s="1334" t="s">
        <v>475</v>
      </c>
      <c r="K1529" s="1335" t="s">
        <v>481</v>
      </c>
      <c r="L1529" s="180">
        <v>0</v>
      </c>
      <c r="M1529" t="s">
        <v>67</v>
      </c>
      <c r="N1529" t="str">
        <f t="shared" si="94"/>
        <v>GIN &amp; SEED HOUSE (4650)</v>
      </c>
      <c r="O1529" t="s">
        <v>52</v>
      </c>
      <c r="P1529" t="str">
        <f t="shared" si="95"/>
        <v>18000_4650</v>
      </c>
      <c r="Q1529" s="180">
        <v>100</v>
      </c>
    </row>
    <row r="1530" spans="1:17">
      <c r="A1530" t="str">
        <f t="shared" si="92"/>
        <v>UGA_4651</v>
      </c>
      <c r="B1530" t="str">
        <f t="shared" si="93"/>
        <v>UGA_TOBACCO PACK HOUSE</v>
      </c>
      <c r="C1530" t="s">
        <v>443</v>
      </c>
      <c r="D1530" s="180" t="s">
        <v>51</v>
      </c>
      <c r="E1530" t="s">
        <v>3996</v>
      </c>
      <c r="F1530" t="s">
        <v>3997</v>
      </c>
      <c r="G1530" s="180">
        <v>4348</v>
      </c>
      <c r="H1530">
        <v>1964</v>
      </c>
      <c r="J1530" s="1334" t="s">
        <v>475</v>
      </c>
      <c r="K1530" s="1335" t="s">
        <v>481</v>
      </c>
      <c r="L1530" s="180">
        <v>0</v>
      </c>
      <c r="M1530" t="s">
        <v>67</v>
      </c>
      <c r="N1530" t="str">
        <f t="shared" si="94"/>
        <v>TOBACCO PACK HOUSE (4651)</v>
      </c>
      <c r="O1530" t="s">
        <v>52</v>
      </c>
      <c r="P1530" t="str">
        <f t="shared" si="95"/>
        <v>18000_4651</v>
      </c>
      <c r="Q1530" s="180">
        <v>100</v>
      </c>
    </row>
    <row r="1531" spans="1:17">
      <c r="A1531" t="str">
        <f t="shared" si="92"/>
        <v>UGA_4653</v>
      </c>
      <c r="B1531" t="str">
        <f t="shared" si="93"/>
        <v>UGA_ENG TOBACCO BARN</v>
      </c>
      <c r="C1531" t="s">
        <v>443</v>
      </c>
      <c r="D1531" s="180" t="s">
        <v>51</v>
      </c>
      <c r="E1531" t="s">
        <v>3798</v>
      </c>
      <c r="F1531" t="s">
        <v>3799</v>
      </c>
      <c r="G1531" s="180">
        <v>1834</v>
      </c>
      <c r="H1531">
        <v>1962</v>
      </c>
      <c r="J1531" s="1334" t="s">
        <v>475</v>
      </c>
      <c r="K1531" s="1335" t="s">
        <v>1520</v>
      </c>
      <c r="L1531" s="180">
        <v>0</v>
      </c>
      <c r="M1531" t="s">
        <v>67</v>
      </c>
      <c r="N1531" t="str">
        <f t="shared" si="94"/>
        <v>ENG TOBACCO BARN (4653)</v>
      </c>
      <c r="O1531" t="s">
        <v>52</v>
      </c>
      <c r="P1531" t="str">
        <f t="shared" si="95"/>
        <v>18000_4653</v>
      </c>
      <c r="Q1531" s="180">
        <v>100</v>
      </c>
    </row>
    <row r="1532" spans="1:17">
      <c r="A1532" t="str">
        <f t="shared" si="92"/>
        <v>UGA_4656</v>
      </c>
      <c r="B1532" t="str">
        <f t="shared" si="93"/>
        <v>UGA_IMPLEMENT STORAGE</v>
      </c>
      <c r="C1532" t="s">
        <v>443</v>
      </c>
      <c r="D1532" s="180" t="s">
        <v>51</v>
      </c>
      <c r="E1532" t="s">
        <v>3413</v>
      </c>
      <c r="F1532" t="s">
        <v>3414</v>
      </c>
      <c r="G1532" s="180">
        <v>877</v>
      </c>
      <c r="H1532">
        <v>1946</v>
      </c>
      <c r="J1532" s="1334" t="s">
        <v>475</v>
      </c>
      <c r="K1532" s="1335" t="s">
        <v>475</v>
      </c>
      <c r="L1532" s="180">
        <v>0</v>
      </c>
      <c r="M1532" t="s">
        <v>67</v>
      </c>
      <c r="N1532" t="str">
        <f t="shared" si="94"/>
        <v>IMPLEMENT STORAGE (4656)</v>
      </c>
      <c r="O1532" t="s">
        <v>52</v>
      </c>
      <c r="P1532" t="str">
        <f t="shared" si="95"/>
        <v>18000_4656</v>
      </c>
      <c r="Q1532" s="180">
        <v>0</v>
      </c>
    </row>
    <row r="1533" spans="1:17">
      <c r="A1533" t="str">
        <f t="shared" si="92"/>
        <v>UGA_4663</v>
      </c>
      <c r="B1533" t="str">
        <f t="shared" si="93"/>
        <v>UGA_BLACK SHANK TOB BR</v>
      </c>
      <c r="C1533" t="s">
        <v>443</v>
      </c>
      <c r="D1533" s="180" t="s">
        <v>51</v>
      </c>
      <c r="E1533" t="s">
        <v>4437</v>
      </c>
      <c r="F1533" t="s">
        <v>4438</v>
      </c>
      <c r="G1533" s="180">
        <v>1146</v>
      </c>
      <c r="H1533">
        <v>1963</v>
      </c>
      <c r="J1533" s="1334" t="s">
        <v>475</v>
      </c>
      <c r="K1533" s="1335" t="s">
        <v>481</v>
      </c>
      <c r="L1533" s="180">
        <v>0</v>
      </c>
      <c r="M1533" t="s">
        <v>67</v>
      </c>
      <c r="N1533" t="str">
        <f t="shared" si="94"/>
        <v>BLACK SHANK TOB BR (4663)</v>
      </c>
      <c r="O1533" t="s">
        <v>52</v>
      </c>
      <c r="P1533" t="str">
        <f t="shared" si="95"/>
        <v>18000_4663</v>
      </c>
      <c r="Q1533" s="180">
        <v>0</v>
      </c>
    </row>
    <row r="1534" spans="1:17">
      <c r="A1534" t="str">
        <f t="shared" si="92"/>
        <v>UGA_4664</v>
      </c>
      <c r="B1534" t="str">
        <f t="shared" si="93"/>
        <v>UGA_SOILS SHED</v>
      </c>
      <c r="C1534" t="s">
        <v>443</v>
      </c>
      <c r="D1534" s="180" t="s">
        <v>51</v>
      </c>
      <c r="E1534" t="s">
        <v>2157</v>
      </c>
      <c r="F1534" t="s">
        <v>2158</v>
      </c>
      <c r="G1534" s="180">
        <v>1999</v>
      </c>
      <c r="H1534">
        <v>1956</v>
      </c>
      <c r="J1534" s="1334" t="s">
        <v>475</v>
      </c>
      <c r="K1534" s="1335" t="s">
        <v>1520</v>
      </c>
      <c r="L1534" s="180">
        <v>0</v>
      </c>
      <c r="M1534" t="s">
        <v>67</v>
      </c>
      <c r="N1534" t="str">
        <f t="shared" si="94"/>
        <v>SOILS SHED (4664)</v>
      </c>
      <c r="O1534" t="s">
        <v>52</v>
      </c>
      <c r="P1534" t="str">
        <f t="shared" si="95"/>
        <v>18000_4664</v>
      </c>
      <c r="Q1534" s="180">
        <v>1</v>
      </c>
    </row>
    <row r="1535" spans="1:17">
      <c r="A1535" t="str">
        <f t="shared" si="92"/>
        <v>UGA_4665</v>
      </c>
      <c r="B1535" t="str">
        <f t="shared" si="93"/>
        <v>UGA_SOILS LABORATORY</v>
      </c>
      <c r="C1535" t="s">
        <v>443</v>
      </c>
      <c r="D1535" s="180" t="s">
        <v>51</v>
      </c>
      <c r="E1535" t="s">
        <v>2616</v>
      </c>
      <c r="F1535" t="s">
        <v>2617</v>
      </c>
      <c r="G1535" s="180">
        <v>1536</v>
      </c>
      <c r="H1535">
        <v>1948</v>
      </c>
      <c r="J1535" s="1334" t="s">
        <v>475</v>
      </c>
      <c r="K1535" s="1335" t="s">
        <v>481</v>
      </c>
      <c r="L1535" s="180">
        <v>0</v>
      </c>
      <c r="M1535" t="s">
        <v>67</v>
      </c>
      <c r="N1535" t="str">
        <f t="shared" si="94"/>
        <v>SOILS LABORATORY (4665)</v>
      </c>
      <c r="O1535" t="s">
        <v>52</v>
      </c>
      <c r="P1535" t="str">
        <f t="shared" si="95"/>
        <v>18000_4665</v>
      </c>
      <c r="Q1535" s="180">
        <v>100</v>
      </c>
    </row>
    <row r="1536" spans="1:17">
      <c r="A1536" t="str">
        <f t="shared" si="92"/>
        <v>UGA_4666</v>
      </c>
      <c r="B1536" t="str">
        <f t="shared" si="93"/>
        <v>UGA_SOILS EQUIP SHED</v>
      </c>
      <c r="C1536" t="s">
        <v>443</v>
      </c>
      <c r="D1536" s="180" t="s">
        <v>51</v>
      </c>
      <c r="E1536" t="s">
        <v>2692</v>
      </c>
      <c r="F1536" t="s">
        <v>2693</v>
      </c>
      <c r="G1536" s="180">
        <v>800</v>
      </c>
      <c r="H1536">
        <v>1967</v>
      </c>
      <c r="J1536" s="1334" t="s">
        <v>475</v>
      </c>
      <c r="K1536" s="1335" t="s">
        <v>486</v>
      </c>
      <c r="L1536" s="180">
        <v>0</v>
      </c>
      <c r="M1536" t="s">
        <v>67</v>
      </c>
      <c r="N1536" t="str">
        <f t="shared" si="94"/>
        <v>SOILS EQUIP SHED (4666)</v>
      </c>
      <c r="O1536" t="s">
        <v>52</v>
      </c>
      <c r="P1536" t="str">
        <f t="shared" si="95"/>
        <v>18000_4666</v>
      </c>
      <c r="Q1536" s="180">
        <v>0</v>
      </c>
    </row>
    <row r="1537" spans="1:17">
      <c r="A1537" t="str">
        <f t="shared" si="92"/>
        <v>UGA_4673</v>
      </c>
      <c r="B1537" t="str">
        <f t="shared" si="93"/>
        <v>UGA_DRYING HOUSE</v>
      </c>
      <c r="C1537" t="s">
        <v>443</v>
      </c>
      <c r="D1537" s="180" t="s">
        <v>51</v>
      </c>
      <c r="E1537" t="s">
        <v>3316</v>
      </c>
      <c r="F1537" t="s">
        <v>3317</v>
      </c>
      <c r="G1537" s="180">
        <v>214</v>
      </c>
      <c r="H1537">
        <v>1945</v>
      </c>
      <c r="J1537" s="1334" t="s">
        <v>475</v>
      </c>
      <c r="K1537" s="1335" t="s">
        <v>481</v>
      </c>
      <c r="L1537" s="180">
        <v>0</v>
      </c>
      <c r="M1537" t="s">
        <v>67</v>
      </c>
      <c r="N1537" t="str">
        <f t="shared" si="94"/>
        <v>DRYING HOUSE (4673)</v>
      </c>
      <c r="O1537" t="s">
        <v>52</v>
      </c>
      <c r="P1537" t="str">
        <f t="shared" si="95"/>
        <v>18000_4673</v>
      </c>
      <c r="Q1537" s="180">
        <v>0</v>
      </c>
    </row>
    <row r="1538" spans="1:17">
      <c r="A1538" t="str">
        <f t="shared" si="92"/>
        <v>UGA_4675</v>
      </c>
      <c r="B1538" t="str">
        <f t="shared" si="93"/>
        <v>UGA_CORN BR &amp; PEANUT B</v>
      </c>
      <c r="C1538" t="s">
        <v>443</v>
      </c>
      <c r="D1538" s="180" t="s">
        <v>51</v>
      </c>
      <c r="E1538" t="s">
        <v>2642</v>
      </c>
      <c r="F1538" t="s">
        <v>2643</v>
      </c>
      <c r="G1538" s="180">
        <v>4604</v>
      </c>
      <c r="H1538">
        <v>1935</v>
      </c>
      <c r="J1538" s="1334" t="s">
        <v>475</v>
      </c>
      <c r="K1538" s="1335" t="s">
        <v>481</v>
      </c>
      <c r="L1538" s="180">
        <v>0</v>
      </c>
      <c r="M1538" t="s">
        <v>67</v>
      </c>
      <c r="N1538" t="str">
        <f t="shared" si="94"/>
        <v>CORN BR &amp; PEANUT B (4675)</v>
      </c>
      <c r="O1538" t="s">
        <v>52</v>
      </c>
      <c r="P1538" t="str">
        <f t="shared" si="95"/>
        <v>18000_4675</v>
      </c>
      <c r="Q1538" s="180">
        <v>1</v>
      </c>
    </row>
    <row r="1539" spans="1:17">
      <c r="A1539" t="str">
        <f t="shared" ref="A1539:A1602" si="96">_xlfn.CONCAT(D1539,"_",E1539)</f>
        <v>UGA_4676</v>
      </c>
      <c r="B1539" t="str">
        <f t="shared" ref="B1539:B1602" si="97">_xlfn.CONCAT(D1539,"_",F1539)</f>
        <v>UGA_FORAGE &amp; PASTURE S</v>
      </c>
      <c r="C1539" t="s">
        <v>443</v>
      </c>
      <c r="D1539" s="180" t="s">
        <v>51</v>
      </c>
      <c r="E1539" t="s">
        <v>3082</v>
      </c>
      <c r="F1539" t="s">
        <v>3083</v>
      </c>
      <c r="G1539" s="180">
        <v>3227</v>
      </c>
      <c r="H1539">
        <v>1944</v>
      </c>
      <c r="J1539" s="1334" t="s">
        <v>475</v>
      </c>
      <c r="K1539" s="1335" t="s">
        <v>475</v>
      </c>
      <c r="L1539" s="180">
        <v>0</v>
      </c>
      <c r="M1539" t="s">
        <v>67</v>
      </c>
      <c r="N1539" t="str">
        <f t="shared" ref="N1539:N1602" si="98">_xlfn.CONCAT(F1539," (",E1539,")")</f>
        <v>FORAGE &amp; PASTURE S (4676)</v>
      </c>
      <c r="O1539" t="s">
        <v>52</v>
      </c>
      <c r="P1539" t="str">
        <f t="shared" ref="P1539:P1602" si="99">_xlfn.CONCAT(C1539,"_",E1539)</f>
        <v>18000_4676</v>
      </c>
      <c r="Q1539" s="180">
        <v>3</v>
      </c>
    </row>
    <row r="1540" spans="1:17">
      <c r="A1540" t="str">
        <f t="shared" si="96"/>
        <v>UGA_4678</v>
      </c>
      <c r="B1540" t="str">
        <f t="shared" si="97"/>
        <v>UGA_FERT STORAGE HOUSE</v>
      </c>
      <c r="C1540" t="s">
        <v>443</v>
      </c>
      <c r="D1540" s="180" t="s">
        <v>51</v>
      </c>
      <c r="E1540" t="s">
        <v>2784</v>
      </c>
      <c r="F1540" t="s">
        <v>2785</v>
      </c>
      <c r="G1540" s="180">
        <v>810</v>
      </c>
      <c r="H1540">
        <v>1935</v>
      </c>
      <c r="J1540" s="1334" t="s">
        <v>475</v>
      </c>
      <c r="K1540" s="1335" t="s">
        <v>481</v>
      </c>
      <c r="L1540" s="180">
        <v>0</v>
      </c>
      <c r="M1540" t="s">
        <v>67</v>
      </c>
      <c r="N1540" t="str">
        <f t="shared" si="98"/>
        <v>FERT STORAGE HOUSE (4678)</v>
      </c>
      <c r="O1540" t="s">
        <v>52</v>
      </c>
      <c r="P1540" t="str">
        <f t="shared" si="99"/>
        <v>18000_4678</v>
      </c>
      <c r="Q1540" s="180">
        <v>100</v>
      </c>
    </row>
    <row r="1541" spans="1:17">
      <c r="A1541" t="str">
        <f t="shared" si="96"/>
        <v>UGA_4680</v>
      </c>
      <c r="B1541" t="str">
        <f t="shared" si="97"/>
        <v>UGA_SAMPLE PREP &amp; DRY</v>
      </c>
      <c r="C1541" t="s">
        <v>443</v>
      </c>
      <c r="D1541" s="180" t="s">
        <v>51</v>
      </c>
      <c r="E1541" t="s">
        <v>3742</v>
      </c>
      <c r="F1541" t="s">
        <v>3743</v>
      </c>
      <c r="G1541" s="180">
        <v>3174</v>
      </c>
      <c r="H1541">
        <v>1966</v>
      </c>
      <c r="J1541" s="1334" t="s">
        <v>475</v>
      </c>
      <c r="K1541" s="1335" t="s">
        <v>486</v>
      </c>
      <c r="L1541" s="180">
        <v>0</v>
      </c>
      <c r="M1541" t="s">
        <v>67</v>
      </c>
      <c r="N1541" t="str">
        <f t="shared" si="98"/>
        <v>SAMPLE PREP &amp; DRY (4680)</v>
      </c>
      <c r="O1541" t="s">
        <v>52</v>
      </c>
      <c r="P1541" t="str">
        <f t="shared" si="99"/>
        <v>18000_4680</v>
      </c>
      <c r="Q1541" s="180">
        <v>100</v>
      </c>
    </row>
    <row r="1542" spans="1:17">
      <c r="A1542" t="str">
        <f t="shared" si="96"/>
        <v>UGA_4696</v>
      </c>
      <c r="B1542" t="str">
        <f t="shared" si="97"/>
        <v>UGA_SUPERINTENDNTS CTG</v>
      </c>
      <c r="C1542" t="s">
        <v>443</v>
      </c>
      <c r="D1542" s="180" t="s">
        <v>51</v>
      </c>
      <c r="E1542" t="s">
        <v>4322</v>
      </c>
      <c r="F1542" t="s">
        <v>4323</v>
      </c>
      <c r="G1542" s="180">
        <v>1466</v>
      </c>
      <c r="H1542">
        <v>1942</v>
      </c>
      <c r="J1542" s="1334" t="s">
        <v>475</v>
      </c>
      <c r="K1542" s="1335" t="s">
        <v>486</v>
      </c>
      <c r="L1542" s="180">
        <v>0</v>
      </c>
      <c r="M1542" t="s">
        <v>67</v>
      </c>
      <c r="N1542" t="str">
        <f t="shared" si="98"/>
        <v>SUPERINTENDNTS CTG (4696)</v>
      </c>
      <c r="O1542" t="s">
        <v>52</v>
      </c>
      <c r="P1542" t="str">
        <f t="shared" si="99"/>
        <v>18000_4696</v>
      </c>
      <c r="Q1542" s="180">
        <v>100</v>
      </c>
    </row>
    <row r="1543" spans="1:17">
      <c r="A1543" t="str">
        <f t="shared" si="96"/>
        <v>UGA_4698</v>
      </c>
      <c r="B1543" t="str">
        <f t="shared" si="97"/>
        <v>UGA_MACHINE SHED</v>
      </c>
      <c r="C1543" t="s">
        <v>443</v>
      </c>
      <c r="D1543" s="180" t="s">
        <v>51</v>
      </c>
      <c r="E1543" t="s">
        <v>4077</v>
      </c>
      <c r="F1543" t="s">
        <v>4078</v>
      </c>
      <c r="G1543" s="180">
        <v>3076</v>
      </c>
      <c r="H1543">
        <v>1943</v>
      </c>
      <c r="J1543" s="1334" t="s">
        <v>475</v>
      </c>
      <c r="K1543" s="1335" t="s">
        <v>475</v>
      </c>
      <c r="L1543" s="180">
        <v>0</v>
      </c>
      <c r="M1543" t="s">
        <v>67</v>
      </c>
      <c r="N1543" t="str">
        <f t="shared" si="98"/>
        <v>MACHINE SHED (4698)</v>
      </c>
      <c r="O1543" t="s">
        <v>52</v>
      </c>
      <c r="P1543" t="str">
        <f t="shared" si="99"/>
        <v>18000_4698</v>
      </c>
      <c r="Q1543" s="180">
        <v>100</v>
      </c>
    </row>
    <row r="1544" spans="1:17">
      <c r="A1544" t="str">
        <f t="shared" si="96"/>
        <v>UGA_4700</v>
      </c>
      <c r="B1544" t="str">
        <f t="shared" si="97"/>
        <v>UGA_LIVESTOCK ARENA</v>
      </c>
      <c r="C1544" t="s">
        <v>443</v>
      </c>
      <c r="D1544" s="180" t="s">
        <v>51</v>
      </c>
      <c r="E1544" t="s">
        <v>2230</v>
      </c>
      <c r="F1544" t="s">
        <v>2231</v>
      </c>
      <c r="G1544" s="180">
        <v>18408</v>
      </c>
      <c r="H1544">
        <v>1960</v>
      </c>
      <c r="J1544" s="1334" t="s">
        <v>475</v>
      </c>
      <c r="K1544" s="1335" t="s">
        <v>475</v>
      </c>
      <c r="L1544" s="180">
        <v>0</v>
      </c>
      <c r="M1544" t="s">
        <v>67</v>
      </c>
      <c r="N1544" t="str">
        <f t="shared" si="98"/>
        <v>LIVESTOCK ARENA (4700)</v>
      </c>
      <c r="O1544" t="s">
        <v>52</v>
      </c>
      <c r="P1544" t="str">
        <f t="shared" si="99"/>
        <v>18000_4700</v>
      </c>
      <c r="Q1544" s="180">
        <v>100</v>
      </c>
    </row>
    <row r="1545" spans="1:17">
      <c r="A1545" t="str">
        <f t="shared" si="96"/>
        <v>UGA_4701</v>
      </c>
      <c r="B1545" t="str">
        <f t="shared" si="97"/>
        <v>UGA_FEED MILL HOUSE</v>
      </c>
      <c r="C1545" t="s">
        <v>443</v>
      </c>
      <c r="D1545" s="180" t="s">
        <v>51</v>
      </c>
      <c r="E1545" t="s">
        <v>3721</v>
      </c>
      <c r="F1545" t="s">
        <v>3722</v>
      </c>
      <c r="G1545" s="180">
        <v>3066</v>
      </c>
      <c r="H1545">
        <v>1945</v>
      </c>
      <c r="J1545" s="1334" t="s">
        <v>475</v>
      </c>
      <c r="K1545" s="1335" t="s">
        <v>475</v>
      </c>
      <c r="L1545" s="180">
        <v>0</v>
      </c>
      <c r="M1545" t="s">
        <v>67</v>
      </c>
      <c r="N1545" t="str">
        <f t="shared" si="98"/>
        <v>FEED MILL HOUSE (4701)</v>
      </c>
      <c r="O1545" t="s">
        <v>52</v>
      </c>
      <c r="P1545" t="str">
        <f t="shared" si="99"/>
        <v>18000_4701</v>
      </c>
      <c r="Q1545" s="180">
        <v>100</v>
      </c>
    </row>
    <row r="1546" spans="1:17">
      <c r="A1546" t="str">
        <f t="shared" si="96"/>
        <v>UGA_4704</v>
      </c>
      <c r="B1546" t="str">
        <f t="shared" si="97"/>
        <v>UGA_CORN CRIB</v>
      </c>
      <c r="C1546" t="s">
        <v>443</v>
      </c>
      <c r="D1546" s="180" t="s">
        <v>51</v>
      </c>
      <c r="E1546" t="s">
        <v>3864</v>
      </c>
      <c r="F1546" t="s">
        <v>3865</v>
      </c>
      <c r="G1546" s="180">
        <v>1548</v>
      </c>
      <c r="H1546">
        <v>1943</v>
      </c>
      <c r="J1546" s="1334" t="s">
        <v>475</v>
      </c>
      <c r="K1546" s="1335" t="s">
        <v>475</v>
      </c>
      <c r="L1546" s="180">
        <v>0</v>
      </c>
      <c r="M1546" t="s">
        <v>67</v>
      </c>
      <c r="N1546" t="str">
        <f t="shared" si="98"/>
        <v>CORN CRIB (4704)</v>
      </c>
      <c r="O1546" t="s">
        <v>52</v>
      </c>
      <c r="P1546" t="str">
        <f t="shared" si="99"/>
        <v>18000_4704</v>
      </c>
      <c r="Q1546" s="180">
        <v>100</v>
      </c>
    </row>
    <row r="1547" spans="1:17">
      <c r="A1547" t="str">
        <f t="shared" si="96"/>
        <v>UGA_4705</v>
      </c>
      <c r="B1547" t="str">
        <f t="shared" si="97"/>
        <v>UGA_ADS FARM SHOP</v>
      </c>
      <c r="C1547" t="s">
        <v>443</v>
      </c>
      <c r="D1547" s="180" t="s">
        <v>51</v>
      </c>
      <c r="E1547" t="s">
        <v>1466</v>
      </c>
      <c r="F1547" t="s">
        <v>1467</v>
      </c>
      <c r="G1547" s="180">
        <v>6630</v>
      </c>
      <c r="H1547">
        <v>1962</v>
      </c>
      <c r="J1547" s="1334" t="s">
        <v>475</v>
      </c>
      <c r="K1547" s="1335" t="s">
        <v>486</v>
      </c>
      <c r="L1547" s="180">
        <v>0</v>
      </c>
      <c r="M1547" t="s">
        <v>67</v>
      </c>
      <c r="N1547" t="str">
        <f t="shared" si="98"/>
        <v>ADS FARM SHOP (4705)</v>
      </c>
      <c r="O1547" t="s">
        <v>52</v>
      </c>
      <c r="P1547" t="str">
        <f t="shared" si="99"/>
        <v>18000_4705</v>
      </c>
      <c r="Q1547" s="180">
        <v>100</v>
      </c>
    </row>
    <row r="1548" spans="1:17">
      <c r="A1548" t="str">
        <f t="shared" si="96"/>
        <v>UGA_4706</v>
      </c>
      <c r="B1548" t="str">
        <f t="shared" si="97"/>
        <v>UGA_AN SCI NUTRIT BARN</v>
      </c>
      <c r="C1548" t="s">
        <v>443</v>
      </c>
      <c r="D1548" s="180" t="s">
        <v>51</v>
      </c>
      <c r="E1548" t="s">
        <v>3930</v>
      </c>
      <c r="F1548" t="s">
        <v>3931</v>
      </c>
      <c r="G1548" s="180">
        <v>2573</v>
      </c>
      <c r="H1548">
        <v>1943</v>
      </c>
      <c r="J1548" s="1334" t="s">
        <v>475</v>
      </c>
      <c r="K1548" s="1335" t="s">
        <v>486</v>
      </c>
      <c r="L1548" s="180">
        <v>0</v>
      </c>
      <c r="M1548" t="s">
        <v>67</v>
      </c>
      <c r="N1548" t="str">
        <f t="shared" si="98"/>
        <v>AN SCI NUTRIT BARN (4706)</v>
      </c>
      <c r="O1548" t="s">
        <v>52</v>
      </c>
      <c r="P1548" t="str">
        <f t="shared" si="99"/>
        <v>18000_4706</v>
      </c>
      <c r="Q1548" s="180">
        <v>100</v>
      </c>
    </row>
    <row r="1549" spans="1:17">
      <c r="A1549" t="str">
        <f t="shared" si="96"/>
        <v>UGA_4709</v>
      </c>
      <c r="B1549" t="str">
        <f t="shared" si="97"/>
        <v>UGA_HAY SHED</v>
      </c>
      <c r="C1549" t="s">
        <v>443</v>
      </c>
      <c r="D1549" s="180" t="s">
        <v>51</v>
      </c>
      <c r="E1549" t="s">
        <v>1910</v>
      </c>
      <c r="F1549" t="s">
        <v>1911</v>
      </c>
      <c r="G1549" s="180">
        <v>6748</v>
      </c>
      <c r="H1549">
        <v>1958</v>
      </c>
      <c r="J1549" s="1334" t="s">
        <v>475</v>
      </c>
      <c r="K1549" s="1335" t="s">
        <v>475</v>
      </c>
      <c r="L1549" s="180">
        <v>0</v>
      </c>
      <c r="M1549" t="s">
        <v>67</v>
      </c>
      <c r="N1549" t="str">
        <f t="shared" si="98"/>
        <v>HAY SHED (4709)</v>
      </c>
      <c r="O1549" t="s">
        <v>52</v>
      </c>
      <c r="P1549" t="str">
        <f t="shared" si="99"/>
        <v>18000_4709</v>
      </c>
      <c r="Q1549" s="180">
        <v>100</v>
      </c>
    </row>
    <row r="1550" spans="1:17">
      <c r="A1550" t="str">
        <f t="shared" si="96"/>
        <v>UGA_4714</v>
      </c>
      <c r="B1550" t="str">
        <f t="shared" si="97"/>
        <v>UGA_AN SCI FARROW BARN</v>
      </c>
      <c r="C1550" t="s">
        <v>443</v>
      </c>
      <c r="D1550" s="180" t="s">
        <v>51</v>
      </c>
      <c r="E1550" t="s">
        <v>2306</v>
      </c>
      <c r="F1550" t="s">
        <v>2307</v>
      </c>
      <c r="G1550" s="180">
        <v>1720</v>
      </c>
      <c r="H1550">
        <v>1963</v>
      </c>
      <c r="J1550" s="1334" t="s">
        <v>475</v>
      </c>
      <c r="K1550" s="1335" t="s">
        <v>481</v>
      </c>
      <c r="L1550" s="180">
        <v>0</v>
      </c>
      <c r="M1550" t="s">
        <v>67</v>
      </c>
      <c r="N1550" t="str">
        <f t="shared" si="98"/>
        <v>AN SCI FARROW BARN (4714)</v>
      </c>
      <c r="O1550" t="s">
        <v>52</v>
      </c>
      <c r="P1550" t="str">
        <f t="shared" si="99"/>
        <v>18000_4714</v>
      </c>
      <c r="Q1550" s="180">
        <v>100</v>
      </c>
    </row>
    <row r="1551" spans="1:17">
      <c r="A1551" t="str">
        <f t="shared" si="96"/>
        <v>UGA_4717</v>
      </c>
      <c r="B1551" t="str">
        <f t="shared" si="97"/>
        <v>UGA_LABORERS COTTAGE E</v>
      </c>
      <c r="C1551" t="s">
        <v>443</v>
      </c>
      <c r="D1551" s="180" t="s">
        <v>51</v>
      </c>
      <c r="E1551" t="s">
        <v>3009</v>
      </c>
      <c r="F1551" t="s">
        <v>3010</v>
      </c>
      <c r="G1551" s="180">
        <v>1417</v>
      </c>
      <c r="H1551">
        <v>1959</v>
      </c>
      <c r="J1551" s="1334" t="s">
        <v>475</v>
      </c>
      <c r="K1551" s="1335" t="s">
        <v>1520</v>
      </c>
      <c r="L1551" s="180">
        <v>0</v>
      </c>
      <c r="M1551" t="s">
        <v>67</v>
      </c>
      <c r="N1551" t="str">
        <f t="shared" si="98"/>
        <v>LABORERS COTTAGE E (4717)</v>
      </c>
      <c r="O1551" t="s">
        <v>52</v>
      </c>
      <c r="P1551" t="str">
        <f t="shared" si="99"/>
        <v>18000_4717</v>
      </c>
      <c r="Q1551" s="180">
        <v>0</v>
      </c>
    </row>
    <row r="1552" spans="1:17">
      <c r="A1552" t="str">
        <f t="shared" si="96"/>
        <v>UGA_4718</v>
      </c>
      <c r="B1552" t="str">
        <f t="shared" si="97"/>
        <v>UGA_WELL PUMP HOUSE</v>
      </c>
      <c r="C1552" t="s">
        <v>443</v>
      </c>
      <c r="D1552" s="180" t="s">
        <v>51</v>
      </c>
      <c r="E1552" t="s">
        <v>1859</v>
      </c>
      <c r="F1552" t="s">
        <v>1860</v>
      </c>
      <c r="G1552" s="180">
        <v>148</v>
      </c>
      <c r="H1552">
        <v>1958</v>
      </c>
      <c r="J1552" s="1334" t="s">
        <v>475</v>
      </c>
      <c r="K1552" s="1335" t="s">
        <v>486</v>
      </c>
      <c r="L1552" s="180">
        <v>0</v>
      </c>
      <c r="M1552" t="s">
        <v>67</v>
      </c>
      <c r="N1552" t="str">
        <f t="shared" si="98"/>
        <v>WELL PUMP HOUSE (4718)</v>
      </c>
      <c r="O1552" t="s">
        <v>52</v>
      </c>
      <c r="P1552" t="str">
        <f t="shared" si="99"/>
        <v>18000_4718</v>
      </c>
      <c r="Q1552" s="180">
        <v>100</v>
      </c>
    </row>
    <row r="1553" spans="1:17">
      <c r="A1553" t="str">
        <f t="shared" si="96"/>
        <v>UGA_4722</v>
      </c>
      <c r="B1553" t="str">
        <f t="shared" si="97"/>
        <v>UGA_SWINE FEED &amp; OFF</v>
      </c>
      <c r="C1553" t="s">
        <v>443</v>
      </c>
      <c r="D1553" s="180" t="s">
        <v>51</v>
      </c>
      <c r="E1553" t="s">
        <v>1771</v>
      </c>
      <c r="F1553" t="s">
        <v>1772</v>
      </c>
      <c r="G1553" s="180">
        <v>2600</v>
      </c>
      <c r="H1553">
        <v>1958</v>
      </c>
      <c r="J1553" s="1334" t="s">
        <v>475</v>
      </c>
      <c r="K1553" s="1335" t="s">
        <v>486</v>
      </c>
      <c r="L1553" s="180">
        <v>0</v>
      </c>
      <c r="M1553" t="s">
        <v>67</v>
      </c>
      <c r="N1553" t="str">
        <f t="shared" si="98"/>
        <v>SWINE FEED &amp; OFF (4722)</v>
      </c>
      <c r="O1553" t="s">
        <v>52</v>
      </c>
      <c r="P1553" t="str">
        <f t="shared" si="99"/>
        <v>18000_4722</v>
      </c>
      <c r="Q1553" s="180">
        <v>100</v>
      </c>
    </row>
    <row r="1554" spans="1:17">
      <c r="A1554" t="str">
        <f t="shared" si="96"/>
        <v>UGA_4725</v>
      </c>
      <c r="B1554" t="str">
        <f t="shared" si="97"/>
        <v>UGA_SWINE PARASITE BR</v>
      </c>
      <c r="C1554" t="s">
        <v>443</v>
      </c>
      <c r="D1554" s="180" t="s">
        <v>51</v>
      </c>
      <c r="E1554" t="s">
        <v>2932</v>
      </c>
      <c r="F1554" t="s">
        <v>2933</v>
      </c>
      <c r="G1554" s="180">
        <v>3689</v>
      </c>
      <c r="H1554">
        <v>1956</v>
      </c>
      <c r="J1554" s="1334" t="s">
        <v>475</v>
      </c>
      <c r="K1554" s="1335" t="s">
        <v>475</v>
      </c>
      <c r="L1554" s="180">
        <v>0</v>
      </c>
      <c r="M1554" t="s">
        <v>67</v>
      </c>
      <c r="N1554" t="str">
        <f t="shared" si="98"/>
        <v>SWINE PARASITE BR (4725)</v>
      </c>
      <c r="O1554" t="s">
        <v>52</v>
      </c>
      <c r="P1554" t="str">
        <f t="shared" si="99"/>
        <v>18000_4725</v>
      </c>
      <c r="Q1554" s="180">
        <v>100</v>
      </c>
    </row>
    <row r="1555" spans="1:17">
      <c r="A1555" t="str">
        <f t="shared" si="96"/>
        <v>UGA_4726</v>
      </c>
      <c r="B1555" t="str">
        <f t="shared" si="97"/>
        <v>UGA_QUONSET HOG BARN</v>
      </c>
      <c r="C1555" t="s">
        <v>443</v>
      </c>
      <c r="D1555" s="180" t="s">
        <v>51</v>
      </c>
      <c r="E1555" t="s">
        <v>1966</v>
      </c>
      <c r="F1555" t="s">
        <v>1967</v>
      </c>
      <c r="G1555" s="180">
        <v>995</v>
      </c>
      <c r="H1555">
        <v>1962</v>
      </c>
      <c r="J1555" s="1334" t="s">
        <v>475</v>
      </c>
      <c r="K1555" s="1335" t="s">
        <v>475</v>
      </c>
      <c r="L1555" s="180">
        <v>0</v>
      </c>
      <c r="M1555" t="s">
        <v>67</v>
      </c>
      <c r="N1555" t="str">
        <f t="shared" si="98"/>
        <v>QUONSET HOG BARN (4726)</v>
      </c>
      <c r="O1555" t="s">
        <v>52</v>
      </c>
      <c r="P1555" t="str">
        <f t="shared" si="99"/>
        <v>18000_4726</v>
      </c>
      <c r="Q1555" s="180">
        <v>100</v>
      </c>
    </row>
    <row r="1556" spans="1:17">
      <c r="A1556" t="str">
        <f t="shared" si="96"/>
        <v>UGA_4727</v>
      </c>
      <c r="B1556" t="str">
        <f t="shared" si="97"/>
        <v>UGA_BST PACK HOUSE</v>
      </c>
      <c r="C1556" t="s">
        <v>443</v>
      </c>
      <c r="D1556" s="180" t="s">
        <v>51</v>
      </c>
      <c r="E1556" t="s">
        <v>3043</v>
      </c>
      <c r="F1556" t="s">
        <v>3044</v>
      </c>
      <c r="G1556" s="180">
        <v>3784</v>
      </c>
      <c r="H1556">
        <v>1960</v>
      </c>
      <c r="J1556" s="1334" t="s">
        <v>475</v>
      </c>
      <c r="K1556" s="1335" t="s">
        <v>475</v>
      </c>
      <c r="L1556" s="180">
        <v>0</v>
      </c>
      <c r="M1556" t="s">
        <v>67</v>
      </c>
      <c r="N1556" t="str">
        <f t="shared" si="98"/>
        <v>BST PACK HOUSE (4727)</v>
      </c>
      <c r="O1556" t="s">
        <v>52</v>
      </c>
      <c r="P1556" t="str">
        <f t="shared" si="99"/>
        <v>18000_4727</v>
      </c>
      <c r="Q1556" s="180">
        <v>100</v>
      </c>
    </row>
    <row r="1557" spans="1:17">
      <c r="A1557" t="str">
        <f t="shared" si="96"/>
        <v>UGA_4728</v>
      </c>
      <c r="B1557" t="str">
        <f t="shared" si="97"/>
        <v>UGA_BLACK SHANK PICNIC</v>
      </c>
      <c r="C1557" t="s">
        <v>443</v>
      </c>
      <c r="D1557" s="180" t="s">
        <v>51</v>
      </c>
      <c r="E1557" t="s">
        <v>1773</v>
      </c>
      <c r="F1557" t="s">
        <v>1774</v>
      </c>
      <c r="G1557" s="180">
        <v>2771</v>
      </c>
      <c r="H1557">
        <v>1964</v>
      </c>
      <c r="J1557" s="1334" t="s">
        <v>475</v>
      </c>
      <c r="K1557" s="1335" t="s">
        <v>475</v>
      </c>
      <c r="L1557" s="180">
        <v>0</v>
      </c>
      <c r="M1557" t="s">
        <v>67</v>
      </c>
      <c r="N1557" t="str">
        <f t="shared" si="98"/>
        <v>BLACK SHANK PICNIC (4728)</v>
      </c>
      <c r="O1557" t="s">
        <v>52</v>
      </c>
      <c r="P1557" t="str">
        <f t="shared" si="99"/>
        <v>18000_4728</v>
      </c>
      <c r="Q1557" s="180">
        <v>100</v>
      </c>
    </row>
    <row r="1558" spans="1:17">
      <c r="A1558" t="str">
        <f t="shared" si="96"/>
        <v>UGA_4730</v>
      </c>
      <c r="B1558" t="str">
        <f t="shared" si="97"/>
        <v>UGA_HORT G HSE H HSE</v>
      </c>
      <c r="C1558" t="s">
        <v>443</v>
      </c>
      <c r="D1558" s="180" t="s">
        <v>51</v>
      </c>
      <c r="E1558" t="s">
        <v>1604</v>
      </c>
      <c r="F1558" t="s">
        <v>1605</v>
      </c>
      <c r="G1558" s="180">
        <v>1972</v>
      </c>
      <c r="H1558">
        <v>1971</v>
      </c>
      <c r="J1558" s="1334" t="s">
        <v>475</v>
      </c>
      <c r="K1558" s="1335" t="s">
        <v>481</v>
      </c>
      <c r="L1558" s="180">
        <v>0</v>
      </c>
      <c r="M1558" t="s">
        <v>67</v>
      </c>
      <c r="N1558" t="str">
        <f t="shared" si="98"/>
        <v>HORT G HSE H HSE (4730)</v>
      </c>
      <c r="O1558" t="s">
        <v>52</v>
      </c>
      <c r="P1558" t="str">
        <f t="shared" si="99"/>
        <v>18000_4730</v>
      </c>
      <c r="Q1558" s="180">
        <v>100</v>
      </c>
    </row>
    <row r="1559" spans="1:17">
      <c r="A1559" t="str">
        <f t="shared" si="96"/>
        <v>UGA_4731</v>
      </c>
      <c r="B1559" t="str">
        <f t="shared" si="97"/>
        <v>UGA_CATTLE FEED FAC.</v>
      </c>
      <c r="C1559" t="s">
        <v>443</v>
      </c>
      <c r="D1559" s="180" t="s">
        <v>51</v>
      </c>
      <c r="E1559" t="s">
        <v>2549</v>
      </c>
      <c r="F1559" t="s">
        <v>2550</v>
      </c>
      <c r="G1559" s="180">
        <v>11500</v>
      </c>
      <c r="H1559">
        <v>1974</v>
      </c>
      <c r="J1559" s="1334" t="s">
        <v>475</v>
      </c>
      <c r="K1559" s="1335" t="s">
        <v>475</v>
      </c>
      <c r="L1559" s="180">
        <v>0</v>
      </c>
      <c r="M1559" t="s">
        <v>67</v>
      </c>
      <c r="N1559" t="str">
        <f t="shared" si="98"/>
        <v>CATTLE FEED FAC. (4731)</v>
      </c>
      <c r="O1559" t="s">
        <v>52</v>
      </c>
      <c r="P1559" t="str">
        <f t="shared" si="99"/>
        <v>18000_4731</v>
      </c>
      <c r="Q1559" s="180">
        <v>100</v>
      </c>
    </row>
    <row r="1560" spans="1:17">
      <c r="A1560" t="str">
        <f t="shared" si="96"/>
        <v>UGA_4732</v>
      </c>
      <c r="B1560" t="str">
        <f t="shared" si="97"/>
        <v>UGA_SWINE RESEARCH</v>
      </c>
      <c r="C1560" t="s">
        <v>443</v>
      </c>
      <c r="D1560" s="180" t="s">
        <v>51</v>
      </c>
      <c r="E1560" t="s">
        <v>3562</v>
      </c>
      <c r="F1560" t="s">
        <v>3563</v>
      </c>
      <c r="G1560" s="180">
        <v>14444</v>
      </c>
      <c r="H1560">
        <v>1974</v>
      </c>
      <c r="J1560" s="1334" t="s">
        <v>475</v>
      </c>
      <c r="K1560" s="1335" t="s">
        <v>475</v>
      </c>
      <c r="L1560" s="180">
        <v>0</v>
      </c>
      <c r="M1560" t="s">
        <v>67</v>
      </c>
      <c r="N1560" t="str">
        <f t="shared" si="98"/>
        <v>SWINE RESEARCH (4732)</v>
      </c>
      <c r="O1560" t="s">
        <v>52</v>
      </c>
      <c r="P1560" t="str">
        <f t="shared" si="99"/>
        <v>18000_4732</v>
      </c>
      <c r="Q1560" s="180">
        <v>100</v>
      </c>
    </row>
    <row r="1561" spans="1:17">
      <c r="A1561" t="str">
        <f t="shared" si="96"/>
        <v>UGA_4733</v>
      </c>
      <c r="B1561" t="str">
        <f t="shared" si="97"/>
        <v>UGA_HOR EQUIP STORAGE</v>
      </c>
      <c r="C1561" t="s">
        <v>443</v>
      </c>
      <c r="D1561" s="180" t="s">
        <v>51</v>
      </c>
      <c r="E1561" t="s">
        <v>2375</v>
      </c>
      <c r="F1561" t="s">
        <v>2376</v>
      </c>
      <c r="G1561" s="180">
        <v>3000</v>
      </c>
      <c r="H1561">
        <v>1974</v>
      </c>
      <c r="J1561" s="1334" t="s">
        <v>475</v>
      </c>
      <c r="K1561" s="1335" t="s">
        <v>475</v>
      </c>
      <c r="L1561" s="180">
        <v>0</v>
      </c>
      <c r="M1561" t="s">
        <v>67</v>
      </c>
      <c r="N1561" t="str">
        <f t="shared" si="98"/>
        <v>HOR EQUIP STORAGE (4733)</v>
      </c>
      <c r="O1561" t="s">
        <v>52</v>
      </c>
      <c r="P1561" t="str">
        <f t="shared" si="99"/>
        <v>18000_4733</v>
      </c>
      <c r="Q1561" s="180">
        <v>100</v>
      </c>
    </row>
    <row r="1562" spans="1:17">
      <c r="A1562" t="str">
        <f t="shared" si="96"/>
        <v>UGA_4734</v>
      </c>
      <c r="B1562" t="str">
        <f t="shared" si="97"/>
        <v>UGA_PESTICIDE STOR C P</v>
      </c>
      <c r="C1562" t="s">
        <v>443</v>
      </c>
      <c r="D1562" s="180" t="s">
        <v>51</v>
      </c>
      <c r="E1562" t="s">
        <v>4168</v>
      </c>
      <c r="F1562" t="s">
        <v>4169</v>
      </c>
      <c r="G1562" s="180">
        <v>1500</v>
      </c>
      <c r="H1562">
        <v>1975</v>
      </c>
      <c r="J1562" s="1334" t="s">
        <v>475</v>
      </c>
      <c r="K1562" s="1335" t="s">
        <v>475</v>
      </c>
      <c r="L1562" s="180">
        <v>0</v>
      </c>
      <c r="M1562" t="s">
        <v>67</v>
      </c>
      <c r="N1562" t="str">
        <f t="shared" si="98"/>
        <v>PESTICIDE STOR C P (4734)</v>
      </c>
      <c r="O1562" t="s">
        <v>52</v>
      </c>
      <c r="P1562" t="str">
        <f t="shared" si="99"/>
        <v>18000_4734</v>
      </c>
      <c r="Q1562" s="180">
        <v>100</v>
      </c>
    </row>
    <row r="1563" spans="1:17">
      <c r="A1563" t="str">
        <f t="shared" si="96"/>
        <v>UGA_4735</v>
      </c>
      <c r="B1563" t="str">
        <f t="shared" si="97"/>
        <v>UGA_SILOS+IRRIGATION S</v>
      </c>
      <c r="C1563" t="s">
        <v>443</v>
      </c>
      <c r="D1563" s="180" t="s">
        <v>51</v>
      </c>
      <c r="E1563" t="s">
        <v>3184</v>
      </c>
      <c r="F1563" t="s">
        <v>3185</v>
      </c>
      <c r="G1563" s="180">
        <v>9250</v>
      </c>
      <c r="H1563">
        <v>1971</v>
      </c>
      <c r="J1563" s="1334" t="s">
        <v>475</v>
      </c>
      <c r="K1563" s="1335" t="s">
        <v>475</v>
      </c>
      <c r="L1563" s="180">
        <v>0</v>
      </c>
      <c r="M1563" t="s">
        <v>67</v>
      </c>
      <c r="N1563" t="str">
        <f t="shared" si="98"/>
        <v>SILOS+IRRIGATION S (4735)</v>
      </c>
      <c r="O1563" t="s">
        <v>52</v>
      </c>
      <c r="P1563" t="str">
        <f t="shared" si="99"/>
        <v>18000_4735</v>
      </c>
      <c r="Q1563" s="180">
        <v>100</v>
      </c>
    </row>
    <row r="1564" spans="1:17">
      <c r="A1564" t="str">
        <f t="shared" si="96"/>
        <v>UGA_4736</v>
      </c>
      <c r="B1564" t="str">
        <f t="shared" si="97"/>
        <v>UGA_DAIRY CATTLE J31</v>
      </c>
      <c r="C1564" t="s">
        <v>443</v>
      </c>
      <c r="D1564" s="180" t="s">
        <v>51</v>
      </c>
      <c r="E1564" t="s">
        <v>2265</v>
      </c>
      <c r="F1564" t="s">
        <v>2266</v>
      </c>
      <c r="G1564" s="180">
        <v>4589</v>
      </c>
      <c r="H1564">
        <v>1974</v>
      </c>
      <c r="J1564" s="1334" t="s">
        <v>475</v>
      </c>
      <c r="K1564" s="1335" t="s">
        <v>475</v>
      </c>
      <c r="L1564" s="180">
        <v>0</v>
      </c>
      <c r="M1564" t="s">
        <v>67</v>
      </c>
      <c r="N1564" t="str">
        <f t="shared" si="98"/>
        <v>DAIRY CATTLE J31 (4736)</v>
      </c>
      <c r="O1564" t="s">
        <v>52</v>
      </c>
      <c r="P1564" t="str">
        <f t="shared" si="99"/>
        <v>18000_4736</v>
      </c>
      <c r="Q1564" s="180">
        <v>100</v>
      </c>
    </row>
    <row r="1565" spans="1:17">
      <c r="A1565" t="str">
        <f t="shared" si="96"/>
        <v>UGA_4737</v>
      </c>
      <c r="B1565" t="str">
        <f t="shared" si="97"/>
        <v>UGA_CALF BARN</v>
      </c>
      <c r="C1565" t="s">
        <v>443</v>
      </c>
      <c r="D1565" s="180" t="s">
        <v>51</v>
      </c>
      <c r="E1565" t="s">
        <v>4398</v>
      </c>
      <c r="F1565" t="s">
        <v>3645</v>
      </c>
      <c r="G1565" s="180">
        <v>1876</v>
      </c>
      <c r="H1565">
        <v>1973</v>
      </c>
      <c r="J1565" s="1334" t="s">
        <v>475</v>
      </c>
      <c r="K1565" s="1335" t="s">
        <v>475</v>
      </c>
      <c r="L1565" s="180">
        <v>0</v>
      </c>
      <c r="M1565" t="s">
        <v>67</v>
      </c>
      <c r="N1565" t="str">
        <f t="shared" si="98"/>
        <v>CALF BARN (4737)</v>
      </c>
      <c r="O1565" t="s">
        <v>52</v>
      </c>
      <c r="P1565" t="str">
        <f t="shared" si="99"/>
        <v>18000_4737</v>
      </c>
      <c r="Q1565" s="180">
        <v>0</v>
      </c>
    </row>
    <row r="1566" spans="1:17">
      <c r="A1566" t="str">
        <f t="shared" si="96"/>
        <v>UGA_4739</v>
      </c>
      <c r="B1566" t="str">
        <f t="shared" si="97"/>
        <v>UGA_WASTE DISPOSAL</v>
      </c>
      <c r="C1566" t="s">
        <v>443</v>
      </c>
      <c r="D1566" s="180" t="s">
        <v>51</v>
      </c>
      <c r="E1566" t="s">
        <v>2847</v>
      </c>
      <c r="F1566" t="s">
        <v>2848</v>
      </c>
      <c r="G1566" s="180">
        <v>372</v>
      </c>
      <c r="H1566">
        <v>1978</v>
      </c>
      <c r="J1566" s="1334" t="s">
        <v>475</v>
      </c>
      <c r="K1566" s="1335" t="s">
        <v>475</v>
      </c>
      <c r="L1566" s="180">
        <v>0</v>
      </c>
      <c r="M1566" t="s">
        <v>67</v>
      </c>
      <c r="N1566" t="str">
        <f t="shared" si="98"/>
        <v>WASTE DISPOSAL (4739)</v>
      </c>
      <c r="O1566" t="s">
        <v>52</v>
      </c>
      <c r="P1566" t="str">
        <f t="shared" si="99"/>
        <v>18000_4739</v>
      </c>
      <c r="Q1566" s="180">
        <v>0</v>
      </c>
    </row>
    <row r="1567" spans="1:17">
      <c r="A1567" t="str">
        <f t="shared" si="96"/>
        <v>UGA_4740</v>
      </c>
      <c r="B1567" t="str">
        <f t="shared" si="97"/>
        <v>UGA_ENTOMOLOGY ANNEX</v>
      </c>
      <c r="C1567" t="s">
        <v>443</v>
      </c>
      <c r="D1567" s="180" t="s">
        <v>51</v>
      </c>
      <c r="E1567" t="s">
        <v>3606</v>
      </c>
      <c r="F1567" t="s">
        <v>3607</v>
      </c>
      <c r="G1567" s="180">
        <v>10436</v>
      </c>
      <c r="H1567">
        <v>1977</v>
      </c>
      <c r="J1567" s="1334" t="s">
        <v>475</v>
      </c>
      <c r="K1567" s="1335" t="s">
        <v>475</v>
      </c>
      <c r="L1567" s="180">
        <v>0</v>
      </c>
      <c r="M1567" t="s">
        <v>67</v>
      </c>
      <c r="N1567" t="str">
        <f t="shared" si="98"/>
        <v>ENTOMOLOGY ANNEX (4740)</v>
      </c>
      <c r="O1567" t="s">
        <v>52</v>
      </c>
      <c r="P1567" t="str">
        <f t="shared" si="99"/>
        <v>18000_4740</v>
      </c>
      <c r="Q1567" s="180">
        <v>0</v>
      </c>
    </row>
    <row r="1568" spans="1:17">
      <c r="A1568" t="str">
        <f t="shared" si="96"/>
        <v>UGA_4742</v>
      </c>
      <c r="B1568" t="str">
        <f t="shared" si="97"/>
        <v>UGA_ANIM SCI FARM SHED</v>
      </c>
      <c r="C1568" t="s">
        <v>443</v>
      </c>
      <c r="D1568" s="180" t="s">
        <v>51</v>
      </c>
      <c r="E1568" t="s">
        <v>1661</v>
      </c>
      <c r="F1568" t="s">
        <v>1662</v>
      </c>
      <c r="G1568" s="180">
        <v>7000</v>
      </c>
      <c r="H1568">
        <v>1983</v>
      </c>
      <c r="J1568" s="1334" t="s">
        <v>475</v>
      </c>
      <c r="K1568" s="1335" t="s">
        <v>475</v>
      </c>
      <c r="L1568" s="180">
        <v>0</v>
      </c>
      <c r="M1568" t="s">
        <v>67</v>
      </c>
      <c r="N1568" t="str">
        <f t="shared" si="98"/>
        <v>ANIM SCI FARM SHED (4742)</v>
      </c>
      <c r="O1568" t="s">
        <v>52</v>
      </c>
      <c r="P1568" t="str">
        <f t="shared" si="99"/>
        <v>18000_4742</v>
      </c>
      <c r="Q1568" s="180">
        <v>71</v>
      </c>
    </row>
    <row r="1569" spans="1:17">
      <c r="A1569" t="str">
        <f t="shared" si="96"/>
        <v>UGA_4743</v>
      </c>
      <c r="B1569" t="str">
        <f t="shared" si="97"/>
        <v>UGA_NEMATOLOGY SHED</v>
      </c>
      <c r="C1569" t="s">
        <v>443</v>
      </c>
      <c r="D1569" s="180" t="s">
        <v>51</v>
      </c>
      <c r="E1569" t="s">
        <v>1839</v>
      </c>
      <c r="F1569" t="s">
        <v>1840</v>
      </c>
      <c r="G1569" s="180">
        <v>3200</v>
      </c>
      <c r="H1569">
        <v>1979</v>
      </c>
      <c r="J1569" s="1334" t="s">
        <v>475</v>
      </c>
      <c r="K1569" s="1335" t="s">
        <v>475</v>
      </c>
      <c r="L1569" s="180">
        <v>0</v>
      </c>
      <c r="M1569" t="s">
        <v>67</v>
      </c>
      <c r="N1569" t="str">
        <f t="shared" si="98"/>
        <v>NEMATOLOGY SHED (4743)</v>
      </c>
      <c r="O1569" t="s">
        <v>52</v>
      </c>
      <c r="P1569" t="str">
        <f t="shared" si="99"/>
        <v>18000_4743</v>
      </c>
      <c r="Q1569" s="180">
        <v>0</v>
      </c>
    </row>
    <row r="1570" spans="1:17">
      <c r="A1570" t="str">
        <f t="shared" si="96"/>
        <v>UGA_4744</v>
      </c>
      <c r="B1570" t="str">
        <f t="shared" si="97"/>
        <v>UGA_LAYER HOUSE(ENT.)</v>
      </c>
      <c r="C1570" t="s">
        <v>443</v>
      </c>
      <c r="D1570" s="180" t="s">
        <v>51</v>
      </c>
      <c r="E1570" t="s">
        <v>3998</v>
      </c>
      <c r="F1570" t="s">
        <v>3999</v>
      </c>
      <c r="G1570" s="180">
        <v>934</v>
      </c>
      <c r="H1570">
        <v>1981</v>
      </c>
      <c r="J1570" s="1334" t="s">
        <v>475</v>
      </c>
      <c r="K1570" s="1335" t="s">
        <v>475</v>
      </c>
      <c r="L1570" s="180">
        <v>0</v>
      </c>
      <c r="M1570" t="s">
        <v>67</v>
      </c>
      <c r="N1570" t="str">
        <f t="shared" si="98"/>
        <v>LAYER HOUSE(ENT.) (4744)</v>
      </c>
      <c r="O1570" t="s">
        <v>52</v>
      </c>
      <c r="P1570" t="str">
        <f t="shared" si="99"/>
        <v>18000_4744</v>
      </c>
      <c r="Q1570" s="180">
        <v>100</v>
      </c>
    </row>
    <row r="1571" spans="1:17">
      <c r="A1571" t="str">
        <f t="shared" si="96"/>
        <v>UGA_4745</v>
      </c>
      <c r="B1571" t="str">
        <f t="shared" si="97"/>
        <v>UGA_METAL POLE BARN</v>
      </c>
      <c r="C1571" t="s">
        <v>443</v>
      </c>
      <c r="D1571" s="180" t="s">
        <v>51</v>
      </c>
      <c r="E1571" t="s">
        <v>2440</v>
      </c>
      <c r="F1571" t="s">
        <v>2441</v>
      </c>
      <c r="G1571" s="180">
        <v>6656</v>
      </c>
      <c r="H1571">
        <v>1981</v>
      </c>
      <c r="J1571" s="1334" t="s">
        <v>475</v>
      </c>
      <c r="K1571" s="1335" t="s">
        <v>475</v>
      </c>
      <c r="L1571" s="180">
        <v>0</v>
      </c>
      <c r="M1571" t="s">
        <v>67</v>
      </c>
      <c r="N1571" t="str">
        <f t="shared" si="98"/>
        <v>METAL POLE BARN (4745)</v>
      </c>
      <c r="O1571" t="s">
        <v>52</v>
      </c>
      <c r="P1571" t="str">
        <f t="shared" si="99"/>
        <v>18000_4745</v>
      </c>
      <c r="Q1571" s="180">
        <v>69</v>
      </c>
    </row>
    <row r="1572" spans="1:17">
      <c r="A1572" t="str">
        <f t="shared" si="96"/>
        <v>UGA_4746</v>
      </c>
      <c r="B1572" t="str">
        <f t="shared" si="97"/>
        <v>UGA_HAY SHED</v>
      </c>
      <c r="C1572" t="s">
        <v>443</v>
      </c>
      <c r="D1572" s="180" t="s">
        <v>51</v>
      </c>
      <c r="E1572" t="s">
        <v>2618</v>
      </c>
      <c r="F1572" t="s">
        <v>1911</v>
      </c>
      <c r="G1572" s="180">
        <v>2390</v>
      </c>
      <c r="H1572">
        <v>1981</v>
      </c>
      <c r="J1572" s="1334" t="s">
        <v>475</v>
      </c>
      <c r="K1572" s="1335" t="s">
        <v>475</v>
      </c>
      <c r="L1572" s="180">
        <v>0</v>
      </c>
      <c r="M1572" t="s">
        <v>67</v>
      </c>
      <c r="N1572" t="str">
        <f t="shared" si="98"/>
        <v>HAY SHED (4746)</v>
      </c>
      <c r="O1572" t="s">
        <v>52</v>
      </c>
      <c r="P1572" t="str">
        <f t="shared" si="99"/>
        <v>18000_4746</v>
      </c>
      <c r="Q1572" s="180">
        <v>100</v>
      </c>
    </row>
    <row r="1573" spans="1:17">
      <c r="A1573" t="str">
        <f t="shared" si="96"/>
        <v>UGA_4748</v>
      </c>
      <c r="B1573" t="str">
        <f t="shared" si="97"/>
        <v>UGA_DRYING SHED</v>
      </c>
      <c r="C1573" t="s">
        <v>443</v>
      </c>
      <c r="D1573" s="180" t="s">
        <v>51</v>
      </c>
      <c r="E1573" t="s">
        <v>1968</v>
      </c>
      <c r="F1573" t="s">
        <v>1969</v>
      </c>
      <c r="G1573" s="180">
        <v>1342</v>
      </c>
      <c r="H1573">
        <v>1981</v>
      </c>
      <c r="J1573" s="1334" t="s">
        <v>475</v>
      </c>
      <c r="K1573" s="1335" t="s">
        <v>475</v>
      </c>
      <c r="L1573" s="180">
        <v>0</v>
      </c>
      <c r="M1573" t="s">
        <v>67</v>
      </c>
      <c r="N1573" t="str">
        <f t="shared" si="98"/>
        <v>DRYING SHED (4748)</v>
      </c>
      <c r="O1573" t="s">
        <v>52</v>
      </c>
      <c r="P1573" t="str">
        <f t="shared" si="99"/>
        <v>18000_4748</v>
      </c>
      <c r="Q1573" s="180">
        <v>100</v>
      </c>
    </row>
    <row r="1574" spans="1:17">
      <c r="A1574" t="str">
        <f t="shared" si="96"/>
        <v>UGA_4749</v>
      </c>
      <c r="B1574" t="str">
        <f t="shared" si="97"/>
        <v>UGA_TRAILER</v>
      </c>
      <c r="C1574" t="s">
        <v>443</v>
      </c>
      <c r="D1574" s="180" t="s">
        <v>51</v>
      </c>
      <c r="E1574" t="s">
        <v>3318</v>
      </c>
      <c r="F1574" t="s">
        <v>3319</v>
      </c>
      <c r="G1574" s="180">
        <v>662</v>
      </c>
      <c r="H1574">
        <v>1983</v>
      </c>
      <c r="J1574" s="1334" t="s">
        <v>475</v>
      </c>
      <c r="K1574" s="1335" t="s">
        <v>475</v>
      </c>
      <c r="L1574" s="180">
        <v>0</v>
      </c>
      <c r="M1574" t="s">
        <v>67</v>
      </c>
      <c r="N1574" t="str">
        <f t="shared" si="98"/>
        <v>TRAILER (4749)</v>
      </c>
      <c r="O1574" t="s">
        <v>52</v>
      </c>
      <c r="P1574" t="str">
        <f t="shared" si="99"/>
        <v>18000_4749</v>
      </c>
      <c r="Q1574" s="180">
        <v>0</v>
      </c>
    </row>
    <row r="1575" spans="1:17">
      <c r="A1575" t="str">
        <f t="shared" si="96"/>
        <v>UGA_4751</v>
      </c>
      <c r="B1575" t="str">
        <f t="shared" si="97"/>
        <v>UGA_SOIL STERILIZ SHED</v>
      </c>
      <c r="C1575" t="s">
        <v>443</v>
      </c>
      <c r="D1575" s="180" t="s">
        <v>51</v>
      </c>
      <c r="E1575" t="s">
        <v>2934</v>
      </c>
      <c r="F1575" t="s">
        <v>2935</v>
      </c>
      <c r="G1575" s="180">
        <v>1362</v>
      </c>
      <c r="H1575">
        <v>1983</v>
      </c>
      <c r="J1575" s="1334" t="s">
        <v>475</v>
      </c>
      <c r="K1575" s="1335" t="s">
        <v>475</v>
      </c>
      <c r="L1575" s="180">
        <v>0</v>
      </c>
      <c r="M1575" t="s">
        <v>67</v>
      </c>
      <c r="N1575" t="str">
        <f t="shared" si="98"/>
        <v>SOIL STERILIZ SHED (4751)</v>
      </c>
      <c r="O1575" t="s">
        <v>52</v>
      </c>
      <c r="P1575" t="str">
        <f t="shared" si="99"/>
        <v>18000_4751</v>
      </c>
      <c r="Q1575" s="180">
        <v>0</v>
      </c>
    </row>
    <row r="1576" spans="1:17">
      <c r="A1576" t="str">
        <f t="shared" si="96"/>
        <v>UGA_4752</v>
      </c>
      <c r="B1576" t="str">
        <f t="shared" si="97"/>
        <v>UGA_PL PATH EQUIPM SHD</v>
      </c>
      <c r="C1576" t="s">
        <v>443</v>
      </c>
      <c r="D1576" s="180" t="s">
        <v>51</v>
      </c>
      <c r="E1576" t="s">
        <v>2267</v>
      </c>
      <c r="F1576" t="s">
        <v>2268</v>
      </c>
      <c r="G1576" s="180">
        <v>2550</v>
      </c>
      <c r="H1576">
        <v>1981</v>
      </c>
      <c r="J1576" s="1334" t="s">
        <v>475</v>
      </c>
      <c r="K1576" s="1335" t="s">
        <v>475</v>
      </c>
      <c r="L1576" s="180">
        <v>0</v>
      </c>
      <c r="M1576" t="s">
        <v>67</v>
      </c>
      <c r="N1576" t="str">
        <f t="shared" si="98"/>
        <v>PL PATH EQUIPM SHD (4752)</v>
      </c>
      <c r="O1576" t="s">
        <v>52</v>
      </c>
      <c r="P1576" t="str">
        <f t="shared" si="99"/>
        <v>18000_4752</v>
      </c>
      <c r="Q1576" s="180">
        <v>0</v>
      </c>
    </row>
    <row r="1577" spans="1:17">
      <c r="A1577" t="str">
        <f t="shared" si="96"/>
        <v>UGA_4754</v>
      </c>
      <c r="B1577" t="str">
        <f t="shared" si="97"/>
        <v>UGA_PL SCIENCE ANNEX</v>
      </c>
      <c r="C1577" t="s">
        <v>443</v>
      </c>
      <c r="D1577" s="180" t="s">
        <v>51</v>
      </c>
      <c r="E1577" t="s">
        <v>2046</v>
      </c>
      <c r="F1577" t="s">
        <v>2047</v>
      </c>
      <c r="G1577" s="180">
        <v>3750</v>
      </c>
      <c r="H1577">
        <v>1984</v>
      </c>
      <c r="J1577" s="1334" t="s">
        <v>475</v>
      </c>
      <c r="K1577" s="1335" t="s">
        <v>486</v>
      </c>
      <c r="L1577" s="180">
        <v>0</v>
      </c>
      <c r="M1577" t="s">
        <v>67</v>
      </c>
      <c r="N1577" t="str">
        <f t="shared" si="98"/>
        <v>PL SCIENCE ANNEX (4754)</v>
      </c>
      <c r="O1577" t="s">
        <v>52</v>
      </c>
      <c r="P1577" t="str">
        <f t="shared" si="99"/>
        <v>18000_4754</v>
      </c>
      <c r="Q1577" s="180">
        <v>0</v>
      </c>
    </row>
    <row r="1578" spans="1:17">
      <c r="A1578" t="str">
        <f t="shared" si="96"/>
        <v>UGA_4755</v>
      </c>
      <c r="B1578" t="str">
        <f t="shared" si="97"/>
        <v>UGA_P. PATH MACH SHED</v>
      </c>
      <c r="C1578" t="s">
        <v>443</v>
      </c>
      <c r="D1578" s="180" t="s">
        <v>51</v>
      </c>
      <c r="E1578" t="s">
        <v>4248</v>
      </c>
      <c r="F1578" t="s">
        <v>4249</v>
      </c>
      <c r="G1578" s="180">
        <v>2250</v>
      </c>
      <c r="H1578">
        <v>1984</v>
      </c>
      <c r="J1578" s="1334" t="s">
        <v>475</v>
      </c>
      <c r="K1578" s="1335" t="s">
        <v>475</v>
      </c>
      <c r="L1578" s="180">
        <v>0</v>
      </c>
      <c r="M1578" t="s">
        <v>67</v>
      </c>
      <c r="N1578" t="str">
        <f t="shared" si="98"/>
        <v>P. PATH MACH SHED (4755)</v>
      </c>
      <c r="O1578" t="s">
        <v>52</v>
      </c>
      <c r="P1578" t="str">
        <f t="shared" si="99"/>
        <v>18000_4755</v>
      </c>
      <c r="Q1578" s="180">
        <v>0</v>
      </c>
    </row>
    <row r="1579" spans="1:17">
      <c r="A1579" t="str">
        <f t="shared" si="96"/>
        <v>UGA_4756</v>
      </c>
      <c r="B1579" t="str">
        <f t="shared" si="97"/>
        <v>UGA_BOAR TESTING</v>
      </c>
      <c r="C1579" t="s">
        <v>443</v>
      </c>
      <c r="D1579" s="180" t="s">
        <v>51</v>
      </c>
      <c r="E1579" t="s">
        <v>1606</v>
      </c>
      <c r="F1579" t="s">
        <v>1607</v>
      </c>
      <c r="G1579" s="180">
        <v>3400</v>
      </c>
      <c r="H1579">
        <v>1985</v>
      </c>
      <c r="J1579" s="1334" t="s">
        <v>475</v>
      </c>
      <c r="K1579" s="1335" t="s">
        <v>475</v>
      </c>
      <c r="L1579" s="180">
        <v>0</v>
      </c>
      <c r="M1579" t="s">
        <v>67</v>
      </c>
      <c r="N1579" t="str">
        <f t="shared" si="98"/>
        <v>BOAR TESTING (4756)</v>
      </c>
      <c r="O1579" t="s">
        <v>52</v>
      </c>
      <c r="P1579" t="str">
        <f t="shared" si="99"/>
        <v>18000_4756</v>
      </c>
      <c r="Q1579" s="180">
        <v>0</v>
      </c>
    </row>
    <row r="1580" spans="1:17">
      <c r="A1580" t="str">
        <f t="shared" si="96"/>
        <v>UGA_4757</v>
      </c>
      <c r="B1580" t="str">
        <f t="shared" si="97"/>
        <v>UGA_AQUACULTURE HDQT</v>
      </c>
      <c r="C1580" t="s">
        <v>443</v>
      </c>
      <c r="D1580" s="180" t="s">
        <v>51</v>
      </c>
      <c r="E1580" t="s">
        <v>3932</v>
      </c>
      <c r="F1580" t="s">
        <v>3933</v>
      </c>
      <c r="G1580" s="180">
        <v>3600</v>
      </c>
      <c r="H1580">
        <v>1988</v>
      </c>
      <c r="J1580" s="1334" t="s">
        <v>475</v>
      </c>
      <c r="K1580" s="1335" t="s">
        <v>475</v>
      </c>
      <c r="L1580" s="180">
        <v>0</v>
      </c>
      <c r="M1580" t="s">
        <v>67</v>
      </c>
      <c r="N1580" t="str">
        <f t="shared" si="98"/>
        <v>AQUACULTURE HDQT (4757)</v>
      </c>
      <c r="O1580" t="s">
        <v>52</v>
      </c>
      <c r="P1580" t="str">
        <f t="shared" si="99"/>
        <v>18000_4757</v>
      </c>
      <c r="Q1580" s="180">
        <v>100</v>
      </c>
    </row>
    <row r="1581" spans="1:17">
      <c r="A1581" t="str">
        <f t="shared" si="96"/>
        <v>UGA_4758</v>
      </c>
      <c r="B1581" t="str">
        <f t="shared" si="97"/>
        <v>UGA_HORNED FLY REAR BL</v>
      </c>
      <c r="C1581" t="s">
        <v>443</v>
      </c>
      <c r="D1581" s="180" t="s">
        <v>51</v>
      </c>
      <c r="E1581" t="s">
        <v>2694</v>
      </c>
      <c r="F1581" t="s">
        <v>2695</v>
      </c>
      <c r="G1581" s="180">
        <v>468</v>
      </c>
      <c r="H1581">
        <v>1988</v>
      </c>
      <c r="J1581" s="1334" t="s">
        <v>475</v>
      </c>
      <c r="K1581" s="1335" t="s">
        <v>475</v>
      </c>
      <c r="L1581" s="180">
        <v>0</v>
      </c>
      <c r="M1581" t="s">
        <v>67</v>
      </c>
      <c r="N1581" t="str">
        <f t="shared" si="98"/>
        <v>HORNED FLY REAR BL (4758)</v>
      </c>
      <c r="O1581" t="s">
        <v>52</v>
      </c>
      <c r="P1581" t="str">
        <f t="shared" si="99"/>
        <v>18000_4758</v>
      </c>
      <c r="Q1581" s="180">
        <v>0</v>
      </c>
    </row>
    <row r="1582" spans="1:17">
      <c r="A1582" t="str">
        <f t="shared" si="96"/>
        <v>UGA_4759</v>
      </c>
      <c r="B1582" t="str">
        <f t="shared" si="97"/>
        <v>UGA_SWINE BREED/GEST</v>
      </c>
      <c r="C1582" t="s">
        <v>443</v>
      </c>
      <c r="D1582" s="180" t="s">
        <v>51</v>
      </c>
      <c r="E1582" t="s">
        <v>2377</v>
      </c>
      <c r="F1582" t="s">
        <v>2378</v>
      </c>
      <c r="G1582" s="180">
        <v>4416</v>
      </c>
      <c r="H1582">
        <v>1991</v>
      </c>
      <c r="J1582" s="1334" t="s">
        <v>475</v>
      </c>
      <c r="K1582" s="1335" t="s">
        <v>475</v>
      </c>
      <c r="L1582" s="180">
        <v>0</v>
      </c>
      <c r="M1582" t="s">
        <v>67</v>
      </c>
      <c r="N1582" t="str">
        <f t="shared" si="98"/>
        <v>SWINE BREED/GEST (4759)</v>
      </c>
      <c r="O1582" t="s">
        <v>52</v>
      </c>
      <c r="P1582" t="str">
        <f t="shared" si="99"/>
        <v>18000_4759</v>
      </c>
      <c r="Q1582" s="180">
        <v>0</v>
      </c>
    </row>
    <row r="1583" spans="1:17">
      <c r="A1583" t="str">
        <f t="shared" si="96"/>
        <v>UGA_4760</v>
      </c>
      <c r="B1583" t="str">
        <f t="shared" si="97"/>
        <v>UGA_PEANUT SEED STOR B</v>
      </c>
      <c r="C1583" t="s">
        <v>443</v>
      </c>
      <c r="D1583" s="180" t="s">
        <v>51</v>
      </c>
      <c r="E1583" t="s">
        <v>3564</v>
      </c>
      <c r="F1583" t="s">
        <v>3565</v>
      </c>
      <c r="G1583" s="180">
        <v>300</v>
      </c>
      <c r="H1583">
        <v>1985</v>
      </c>
      <c r="J1583" s="1334" t="s">
        <v>475</v>
      </c>
      <c r="K1583" s="1335" t="s">
        <v>475</v>
      </c>
      <c r="L1583" s="180">
        <v>0</v>
      </c>
      <c r="M1583" t="s">
        <v>67</v>
      </c>
      <c r="N1583" t="str">
        <f t="shared" si="98"/>
        <v>PEANUT SEED STOR B (4760)</v>
      </c>
      <c r="O1583" t="s">
        <v>52</v>
      </c>
      <c r="P1583" t="str">
        <f t="shared" si="99"/>
        <v>18000_4760</v>
      </c>
      <c r="Q1583" s="180">
        <v>100</v>
      </c>
    </row>
    <row r="1584" spans="1:17">
      <c r="A1584" t="str">
        <f t="shared" si="96"/>
        <v>UGA_4761</v>
      </c>
      <c r="B1584" t="str">
        <f t="shared" si="97"/>
        <v>UGA_AGY RESTROOM</v>
      </c>
      <c r="C1584" t="s">
        <v>443</v>
      </c>
      <c r="D1584" s="180" t="s">
        <v>51</v>
      </c>
      <c r="E1584" t="s">
        <v>3320</v>
      </c>
      <c r="F1584" t="s">
        <v>3321</v>
      </c>
      <c r="G1584" s="180">
        <v>209</v>
      </c>
      <c r="H1584">
        <v>1989</v>
      </c>
      <c r="J1584" s="1334" t="s">
        <v>475</v>
      </c>
      <c r="K1584" s="1335" t="s">
        <v>475</v>
      </c>
      <c r="L1584" s="180">
        <v>0</v>
      </c>
      <c r="M1584" t="s">
        <v>67</v>
      </c>
      <c r="N1584" t="str">
        <f t="shared" si="98"/>
        <v>AGY RESTROOM (4761)</v>
      </c>
      <c r="O1584" t="s">
        <v>52</v>
      </c>
      <c r="P1584" t="str">
        <f t="shared" si="99"/>
        <v>18000_4761</v>
      </c>
      <c r="Q1584" s="180">
        <v>100</v>
      </c>
    </row>
    <row r="1585" spans="1:17">
      <c r="A1585" t="str">
        <f t="shared" si="96"/>
        <v>UGA_4762</v>
      </c>
      <c r="B1585" t="str">
        <f t="shared" si="97"/>
        <v>UGA_PHY PLT BLDG CPES</v>
      </c>
      <c r="C1585" t="s">
        <v>443</v>
      </c>
      <c r="D1585" s="180" t="s">
        <v>51</v>
      </c>
      <c r="E1585" t="s">
        <v>4325</v>
      </c>
      <c r="F1585" t="s">
        <v>4326</v>
      </c>
      <c r="G1585" s="180">
        <v>16426</v>
      </c>
      <c r="H1585">
        <v>1990</v>
      </c>
      <c r="J1585" s="1334" t="s">
        <v>475</v>
      </c>
      <c r="K1585" s="1335" t="s">
        <v>475</v>
      </c>
      <c r="L1585" s="180">
        <v>0</v>
      </c>
      <c r="M1585" t="s">
        <v>67</v>
      </c>
      <c r="N1585" t="str">
        <f t="shared" si="98"/>
        <v>PHY PLT BLDG CPES (4762)</v>
      </c>
      <c r="O1585" t="s">
        <v>52</v>
      </c>
      <c r="P1585" t="str">
        <f t="shared" si="99"/>
        <v>18000_4762</v>
      </c>
      <c r="Q1585" s="180">
        <v>100</v>
      </c>
    </row>
    <row r="1586" spans="1:17">
      <c r="A1586" t="str">
        <f t="shared" si="96"/>
        <v>UGA_4763</v>
      </c>
      <c r="B1586" t="str">
        <f t="shared" si="97"/>
        <v>UGA_PHY PLT STG CPES</v>
      </c>
      <c r="C1586" t="s">
        <v>443</v>
      </c>
      <c r="D1586" s="180" t="s">
        <v>51</v>
      </c>
      <c r="E1586" t="s">
        <v>3293</v>
      </c>
      <c r="F1586" t="s">
        <v>3294</v>
      </c>
      <c r="G1586" s="180">
        <v>3810</v>
      </c>
      <c r="H1586">
        <v>1990</v>
      </c>
      <c r="J1586" s="1334" t="s">
        <v>475</v>
      </c>
      <c r="K1586" s="1335" t="s">
        <v>475</v>
      </c>
      <c r="L1586" s="180">
        <v>0</v>
      </c>
      <c r="M1586" t="s">
        <v>67</v>
      </c>
      <c r="N1586" t="str">
        <f t="shared" si="98"/>
        <v>PHY PLT STG CPES (4763)</v>
      </c>
      <c r="O1586" t="s">
        <v>52</v>
      </c>
      <c r="P1586" t="str">
        <f t="shared" si="99"/>
        <v>18000_4763</v>
      </c>
      <c r="Q1586" s="180">
        <v>0</v>
      </c>
    </row>
    <row r="1587" spans="1:17">
      <c r="A1587" t="str">
        <f t="shared" si="96"/>
        <v>UGA_4764</v>
      </c>
      <c r="B1587" t="str">
        <f t="shared" si="97"/>
        <v>UGA_ARBORETUM PAVILION</v>
      </c>
      <c r="C1587" t="s">
        <v>443</v>
      </c>
      <c r="D1587" s="180" t="s">
        <v>51</v>
      </c>
      <c r="E1587" t="s">
        <v>2442</v>
      </c>
      <c r="F1587" t="s">
        <v>2443</v>
      </c>
      <c r="G1587" s="180">
        <v>484</v>
      </c>
      <c r="H1587">
        <v>1989</v>
      </c>
      <c r="J1587" s="1334" t="s">
        <v>475</v>
      </c>
      <c r="K1587" s="1335" t="s">
        <v>475</v>
      </c>
      <c r="L1587" s="180">
        <v>0</v>
      </c>
      <c r="M1587" t="s">
        <v>67</v>
      </c>
      <c r="N1587" t="str">
        <f t="shared" si="98"/>
        <v>ARBORETUM PAVILION (4764)</v>
      </c>
      <c r="O1587" t="s">
        <v>52</v>
      </c>
      <c r="P1587" t="str">
        <f t="shared" si="99"/>
        <v>18000_4764</v>
      </c>
      <c r="Q1587" s="180">
        <v>0</v>
      </c>
    </row>
    <row r="1588" spans="1:17">
      <c r="A1588" t="str">
        <f t="shared" si="96"/>
        <v>UGA_4765</v>
      </c>
      <c r="B1588" t="str">
        <f t="shared" si="97"/>
        <v>UGA_WEED SCI LAB CPES</v>
      </c>
      <c r="C1588" t="s">
        <v>443</v>
      </c>
      <c r="D1588" s="180" t="s">
        <v>51</v>
      </c>
      <c r="E1588" t="s">
        <v>3506</v>
      </c>
      <c r="F1588" t="s">
        <v>3507</v>
      </c>
      <c r="G1588" s="180">
        <v>3750</v>
      </c>
      <c r="H1588">
        <v>1991</v>
      </c>
      <c r="J1588" s="1334" t="s">
        <v>475</v>
      </c>
      <c r="K1588" s="1335" t="s">
        <v>475</v>
      </c>
      <c r="L1588" s="180">
        <v>0</v>
      </c>
      <c r="M1588" t="s">
        <v>67</v>
      </c>
      <c r="N1588" t="str">
        <f t="shared" si="98"/>
        <v>WEED SCI LAB CPES (4765)</v>
      </c>
      <c r="O1588" t="s">
        <v>52</v>
      </c>
      <c r="P1588" t="str">
        <f t="shared" si="99"/>
        <v>18000_4765</v>
      </c>
      <c r="Q1588" s="180">
        <v>0</v>
      </c>
    </row>
    <row r="1589" spans="1:17">
      <c r="A1589" t="str">
        <f t="shared" si="96"/>
        <v>UGA_4766</v>
      </c>
      <c r="B1589" t="str">
        <f t="shared" si="97"/>
        <v>UGA_PLANT PATH DRY HSE</v>
      </c>
      <c r="C1589" t="s">
        <v>443</v>
      </c>
      <c r="D1589" s="180" t="s">
        <v>51</v>
      </c>
      <c r="E1589" t="s">
        <v>2619</v>
      </c>
      <c r="F1589" t="s">
        <v>2620</v>
      </c>
      <c r="G1589" s="180">
        <v>900</v>
      </c>
      <c r="H1589">
        <v>1990</v>
      </c>
      <c r="J1589" s="1334" t="s">
        <v>475</v>
      </c>
      <c r="K1589" s="1335" t="s">
        <v>475</v>
      </c>
      <c r="L1589" s="180">
        <v>0</v>
      </c>
      <c r="M1589" t="s">
        <v>67</v>
      </c>
      <c r="N1589" t="str">
        <f t="shared" si="98"/>
        <v>PLANT PATH DRY HSE (4766)</v>
      </c>
      <c r="O1589" t="s">
        <v>52</v>
      </c>
      <c r="P1589" t="str">
        <f t="shared" si="99"/>
        <v>18000_4766</v>
      </c>
      <c r="Q1589" s="180">
        <v>0</v>
      </c>
    </row>
    <row r="1590" spans="1:17">
      <c r="A1590" t="str">
        <f t="shared" si="96"/>
        <v>UGA_4767</v>
      </c>
      <c r="B1590" t="str">
        <f t="shared" si="97"/>
        <v>UGA_AGY STORAGE</v>
      </c>
      <c r="C1590" t="s">
        <v>443</v>
      </c>
      <c r="D1590" s="180" t="s">
        <v>51</v>
      </c>
      <c r="E1590" t="s">
        <v>2112</v>
      </c>
      <c r="F1590" t="s">
        <v>2113</v>
      </c>
      <c r="G1590" s="180">
        <v>672</v>
      </c>
      <c r="H1590">
        <v>1988</v>
      </c>
      <c r="J1590" s="1334" t="s">
        <v>475</v>
      </c>
      <c r="K1590" s="1335" t="s">
        <v>475</v>
      </c>
      <c r="L1590" s="180">
        <v>0</v>
      </c>
      <c r="M1590" t="s">
        <v>67</v>
      </c>
      <c r="N1590" t="str">
        <f t="shared" si="98"/>
        <v>AGY STORAGE (4767)</v>
      </c>
      <c r="O1590" t="s">
        <v>52</v>
      </c>
      <c r="P1590" t="str">
        <f t="shared" si="99"/>
        <v>18000_4767</v>
      </c>
      <c r="Q1590" s="180">
        <v>100</v>
      </c>
    </row>
    <row r="1591" spans="1:17">
      <c r="A1591" t="str">
        <f t="shared" si="96"/>
        <v>UGA_4768</v>
      </c>
      <c r="B1591" t="str">
        <f t="shared" si="97"/>
        <v>UGA_HOR EQUIP SHED</v>
      </c>
      <c r="C1591" t="s">
        <v>443</v>
      </c>
      <c r="D1591" s="180" t="s">
        <v>51</v>
      </c>
      <c r="E1591" t="s">
        <v>2269</v>
      </c>
      <c r="F1591" t="s">
        <v>2270</v>
      </c>
      <c r="G1591" s="180">
        <v>3000</v>
      </c>
      <c r="H1591">
        <v>1990</v>
      </c>
      <c r="J1591" s="1334" t="s">
        <v>475</v>
      </c>
      <c r="K1591" s="1335" t="s">
        <v>475</v>
      </c>
      <c r="L1591" s="180">
        <v>0</v>
      </c>
      <c r="M1591" t="s">
        <v>67</v>
      </c>
      <c r="N1591" t="str">
        <f t="shared" si="98"/>
        <v>HOR EQUIP SHED (4768)</v>
      </c>
      <c r="O1591" t="s">
        <v>52</v>
      </c>
      <c r="P1591" t="str">
        <f t="shared" si="99"/>
        <v>18000_4768</v>
      </c>
      <c r="Q1591" s="180">
        <v>100</v>
      </c>
    </row>
    <row r="1592" spans="1:17">
      <c r="A1592" t="str">
        <f t="shared" si="96"/>
        <v>UGA_4770</v>
      </c>
      <c r="B1592" t="str">
        <f t="shared" si="97"/>
        <v>UGA_HORT STORAGE</v>
      </c>
      <c r="C1592" t="s">
        <v>443</v>
      </c>
      <c r="D1592" s="180" t="s">
        <v>51</v>
      </c>
      <c r="E1592" t="s">
        <v>3980</v>
      </c>
      <c r="F1592" t="s">
        <v>3981</v>
      </c>
      <c r="G1592" s="180">
        <v>620</v>
      </c>
      <c r="H1592">
        <v>1986</v>
      </c>
      <c r="J1592" s="1334" t="s">
        <v>475</v>
      </c>
      <c r="K1592" s="1335" t="s">
        <v>475</v>
      </c>
      <c r="L1592" s="180">
        <v>0</v>
      </c>
      <c r="M1592" t="s">
        <v>67</v>
      </c>
      <c r="N1592" t="str">
        <f t="shared" si="98"/>
        <v>HORT STORAGE (4770)</v>
      </c>
      <c r="O1592" t="s">
        <v>52</v>
      </c>
      <c r="P1592" t="str">
        <f t="shared" si="99"/>
        <v>18000_4770</v>
      </c>
      <c r="Q1592" s="180">
        <v>100</v>
      </c>
    </row>
    <row r="1593" spans="1:17">
      <c r="A1593" t="str">
        <f t="shared" si="96"/>
        <v>UGA_4772</v>
      </c>
      <c r="B1593" t="str">
        <f t="shared" si="97"/>
        <v>UGA_HORT CHEM STORAGE</v>
      </c>
      <c r="C1593" t="s">
        <v>443</v>
      </c>
      <c r="D1593" s="180" t="s">
        <v>51</v>
      </c>
      <c r="E1593" t="s">
        <v>2467</v>
      </c>
      <c r="F1593" t="s">
        <v>2468</v>
      </c>
      <c r="G1593" s="180">
        <v>720</v>
      </c>
      <c r="H1593">
        <v>1992</v>
      </c>
      <c r="J1593" s="1334" t="s">
        <v>475</v>
      </c>
      <c r="K1593" s="1335" t="s">
        <v>475</v>
      </c>
      <c r="L1593" s="180">
        <v>0</v>
      </c>
      <c r="M1593" t="s">
        <v>67</v>
      </c>
      <c r="N1593" t="str">
        <f t="shared" si="98"/>
        <v>HORT CHEM STORAGE (4772)</v>
      </c>
      <c r="O1593" t="s">
        <v>52</v>
      </c>
      <c r="P1593" t="str">
        <f t="shared" si="99"/>
        <v>18000_4772</v>
      </c>
      <c r="Q1593" s="180">
        <v>100</v>
      </c>
    </row>
    <row r="1594" spans="1:17">
      <c r="A1594" t="str">
        <f t="shared" si="96"/>
        <v>UGA_4773</v>
      </c>
      <c r="B1594" t="str">
        <f t="shared" si="97"/>
        <v>UGA_VID ON ST RSCH LAB</v>
      </c>
      <c r="C1594" t="s">
        <v>443</v>
      </c>
      <c r="D1594" s="180" t="s">
        <v>51</v>
      </c>
      <c r="E1594" t="s">
        <v>2849</v>
      </c>
      <c r="F1594" t="s">
        <v>2850</v>
      </c>
      <c r="G1594" s="180">
        <v>17600</v>
      </c>
      <c r="H1594">
        <v>1995</v>
      </c>
      <c r="J1594" s="1334" t="s">
        <v>475</v>
      </c>
      <c r="K1594" s="1335" t="s">
        <v>475</v>
      </c>
      <c r="L1594" s="180">
        <v>0</v>
      </c>
      <c r="M1594" t="s">
        <v>67</v>
      </c>
      <c r="N1594" t="str">
        <f t="shared" si="98"/>
        <v>VID ON ST RSCH LAB (4773)</v>
      </c>
      <c r="O1594" t="s">
        <v>52</v>
      </c>
      <c r="P1594" t="str">
        <f t="shared" si="99"/>
        <v>18000_4773</v>
      </c>
      <c r="Q1594" s="180">
        <v>100</v>
      </c>
    </row>
    <row r="1595" spans="1:17">
      <c r="A1595" t="str">
        <f t="shared" si="96"/>
        <v>UGA_4774</v>
      </c>
      <c r="B1595" t="str">
        <f t="shared" si="97"/>
        <v>UGA_PLT PATH HDHSE LAB</v>
      </c>
      <c r="C1595" t="s">
        <v>443</v>
      </c>
      <c r="D1595" s="180" t="s">
        <v>51</v>
      </c>
      <c r="E1595" t="s">
        <v>3912</v>
      </c>
      <c r="F1595" t="s">
        <v>3913</v>
      </c>
      <c r="G1595" s="180">
        <v>6171</v>
      </c>
      <c r="H1595">
        <v>1993</v>
      </c>
      <c r="J1595" s="1334" t="s">
        <v>475</v>
      </c>
      <c r="K1595" s="1335" t="s">
        <v>475</v>
      </c>
      <c r="L1595" s="180">
        <v>0</v>
      </c>
      <c r="M1595" t="s">
        <v>67</v>
      </c>
      <c r="N1595" t="str">
        <f t="shared" si="98"/>
        <v>PLT PATH HDHSE LAB (4774)</v>
      </c>
      <c r="O1595" t="s">
        <v>52</v>
      </c>
      <c r="P1595" t="str">
        <f t="shared" si="99"/>
        <v>18000_4774</v>
      </c>
      <c r="Q1595" s="180">
        <v>0</v>
      </c>
    </row>
    <row r="1596" spans="1:17">
      <c r="A1596" t="str">
        <f t="shared" si="96"/>
        <v>UGA_4779</v>
      </c>
      <c r="B1596" t="str">
        <f t="shared" si="97"/>
        <v>UGA_GIBBS FRM:MTL WKSP</v>
      </c>
      <c r="C1596" t="s">
        <v>443</v>
      </c>
      <c r="D1596" s="180" t="s">
        <v>51</v>
      </c>
      <c r="E1596" t="s">
        <v>2828</v>
      </c>
      <c r="F1596" t="s">
        <v>2829</v>
      </c>
      <c r="G1596" s="180">
        <v>1423</v>
      </c>
      <c r="H1596">
        <v>1956</v>
      </c>
      <c r="J1596" s="1334" t="s">
        <v>475</v>
      </c>
      <c r="K1596" s="1335" t="s">
        <v>475</v>
      </c>
      <c r="L1596" s="180">
        <v>0</v>
      </c>
      <c r="M1596" t="s">
        <v>67</v>
      </c>
      <c r="N1596" t="str">
        <f t="shared" si="98"/>
        <v>GIBBS FRM:MTL WKSP (4779)</v>
      </c>
      <c r="O1596" t="s">
        <v>52</v>
      </c>
      <c r="P1596" t="str">
        <f t="shared" si="99"/>
        <v>18000_4779</v>
      </c>
      <c r="Q1596" s="180">
        <v>0</v>
      </c>
    </row>
    <row r="1597" spans="1:17">
      <c r="A1597" t="str">
        <f t="shared" si="96"/>
        <v>UGA_4780</v>
      </c>
      <c r="B1597" t="str">
        <f t="shared" si="97"/>
        <v>UGA_GIBBS FRM:MTL SHD</v>
      </c>
      <c r="C1597" t="s">
        <v>443</v>
      </c>
      <c r="D1597" s="180" t="s">
        <v>51</v>
      </c>
      <c r="E1597" t="s">
        <v>2271</v>
      </c>
      <c r="F1597" t="s">
        <v>2272</v>
      </c>
      <c r="G1597" s="180">
        <v>1805</v>
      </c>
      <c r="H1597">
        <v>1968</v>
      </c>
      <c r="J1597" s="1334" t="s">
        <v>475</v>
      </c>
      <c r="K1597" s="1335" t="s">
        <v>475</v>
      </c>
      <c r="L1597" s="180">
        <v>0</v>
      </c>
      <c r="M1597" t="s">
        <v>67</v>
      </c>
      <c r="N1597" t="str">
        <f t="shared" si="98"/>
        <v>GIBBS FRM:MTL SHD (4780)</v>
      </c>
      <c r="O1597" t="s">
        <v>52</v>
      </c>
      <c r="P1597" t="str">
        <f t="shared" si="99"/>
        <v>18000_4780</v>
      </c>
      <c r="Q1597" s="180">
        <v>0</v>
      </c>
    </row>
    <row r="1598" spans="1:17">
      <c r="A1598" t="str">
        <f t="shared" si="96"/>
        <v>UGA_4789</v>
      </c>
      <c r="B1598" t="str">
        <f t="shared" si="97"/>
        <v>UGA_AS COMMODITY BARN</v>
      </c>
      <c r="C1598" t="s">
        <v>443</v>
      </c>
      <c r="D1598" s="180" t="s">
        <v>51</v>
      </c>
      <c r="E1598" t="s">
        <v>4104</v>
      </c>
      <c r="F1598" t="s">
        <v>4105</v>
      </c>
      <c r="G1598" s="180">
        <v>1370</v>
      </c>
      <c r="H1598">
        <v>1991</v>
      </c>
      <c r="J1598" s="1334" t="s">
        <v>475</v>
      </c>
      <c r="K1598" s="1335" t="s">
        <v>475</v>
      </c>
      <c r="L1598" s="180">
        <v>0</v>
      </c>
      <c r="M1598" t="s">
        <v>67</v>
      </c>
      <c r="N1598" t="str">
        <f t="shared" si="98"/>
        <v>AS COMMODITY BARN (4789)</v>
      </c>
      <c r="O1598" t="s">
        <v>52</v>
      </c>
      <c r="P1598" t="str">
        <f t="shared" si="99"/>
        <v>18000_4789</v>
      </c>
      <c r="Q1598" s="180">
        <v>0</v>
      </c>
    </row>
    <row r="1599" spans="1:17">
      <c r="A1599" t="str">
        <f t="shared" si="96"/>
        <v>UGA_4790</v>
      </c>
      <c r="B1599" t="str">
        <f t="shared" si="97"/>
        <v>UGA_RDC PESTICIDE STG</v>
      </c>
      <c r="C1599" t="s">
        <v>443</v>
      </c>
      <c r="D1599" s="180" t="s">
        <v>51</v>
      </c>
      <c r="E1599" t="s">
        <v>2444</v>
      </c>
      <c r="F1599" t="s">
        <v>2445</v>
      </c>
      <c r="G1599" s="180">
        <v>720</v>
      </c>
      <c r="H1599">
        <v>1990</v>
      </c>
      <c r="J1599" s="1334" t="s">
        <v>475</v>
      </c>
      <c r="K1599" s="1335" t="s">
        <v>475</v>
      </c>
      <c r="L1599" s="180">
        <v>0</v>
      </c>
      <c r="M1599" t="s">
        <v>67</v>
      </c>
      <c r="N1599" t="str">
        <f t="shared" si="98"/>
        <v>RDC PESTICIDE STG (4790)</v>
      </c>
      <c r="O1599" t="s">
        <v>52</v>
      </c>
      <c r="P1599" t="str">
        <f t="shared" si="99"/>
        <v>18000_4790</v>
      </c>
      <c r="Q1599" s="180">
        <v>0</v>
      </c>
    </row>
    <row r="1600" spans="1:17">
      <c r="A1600" t="str">
        <f t="shared" si="96"/>
        <v>UGA_4791</v>
      </c>
      <c r="B1600" t="str">
        <f t="shared" si="97"/>
        <v>UGA_NESPAL</v>
      </c>
      <c r="C1600" t="s">
        <v>443</v>
      </c>
      <c r="D1600" s="180" t="s">
        <v>51</v>
      </c>
      <c r="E1600" t="s">
        <v>1912</v>
      </c>
      <c r="F1600" t="s">
        <v>1913</v>
      </c>
      <c r="G1600" s="180">
        <v>46593</v>
      </c>
      <c r="H1600">
        <v>1999</v>
      </c>
      <c r="J1600" s="1334" t="s">
        <v>475</v>
      </c>
      <c r="K1600" s="1335" t="s">
        <v>475</v>
      </c>
      <c r="L1600" s="180">
        <v>13</v>
      </c>
      <c r="M1600" t="s">
        <v>67</v>
      </c>
      <c r="N1600" t="str">
        <f t="shared" si="98"/>
        <v>NESPAL (4791)</v>
      </c>
      <c r="O1600" t="s">
        <v>52</v>
      </c>
      <c r="P1600" t="str">
        <f t="shared" si="99"/>
        <v>18000_4791</v>
      </c>
      <c r="Q1600" s="180">
        <v>0</v>
      </c>
    </row>
    <row r="1601" spans="1:17">
      <c r="A1601" t="str">
        <f t="shared" si="96"/>
        <v>UGA_4792</v>
      </c>
      <c r="B1601" t="str">
        <f t="shared" si="97"/>
        <v>UGA_GIBBS FRM: RES EQP</v>
      </c>
      <c r="C1601" t="s">
        <v>443</v>
      </c>
      <c r="D1601" s="180" t="s">
        <v>51</v>
      </c>
      <c r="E1601" t="s">
        <v>1775</v>
      </c>
      <c r="F1601" t="s">
        <v>1776</v>
      </c>
      <c r="G1601" s="180">
        <v>4000</v>
      </c>
      <c r="H1601">
        <v>1993</v>
      </c>
      <c r="J1601" s="1334" t="s">
        <v>475</v>
      </c>
      <c r="K1601" s="1335" t="s">
        <v>475</v>
      </c>
      <c r="L1601" s="180">
        <v>0</v>
      </c>
      <c r="M1601" t="s">
        <v>67</v>
      </c>
      <c r="N1601" t="str">
        <f t="shared" si="98"/>
        <v>GIBBS FRM: RES EQP (4792)</v>
      </c>
      <c r="O1601" t="s">
        <v>52</v>
      </c>
      <c r="P1601" t="str">
        <f t="shared" si="99"/>
        <v>18000_4792</v>
      </c>
      <c r="Q1601" s="180">
        <v>0</v>
      </c>
    </row>
    <row r="1602" spans="1:17">
      <c r="A1602" t="str">
        <f t="shared" si="96"/>
        <v>UGA_4793</v>
      </c>
      <c r="B1602" t="str">
        <f t="shared" si="97"/>
        <v>UGA_NATURAL PROD LAB</v>
      </c>
      <c r="C1602" t="s">
        <v>443</v>
      </c>
      <c r="D1602" s="180" t="s">
        <v>51</v>
      </c>
      <c r="E1602" t="s">
        <v>3723</v>
      </c>
      <c r="F1602" t="s">
        <v>3724</v>
      </c>
      <c r="G1602" s="180">
        <v>5397</v>
      </c>
      <c r="H1602">
        <v>1999</v>
      </c>
      <c r="J1602" s="1334" t="s">
        <v>475</v>
      </c>
      <c r="K1602" s="1335" t="s">
        <v>475</v>
      </c>
      <c r="L1602" s="180">
        <v>0</v>
      </c>
      <c r="M1602" t="s">
        <v>67</v>
      </c>
      <c r="N1602" t="str">
        <f t="shared" si="98"/>
        <v>NATURAL PROD LAB (4793)</v>
      </c>
      <c r="O1602" t="s">
        <v>52</v>
      </c>
      <c r="P1602" t="str">
        <f t="shared" si="99"/>
        <v>18000_4793</v>
      </c>
      <c r="Q1602" s="180">
        <v>0</v>
      </c>
    </row>
    <row r="1603" spans="1:17">
      <c r="A1603" t="str">
        <f t="shared" ref="A1603:A1666" si="100">_xlfn.CONCAT(D1603,"_",E1603)</f>
        <v>UGA_4794</v>
      </c>
      <c r="B1603" t="str">
        <f t="shared" ref="B1603:B1666" si="101">_xlfn.CONCAT(D1603,"_",F1603)</f>
        <v>UGA_ENTO PEANUT LAB</v>
      </c>
      <c r="C1603" t="s">
        <v>443</v>
      </c>
      <c r="D1603" s="180" t="s">
        <v>51</v>
      </c>
      <c r="E1603" t="s">
        <v>1691</v>
      </c>
      <c r="F1603" t="s">
        <v>1692</v>
      </c>
      <c r="G1603" s="180">
        <v>2000</v>
      </c>
      <c r="H1603">
        <v>1995</v>
      </c>
      <c r="J1603" s="1334" t="s">
        <v>475</v>
      </c>
      <c r="K1603" s="1335" t="s">
        <v>475</v>
      </c>
      <c r="L1603" s="180">
        <v>0</v>
      </c>
      <c r="M1603" t="s">
        <v>67</v>
      </c>
      <c r="N1603" t="str">
        <f t="shared" ref="N1603:N1666" si="102">_xlfn.CONCAT(F1603," (",E1603,")")</f>
        <v>ENTO PEANUT LAB (4794)</v>
      </c>
      <c r="O1603" t="s">
        <v>52</v>
      </c>
      <c r="P1603" t="str">
        <f t="shared" ref="P1603:P1666" si="103">_xlfn.CONCAT(C1603,"_",E1603)</f>
        <v>18000_4794</v>
      </c>
      <c r="Q1603" s="180">
        <v>0</v>
      </c>
    </row>
    <row r="1604" spans="1:17">
      <c r="A1604" t="str">
        <f t="shared" si="100"/>
        <v>UGA_4796</v>
      </c>
      <c r="B1604" t="str">
        <f t="shared" si="101"/>
        <v>UGA_DAIRY RSCH CNTR</v>
      </c>
      <c r="C1604" t="s">
        <v>443</v>
      </c>
      <c r="D1604" s="180" t="s">
        <v>51</v>
      </c>
      <c r="E1604" t="s">
        <v>1553</v>
      </c>
      <c r="F1604" t="s">
        <v>1554</v>
      </c>
      <c r="G1604" s="180">
        <v>49000</v>
      </c>
      <c r="H1604">
        <v>1999</v>
      </c>
      <c r="J1604" s="1334" t="s">
        <v>475</v>
      </c>
      <c r="K1604" s="1335" t="s">
        <v>475</v>
      </c>
      <c r="L1604" s="180">
        <v>0</v>
      </c>
      <c r="M1604" t="s">
        <v>67</v>
      </c>
      <c r="N1604" t="str">
        <f t="shared" si="102"/>
        <v>DAIRY RSCH CNTR (4796)</v>
      </c>
      <c r="O1604" t="s">
        <v>52</v>
      </c>
      <c r="P1604" t="str">
        <f t="shared" si="103"/>
        <v>18000_4796</v>
      </c>
      <c r="Q1604" s="180">
        <v>0</v>
      </c>
    </row>
    <row r="1605" spans="1:17">
      <c r="A1605" t="str">
        <f t="shared" si="100"/>
        <v>UGA_4797</v>
      </c>
      <c r="B1605" t="str">
        <f t="shared" si="101"/>
        <v>UGA_ENTO GREENHOUSE</v>
      </c>
      <c r="C1605" t="s">
        <v>443</v>
      </c>
      <c r="D1605" s="180" t="s">
        <v>51</v>
      </c>
      <c r="E1605" t="s">
        <v>3508</v>
      </c>
      <c r="F1605" t="s">
        <v>3509</v>
      </c>
      <c r="G1605" s="180">
        <v>1600</v>
      </c>
      <c r="H1605">
        <v>1996</v>
      </c>
      <c r="J1605" s="1334" t="s">
        <v>475</v>
      </c>
      <c r="K1605" s="1335" t="s">
        <v>475</v>
      </c>
      <c r="L1605" s="180">
        <v>0</v>
      </c>
      <c r="M1605" t="s">
        <v>67</v>
      </c>
      <c r="N1605" t="str">
        <f t="shared" si="102"/>
        <v>ENTO GREENHOUSE (4797)</v>
      </c>
      <c r="O1605" t="s">
        <v>52</v>
      </c>
      <c r="P1605" t="str">
        <f t="shared" si="103"/>
        <v>18000_4797</v>
      </c>
      <c r="Q1605" s="180">
        <v>0</v>
      </c>
    </row>
    <row r="1606" spans="1:17">
      <c r="A1606" t="str">
        <f t="shared" si="100"/>
        <v>UGA_4799</v>
      </c>
      <c r="B1606" t="str">
        <f t="shared" si="101"/>
        <v>UGA_INCINERATOR BLDG</v>
      </c>
      <c r="C1606" t="s">
        <v>443</v>
      </c>
      <c r="D1606" s="180" t="s">
        <v>51</v>
      </c>
      <c r="E1606" t="s">
        <v>2308</v>
      </c>
      <c r="F1606" t="s">
        <v>2309</v>
      </c>
      <c r="G1606" s="180">
        <v>320</v>
      </c>
      <c r="H1606">
        <v>1997</v>
      </c>
      <c r="J1606" s="1334" t="s">
        <v>475</v>
      </c>
      <c r="K1606" s="1335" t="s">
        <v>475</v>
      </c>
      <c r="L1606" s="180">
        <v>0</v>
      </c>
      <c r="M1606" t="s">
        <v>67</v>
      </c>
      <c r="N1606" t="str">
        <f t="shared" si="102"/>
        <v>INCINERATOR BLDG (4799)</v>
      </c>
      <c r="O1606" t="s">
        <v>52</v>
      </c>
      <c r="P1606" t="str">
        <f t="shared" si="103"/>
        <v>18000_4799</v>
      </c>
      <c r="Q1606" s="180">
        <v>0</v>
      </c>
    </row>
    <row r="1607" spans="1:17">
      <c r="A1607" t="str">
        <f t="shared" si="100"/>
        <v>UGA_4800</v>
      </c>
      <c r="B1607" t="str">
        <f t="shared" si="101"/>
        <v>UGA_RDC PIVOT EQUIP SH</v>
      </c>
      <c r="C1607" t="s">
        <v>443</v>
      </c>
      <c r="D1607" s="180" t="s">
        <v>51</v>
      </c>
      <c r="E1607" t="s">
        <v>3800</v>
      </c>
      <c r="F1607" t="s">
        <v>3801</v>
      </c>
      <c r="G1607" s="180">
        <v>6000</v>
      </c>
      <c r="H1607">
        <v>2005</v>
      </c>
      <c r="J1607" s="1334" t="s">
        <v>475</v>
      </c>
      <c r="K1607" s="1335" t="s">
        <v>481</v>
      </c>
      <c r="L1607" s="180">
        <v>0</v>
      </c>
      <c r="M1607" t="s">
        <v>67</v>
      </c>
      <c r="N1607" t="str">
        <f t="shared" si="102"/>
        <v>RDC PIVOT EQUIP SH (4800)</v>
      </c>
      <c r="O1607" t="s">
        <v>52</v>
      </c>
      <c r="P1607" t="str">
        <f t="shared" si="103"/>
        <v>18000_4800</v>
      </c>
      <c r="Q1607" s="180">
        <v>100</v>
      </c>
    </row>
    <row r="1608" spans="1:17">
      <c r="A1608" t="str">
        <f t="shared" si="100"/>
        <v>UGA_4801</v>
      </c>
      <c r="B1608" t="str">
        <f t="shared" si="101"/>
        <v>UGA_BOWEN FM:CTG B-F A</v>
      </c>
      <c r="C1608" t="s">
        <v>443</v>
      </c>
      <c r="D1608" s="180" t="s">
        <v>51</v>
      </c>
      <c r="E1608" t="s">
        <v>4327</v>
      </c>
      <c r="F1608" t="s">
        <v>4328</v>
      </c>
      <c r="G1608" s="180">
        <v>903</v>
      </c>
      <c r="H1608">
        <v>1956</v>
      </c>
      <c r="J1608" s="1334" t="s">
        <v>475</v>
      </c>
      <c r="K1608" s="1335" t="s">
        <v>1520</v>
      </c>
      <c r="L1608" s="180">
        <v>0</v>
      </c>
      <c r="M1608" t="s">
        <v>67</v>
      </c>
      <c r="N1608" t="str">
        <f t="shared" si="102"/>
        <v>BOWEN FM:CTG B-F A (4801)</v>
      </c>
      <c r="O1608" t="s">
        <v>52</v>
      </c>
      <c r="P1608" t="str">
        <f t="shared" si="103"/>
        <v>18000_4801</v>
      </c>
      <c r="Q1608" s="180">
        <v>100</v>
      </c>
    </row>
    <row r="1609" spans="1:17">
      <c r="A1609" t="str">
        <f t="shared" si="100"/>
        <v>UGA_4802</v>
      </c>
      <c r="B1609" t="str">
        <f t="shared" si="101"/>
        <v>UGA_BOWEN FM:CTG B-F B</v>
      </c>
      <c r="C1609" t="s">
        <v>443</v>
      </c>
      <c r="D1609" s="180" t="s">
        <v>51</v>
      </c>
      <c r="E1609" t="s">
        <v>2851</v>
      </c>
      <c r="F1609" t="s">
        <v>2852</v>
      </c>
      <c r="G1609" s="180">
        <v>903</v>
      </c>
      <c r="H1609">
        <v>1956</v>
      </c>
      <c r="J1609" s="1334" t="s">
        <v>475</v>
      </c>
      <c r="K1609" s="1335" t="s">
        <v>486</v>
      </c>
      <c r="L1609" s="180">
        <v>0</v>
      </c>
      <c r="M1609" t="s">
        <v>67</v>
      </c>
      <c r="N1609" t="str">
        <f t="shared" si="102"/>
        <v>BOWEN FM:CTG B-F B (4802)</v>
      </c>
      <c r="O1609" t="s">
        <v>52</v>
      </c>
      <c r="P1609" t="str">
        <f t="shared" si="103"/>
        <v>18000_4802</v>
      </c>
      <c r="Q1609" s="180">
        <v>100</v>
      </c>
    </row>
    <row r="1610" spans="1:17">
      <c r="A1610" t="str">
        <f t="shared" si="100"/>
        <v>UGA_4803</v>
      </c>
      <c r="B1610" t="str">
        <f t="shared" si="101"/>
        <v>UGA_BOWEN FM:SHED&amp;FERT</v>
      </c>
      <c r="C1610" t="s">
        <v>443</v>
      </c>
      <c r="D1610" s="180" t="s">
        <v>51</v>
      </c>
      <c r="E1610" t="s">
        <v>4106</v>
      </c>
      <c r="F1610" t="s">
        <v>4107</v>
      </c>
      <c r="G1610" s="180">
        <v>693</v>
      </c>
      <c r="H1610">
        <v>1956</v>
      </c>
      <c r="J1610" s="1334" t="s">
        <v>475</v>
      </c>
      <c r="K1610" s="1335" t="s">
        <v>475</v>
      </c>
      <c r="L1610" s="180">
        <v>0</v>
      </c>
      <c r="M1610" t="s">
        <v>67</v>
      </c>
      <c r="N1610" t="str">
        <f t="shared" si="102"/>
        <v>BOWEN FM:SHED&amp;FERT (4803)</v>
      </c>
      <c r="O1610" t="s">
        <v>52</v>
      </c>
      <c r="P1610" t="str">
        <f t="shared" si="103"/>
        <v>18000_4803</v>
      </c>
      <c r="Q1610" s="180">
        <v>100</v>
      </c>
    </row>
    <row r="1611" spans="1:17">
      <c r="A1611" t="str">
        <f t="shared" si="100"/>
        <v>UGA_4804</v>
      </c>
      <c r="B1611" t="str">
        <f t="shared" si="101"/>
        <v>UGA_BOWEN FM: MULE&amp;STG</v>
      </c>
      <c r="C1611" t="s">
        <v>443</v>
      </c>
      <c r="D1611" s="180" t="s">
        <v>51</v>
      </c>
      <c r="E1611" t="s">
        <v>3744</v>
      </c>
      <c r="F1611" t="s">
        <v>3745</v>
      </c>
      <c r="G1611" s="180">
        <v>480</v>
      </c>
      <c r="H1611">
        <v>1956</v>
      </c>
      <c r="J1611" s="1334" t="s">
        <v>475</v>
      </c>
      <c r="K1611" s="1335" t="s">
        <v>475</v>
      </c>
      <c r="L1611" s="180">
        <v>0</v>
      </c>
      <c r="M1611" t="s">
        <v>67</v>
      </c>
      <c r="N1611" t="str">
        <f t="shared" si="102"/>
        <v>BOWEN FM: MULE&amp;STG (4804)</v>
      </c>
      <c r="O1611" t="s">
        <v>52</v>
      </c>
      <c r="P1611" t="str">
        <f t="shared" si="103"/>
        <v>18000_4804</v>
      </c>
      <c r="Q1611" s="180">
        <v>100</v>
      </c>
    </row>
    <row r="1612" spans="1:17">
      <c r="A1612" t="str">
        <f t="shared" si="100"/>
        <v>UGA_4805</v>
      </c>
      <c r="B1612" t="str">
        <f t="shared" si="101"/>
        <v>UGA_BOWEN FM:TOBACCO B</v>
      </c>
      <c r="C1612" t="s">
        <v>443</v>
      </c>
      <c r="D1612" s="180" t="s">
        <v>51</v>
      </c>
      <c r="E1612" t="s">
        <v>1841</v>
      </c>
      <c r="F1612" t="s">
        <v>1842</v>
      </c>
      <c r="G1612" s="180">
        <v>1160</v>
      </c>
      <c r="H1612">
        <v>1957</v>
      </c>
      <c r="J1612" s="1334" t="s">
        <v>475</v>
      </c>
      <c r="K1612" s="1335" t="s">
        <v>475</v>
      </c>
      <c r="L1612" s="180">
        <v>0</v>
      </c>
      <c r="M1612" t="s">
        <v>67</v>
      </c>
      <c r="N1612" t="str">
        <f t="shared" si="102"/>
        <v>BOWEN FM:TOBACCO B (4805)</v>
      </c>
      <c r="O1612" t="s">
        <v>52</v>
      </c>
      <c r="P1612" t="str">
        <f t="shared" si="103"/>
        <v>18000_4805</v>
      </c>
      <c r="Q1612" s="180">
        <v>100</v>
      </c>
    </row>
    <row r="1613" spans="1:17">
      <c r="A1613" t="str">
        <f t="shared" si="100"/>
        <v>UGA_4806</v>
      </c>
      <c r="B1613" t="str">
        <f t="shared" si="101"/>
        <v>UGA_BOWEN FM:TOBBACO B</v>
      </c>
      <c r="C1613" t="s">
        <v>443</v>
      </c>
      <c r="D1613" s="180" t="s">
        <v>51</v>
      </c>
      <c r="E1613" t="s">
        <v>3541</v>
      </c>
      <c r="F1613" t="s">
        <v>3542</v>
      </c>
      <c r="G1613" s="180">
        <v>1160</v>
      </c>
      <c r="H1613">
        <v>1957</v>
      </c>
      <c r="J1613" s="1334" t="s">
        <v>475</v>
      </c>
      <c r="K1613" s="1335" t="s">
        <v>475</v>
      </c>
      <c r="L1613" s="180">
        <v>0</v>
      </c>
      <c r="M1613" t="s">
        <v>67</v>
      </c>
      <c r="N1613" t="str">
        <f t="shared" si="102"/>
        <v>BOWEN FM:TOBBACO B (4806)</v>
      </c>
      <c r="O1613" t="s">
        <v>52</v>
      </c>
      <c r="P1613" t="str">
        <f t="shared" si="103"/>
        <v>18000_4806</v>
      </c>
      <c r="Q1613" s="180">
        <v>100</v>
      </c>
    </row>
    <row r="1614" spans="1:17">
      <c r="A1614" t="str">
        <f t="shared" si="100"/>
        <v>UGA_4807</v>
      </c>
      <c r="B1614" t="str">
        <f t="shared" si="101"/>
        <v>UGA_BOWEN FM:TOBACCO B</v>
      </c>
      <c r="C1614" t="s">
        <v>443</v>
      </c>
      <c r="D1614" s="180" t="s">
        <v>51</v>
      </c>
      <c r="E1614" t="s">
        <v>3982</v>
      </c>
      <c r="F1614" t="s">
        <v>1842</v>
      </c>
      <c r="G1614" s="180">
        <v>416</v>
      </c>
      <c r="H1614">
        <v>1945</v>
      </c>
      <c r="J1614" s="1334" t="s">
        <v>475</v>
      </c>
      <c r="K1614" s="1335" t="s">
        <v>1520</v>
      </c>
      <c r="L1614" s="180">
        <v>0</v>
      </c>
      <c r="M1614" t="s">
        <v>67</v>
      </c>
      <c r="N1614" t="str">
        <f t="shared" si="102"/>
        <v>BOWEN FM:TOBACCO B (4807)</v>
      </c>
      <c r="O1614" t="s">
        <v>52</v>
      </c>
      <c r="P1614" t="str">
        <f t="shared" si="103"/>
        <v>18000_4807</v>
      </c>
      <c r="Q1614" s="180">
        <v>0</v>
      </c>
    </row>
    <row r="1615" spans="1:17">
      <c r="A1615" t="str">
        <f t="shared" si="100"/>
        <v>UGA_4809</v>
      </c>
      <c r="B1615" t="str">
        <f t="shared" si="101"/>
        <v>UGA_BOWEN FM:TBCCO RES</v>
      </c>
      <c r="C1615" t="s">
        <v>443</v>
      </c>
      <c r="D1615" s="180" t="s">
        <v>51</v>
      </c>
      <c r="E1615" t="s">
        <v>1861</v>
      </c>
      <c r="F1615" t="s">
        <v>1862</v>
      </c>
      <c r="G1615" s="180">
        <v>1104</v>
      </c>
      <c r="H1615">
        <v>1968</v>
      </c>
      <c r="J1615" s="1334" t="s">
        <v>475</v>
      </c>
      <c r="K1615" s="1335" t="s">
        <v>475</v>
      </c>
      <c r="L1615" s="180">
        <v>0</v>
      </c>
      <c r="M1615" t="s">
        <v>67</v>
      </c>
      <c r="N1615" t="str">
        <f t="shared" si="102"/>
        <v>BOWEN FM:TBCCO RES (4809)</v>
      </c>
      <c r="O1615" t="s">
        <v>52</v>
      </c>
      <c r="P1615" t="str">
        <f t="shared" si="103"/>
        <v>18000_4809</v>
      </c>
      <c r="Q1615" s="180">
        <v>100</v>
      </c>
    </row>
    <row r="1616" spans="1:17">
      <c r="A1616" t="str">
        <f t="shared" si="100"/>
        <v>UGA_4810</v>
      </c>
      <c r="B1616" t="str">
        <f t="shared" si="101"/>
        <v>UGA_BOWEN RD:TRCKR BRN</v>
      </c>
      <c r="C1616" t="s">
        <v>443</v>
      </c>
      <c r="D1616" s="180" t="s">
        <v>51</v>
      </c>
      <c r="E1616" t="s">
        <v>1608</v>
      </c>
      <c r="F1616" t="s">
        <v>1609</v>
      </c>
      <c r="G1616" s="180">
        <v>5000</v>
      </c>
      <c r="H1616">
        <v>1994</v>
      </c>
      <c r="J1616" s="1334" t="s">
        <v>475</v>
      </c>
      <c r="K1616" s="1335" t="s">
        <v>475</v>
      </c>
      <c r="L1616" s="180">
        <v>0</v>
      </c>
      <c r="M1616" t="s">
        <v>67</v>
      </c>
      <c r="N1616" t="str">
        <f t="shared" si="102"/>
        <v>BOWEN RD:TRCKR BRN (4810)</v>
      </c>
      <c r="O1616" t="s">
        <v>52</v>
      </c>
      <c r="P1616" t="str">
        <f t="shared" si="103"/>
        <v>18000_4810</v>
      </c>
      <c r="Q1616" s="180">
        <v>100</v>
      </c>
    </row>
    <row r="1617" spans="1:17">
      <c r="A1617" t="str">
        <f t="shared" si="100"/>
        <v>UGA_4811</v>
      </c>
      <c r="B1617" t="str">
        <f t="shared" si="101"/>
        <v>UGA_TIFTON GAMBREL BARN</v>
      </c>
      <c r="C1617" t="s">
        <v>443</v>
      </c>
      <c r="D1617" s="180" t="s">
        <v>51</v>
      </c>
      <c r="E1617" t="s">
        <v>3084</v>
      </c>
      <c r="F1617" t="s">
        <v>3085</v>
      </c>
      <c r="G1617" s="180">
        <v>6668</v>
      </c>
      <c r="H1617">
        <v>2020</v>
      </c>
      <c r="J1617" s="1334" t="s">
        <v>475</v>
      </c>
      <c r="K1617" s="1335" t="s">
        <v>475</v>
      </c>
      <c r="L1617" s="180">
        <v>0</v>
      </c>
      <c r="M1617" t="s">
        <v>67</v>
      </c>
      <c r="N1617" t="str">
        <f t="shared" si="102"/>
        <v>TIFTON GAMBREL BARN (4811)</v>
      </c>
      <c r="O1617" t="s">
        <v>52</v>
      </c>
      <c r="P1617" t="str">
        <f t="shared" si="103"/>
        <v>18000_4811</v>
      </c>
      <c r="Q1617" s="180">
        <v>100</v>
      </c>
    </row>
    <row r="1618" spans="1:17">
      <c r="A1618" t="str">
        <f t="shared" si="100"/>
        <v>UGA_4812</v>
      </c>
      <c r="B1618" t="str">
        <f t="shared" si="101"/>
        <v>UGA_LANDSCAPE &amp; GROUNDS</v>
      </c>
      <c r="C1618" t="s">
        <v>443</v>
      </c>
      <c r="D1618" s="180" t="s">
        <v>51</v>
      </c>
      <c r="E1618" t="s">
        <v>2621</v>
      </c>
      <c r="F1618" t="s">
        <v>2622</v>
      </c>
      <c r="G1618" s="180">
        <v>2303</v>
      </c>
      <c r="H1618">
        <v>2013</v>
      </c>
      <c r="J1618" s="1334" t="s">
        <v>475</v>
      </c>
      <c r="K1618" s="1335" t="s">
        <v>475</v>
      </c>
      <c r="L1618" s="180">
        <v>0</v>
      </c>
      <c r="M1618" t="s">
        <v>67</v>
      </c>
      <c r="N1618" t="str">
        <f t="shared" si="102"/>
        <v>LANDSCAPE &amp; GROUNDS (4812)</v>
      </c>
      <c r="O1618" t="s">
        <v>52</v>
      </c>
      <c r="P1618" t="str">
        <f t="shared" si="103"/>
        <v>18000_4812</v>
      </c>
      <c r="Q1618" s="180">
        <v>100</v>
      </c>
    </row>
    <row r="1619" spans="1:17">
      <c r="A1619" t="str">
        <f t="shared" si="100"/>
        <v>UGA_4815</v>
      </c>
      <c r="B1619" t="str">
        <f t="shared" si="101"/>
        <v>UGA_ALAPAHA FRS EQ SHD</v>
      </c>
      <c r="C1619" t="s">
        <v>443</v>
      </c>
      <c r="D1619" s="180" t="s">
        <v>51</v>
      </c>
      <c r="E1619" t="s">
        <v>3746</v>
      </c>
      <c r="F1619" t="s">
        <v>3747</v>
      </c>
      <c r="G1619" s="180">
        <v>4000</v>
      </c>
      <c r="H1619">
        <v>2012</v>
      </c>
      <c r="J1619" s="1334" t="s">
        <v>475</v>
      </c>
      <c r="K1619" s="1335" t="s">
        <v>475</v>
      </c>
      <c r="L1619" s="180">
        <v>0</v>
      </c>
      <c r="M1619" t="s">
        <v>4</v>
      </c>
      <c r="N1619" t="str">
        <f t="shared" si="102"/>
        <v>ALAPAHA FRS EQ SHD (4815)</v>
      </c>
      <c r="O1619" t="s">
        <v>52</v>
      </c>
      <c r="P1619" t="str">
        <f t="shared" si="103"/>
        <v>18000_4815</v>
      </c>
      <c r="Q1619" s="180">
        <v>100</v>
      </c>
    </row>
    <row r="1620" spans="1:17">
      <c r="A1620" t="str">
        <f t="shared" si="100"/>
        <v>UGA_4826</v>
      </c>
      <c r="B1620" t="str">
        <f t="shared" si="101"/>
        <v>UGA_ALAPAHA:IMPLMT SHD</v>
      </c>
      <c r="C1620" t="s">
        <v>443</v>
      </c>
      <c r="D1620" s="180" t="s">
        <v>51</v>
      </c>
      <c r="E1620" t="s">
        <v>1693</v>
      </c>
      <c r="F1620" t="s">
        <v>1694</v>
      </c>
      <c r="G1620" s="180">
        <v>2592</v>
      </c>
      <c r="H1620">
        <v>1958</v>
      </c>
      <c r="J1620" s="1334" t="s">
        <v>475</v>
      </c>
      <c r="K1620" s="1335" t="s">
        <v>486</v>
      </c>
      <c r="L1620" s="180">
        <v>0</v>
      </c>
      <c r="M1620" t="s">
        <v>4</v>
      </c>
      <c r="N1620" t="str">
        <f t="shared" si="102"/>
        <v>ALAPAHA:IMPLMT SHD (4826)</v>
      </c>
      <c r="O1620" t="s">
        <v>52</v>
      </c>
      <c r="P1620" t="str">
        <f t="shared" si="103"/>
        <v>18000_4826</v>
      </c>
      <c r="Q1620" s="180">
        <v>100</v>
      </c>
    </row>
    <row r="1621" spans="1:17">
      <c r="A1621" t="str">
        <f t="shared" si="100"/>
        <v>UGA_4827</v>
      </c>
      <c r="B1621" t="str">
        <f t="shared" si="101"/>
        <v>UGA_ALAPAHA:HORSE BARN</v>
      </c>
      <c r="C1621" t="s">
        <v>443</v>
      </c>
      <c r="D1621" s="180" t="s">
        <v>51</v>
      </c>
      <c r="E1621" t="s">
        <v>1610</v>
      </c>
      <c r="F1621" t="s">
        <v>1611</v>
      </c>
      <c r="G1621" s="180">
        <v>840</v>
      </c>
      <c r="H1621">
        <v>1958</v>
      </c>
      <c r="J1621" s="1334" t="s">
        <v>475</v>
      </c>
      <c r="K1621" s="1335" t="s">
        <v>475</v>
      </c>
      <c r="L1621" s="180">
        <v>0</v>
      </c>
      <c r="M1621" t="s">
        <v>4</v>
      </c>
      <c r="N1621" t="str">
        <f t="shared" si="102"/>
        <v>ALAPAHA:HORSE BARN (4827)</v>
      </c>
      <c r="O1621" t="s">
        <v>52</v>
      </c>
      <c r="P1621" t="str">
        <f t="shared" si="103"/>
        <v>18000_4827</v>
      </c>
      <c r="Q1621" s="180">
        <v>100</v>
      </c>
    </row>
    <row r="1622" spans="1:17">
      <c r="A1622" t="str">
        <f t="shared" si="100"/>
        <v>UGA_4828</v>
      </c>
      <c r="B1622" t="str">
        <f t="shared" si="101"/>
        <v>UGA_ALAPAHA:COTTAGE</v>
      </c>
      <c r="C1622" t="s">
        <v>443</v>
      </c>
      <c r="D1622" s="180" t="s">
        <v>51</v>
      </c>
      <c r="E1622" t="s">
        <v>2469</v>
      </c>
      <c r="F1622" t="s">
        <v>2470</v>
      </c>
      <c r="G1622" s="180">
        <v>1879</v>
      </c>
      <c r="H1622">
        <v>1962</v>
      </c>
      <c r="J1622" s="1334" t="s">
        <v>475</v>
      </c>
      <c r="K1622" s="1335" t="s">
        <v>1520</v>
      </c>
      <c r="L1622" s="180">
        <v>0</v>
      </c>
      <c r="M1622" t="s">
        <v>4</v>
      </c>
      <c r="N1622" t="str">
        <f t="shared" si="102"/>
        <v>ALAPAHA:COTTAGE (4828)</v>
      </c>
      <c r="O1622" t="s">
        <v>52</v>
      </c>
      <c r="P1622" t="str">
        <f t="shared" si="103"/>
        <v>18000_4828</v>
      </c>
      <c r="Q1622" s="180">
        <v>100</v>
      </c>
    </row>
    <row r="1623" spans="1:17">
      <c r="A1623" t="str">
        <f t="shared" si="100"/>
        <v>UGA_4830</v>
      </c>
      <c r="B1623" t="str">
        <f t="shared" si="101"/>
        <v>UGA_ALAPAHA:BLUBRRY SH</v>
      </c>
      <c r="C1623" t="s">
        <v>443</v>
      </c>
      <c r="D1623" s="180" t="s">
        <v>51</v>
      </c>
      <c r="E1623" t="s">
        <v>2015</v>
      </c>
      <c r="F1623" t="s">
        <v>2016</v>
      </c>
      <c r="G1623" s="180">
        <v>1550</v>
      </c>
      <c r="H1623">
        <v>1967</v>
      </c>
      <c r="J1623" s="1334" t="s">
        <v>475</v>
      </c>
      <c r="K1623" s="1335" t="s">
        <v>475</v>
      </c>
      <c r="L1623" s="180">
        <v>0</v>
      </c>
      <c r="M1623" t="s">
        <v>4</v>
      </c>
      <c r="N1623" t="str">
        <f t="shared" si="102"/>
        <v>ALAPAHA:BLUBRRY SH (4830)</v>
      </c>
      <c r="O1623" t="s">
        <v>52</v>
      </c>
      <c r="P1623" t="str">
        <f t="shared" si="103"/>
        <v>18000_4830</v>
      </c>
      <c r="Q1623" s="180">
        <v>100</v>
      </c>
    </row>
    <row r="1624" spans="1:17">
      <c r="A1624" t="str">
        <f t="shared" si="100"/>
        <v>UGA_4831</v>
      </c>
      <c r="B1624" t="str">
        <f t="shared" si="101"/>
        <v>UGA_ALAPAHA: HAY SHED</v>
      </c>
      <c r="C1624" t="s">
        <v>443</v>
      </c>
      <c r="D1624" s="180" t="s">
        <v>51</v>
      </c>
      <c r="E1624" t="s">
        <v>3232</v>
      </c>
      <c r="F1624" t="s">
        <v>3233</v>
      </c>
      <c r="G1624" s="180">
        <v>2415</v>
      </c>
      <c r="H1624">
        <v>1977</v>
      </c>
      <c r="J1624" s="1334" t="s">
        <v>475</v>
      </c>
      <c r="K1624" s="1335" t="s">
        <v>475</v>
      </c>
      <c r="L1624" s="180">
        <v>0</v>
      </c>
      <c r="M1624" t="s">
        <v>4</v>
      </c>
      <c r="N1624" t="str">
        <f t="shared" si="102"/>
        <v>ALAPAHA: HAY SHED (4831)</v>
      </c>
      <c r="O1624" t="s">
        <v>52</v>
      </c>
      <c r="P1624" t="str">
        <f t="shared" si="103"/>
        <v>18000_4831</v>
      </c>
      <c r="Q1624" s="180">
        <v>100</v>
      </c>
    </row>
    <row r="1625" spans="1:17">
      <c r="A1625" t="str">
        <f t="shared" si="100"/>
        <v>UGA_4832</v>
      </c>
      <c r="B1625" t="str">
        <f t="shared" si="101"/>
        <v>UGA_ALAPAHA: TOOL STRG</v>
      </c>
      <c r="C1625" t="s">
        <v>443</v>
      </c>
      <c r="D1625" s="180" t="s">
        <v>51</v>
      </c>
      <c r="E1625" t="s">
        <v>2446</v>
      </c>
      <c r="F1625" t="s">
        <v>2447</v>
      </c>
      <c r="G1625" s="180">
        <v>232</v>
      </c>
      <c r="H1625">
        <v>1987</v>
      </c>
      <c r="J1625" s="1334" t="s">
        <v>475</v>
      </c>
      <c r="K1625" s="1335" t="s">
        <v>475</v>
      </c>
      <c r="L1625" s="180">
        <v>0</v>
      </c>
      <c r="M1625" t="s">
        <v>4</v>
      </c>
      <c r="N1625" t="str">
        <f t="shared" si="102"/>
        <v>ALAPAHA: TOOL STRG (4832)</v>
      </c>
      <c r="O1625" t="s">
        <v>52</v>
      </c>
      <c r="P1625" t="str">
        <f t="shared" si="103"/>
        <v>18000_4832</v>
      </c>
      <c r="Q1625" s="180">
        <v>100</v>
      </c>
    </row>
    <row r="1626" spans="1:17">
      <c r="A1626" t="str">
        <f t="shared" si="100"/>
        <v>UGA_4833</v>
      </c>
      <c r="B1626" t="str">
        <f t="shared" si="101"/>
        <v>UGA_ALAPAHA: PUMP HOUS</v>
      </c>
      <c r="C1626" t="s">
        <v>443</v>
      </c>
      <c r="D1626" s="180" t="s">
        <v>51</v>
      </c>
      <c r="E1626" t="s">
        <v>3802</v>
      </c>
      <c r="F1626" t="s">
        <v>3803</v>
      </c>
      <c r="G1626" s="180">
        <v>94</v>
      </c>
      <c r="H1626">
        <v>1994</v>
      </c>
      <c r="J1626" s="1334" t="s">
        <v>475</v>
      </c>
      <c r="K1626" s="1335" t="s">
        <v>475</v>
      </c>
      <c r="L1626" s="180">
        <v>0</v>
      </c>
      <c r="M1626" t="s">
        <v>4</v>
      </c>
      <c r="N1626" t="str">
        <f t="shared" si="102"/>
        <v>ALAPAHA: PUMP HOUS (4833)</v>
      </c>
      <c r="O1626" t="s">
        <v>52</v>
      </c>
      <c r="P1626" t="str">
        <f t="shared" si="103"/>
        <v>18000_4833</v>
      </c>
      <c r="Q1626" s="180">
        <v>100</v>
      </c>
    </row>
    <row r="1627" spans="1:17">
      <c r="A1627" t="str">
        <f t="shared" si="100"/>
        <v>UGA_4834</v>
      </c>
      <c r="B1627" t="str">
        <f t="shared" si="101"/>
        <v>UGA_ALAPAHA:MULTI USE</v>
      </c>
      <c r="C1627" t="s">
        <v>443</v>
      </c>
      <c r="D1627" s="180" t="s">
        <v>51</v>
      </c>
      <c r="E1627" t="s">
        <v>4025</v>
      </c>
      <c r="F1627" t="s">
        <v>4026</v>
      </c>
      <c r="G1627" s="180">
        <v>8745</v>
      </c>
      <c r="H1627">
        <v>2002</v>
      </c>
      <c r="J1627" s="1334" t="s">
        <v>475</v>
      </c>
      <c r="K1627" s="1335" t="s">
        <v>475</v>
      </c>
      <c r="L1627" s="180">
        <v>0</v>
      </c>
      <c r="M1627" t="s">
        <v>4</v>
      </c>
      <c r="N1627" t="str">
        <f t="shared" si="102"/>
        <v>ALAPAHA:MULTI USE (4834)</v>
      </c>
      <c r="O1627" t="s">
        <v>52</v>
      </c>
      <c r="P1627" t="str">
        <f t="shared" si="103"/>
        <v>18000_4834</v>
      </c>
      <c r="Q1627" s="180">
        <v>100</v>
      </c>
    </row>
    <row r="1628" spans="1:17">
      <c r="A1628" t="str">
        <f t="shared" si="100"/>
        <v>UGA_4850</v>
      </c>
      <c r="B1628" t="str">
        <f t="shared" si="101"/>
        <v>UGA_RES ATTAPULGUS 1</v>
      </c>
      <c r="C1628" t="s">
        <v>443</v>
      </c>
      <c r="D1628" s="180" t="s">
        <v>51</v>
      </c>
      <c r="E1628" t="s">
        <v>3011</v>
      </c>
      <c r="F1628" t="s">
        <v>3012</v>
      </c>
      <c r="G1628" s="180">
        <v>2400</v>
      </c>
      <c r="H1628">
        <v>1952</v>
      </c>
      <c r="J1628" s="1334" t="s">
        <v>475</v>
      </c>
      <c r="K1628" s="1335" t="s">
        <v>1520</v>
      </c>
      <c r="L1628" s="180">
        <v>0</v>
      </c>
      <c r="M1628" t="s">
        <v>4</v>
      </c>
      <c r="N1628" t="str">
        <f t="shared" si="102"/>
        <v>RES ATTAPULGUS 1 (4850)</v>
      </c>
      <c r="O1628" t="s">
        <v>52</v>
      </c>
      <c r="P1628" t="str">
        <f t="shared" si="103"/>
        <v>18000_4850</v>
      </c>
      <c r="Q1628" s="180">
        <v>100</v>
      </c>
    </row>
    <row r="1629" spans="1:17">
      <c r="A1629" t="str">
        <f t="shared" si="100"/>
        <v>UGA_4851</v>
      </c>
      <c r="B1629" t="str">
        <f t="shared" si="101"/>
        <v>UGA_RES. ATTAPULGUS 2</v>
      </c>
      <c r="C1629" t="s">
        <v>443</v>
      </c>
      <c r="D1629" s="180" t="s">
        <v>51</v>
      </c>
      <c r="E1629" t="s">
        <v>3914</v>
      </c>
      <c r="F1629" t="s">
        <v>3915</v>
      </c>
      <c r="G1629" s="180">
        <v>1572</v>
      </c>
      <c r="H1629">
        <v>1957</v>
      </c>
      <c r="J1629" s="1334" t="s">
        <v>475</v>
      </c>
      <c r="K1629" s="1335" t="s">
        <v>1520</v>
      </c>
      <c r="L1629" s="180">
        <v>0</v>
      </c>
      <c r="M1629" t="s">
        <v>4</v>
      </c>
      <c r="N1629" t="str">
        <f t="shared" si="102"/>
        <v>RES. ATTAPULGUS 2 (4851)</v>
      </c>
      <c r="O1629" t="s">
        <v>52</v>
      </c>
      <c r="P1629" t="str">
        <f t="shared" si="103"/>
        <v>18000_4851</v>
      </c>
      <c r="Q1629" s="180">
        <v>100</v>
      </c>
    </row>
    <row r="1630" spans="1:17">
      <c r="A1630" t="str">
        <f t="shared" si="100"/>
        <v>UGA_4858</v>
      </c>
      <c r="B1630" t="str">
        <f t="shared" si="101"/>
        <v>UGA_ATTAPULG RSCH CNTR</v>
      </c>
      <c r="C1630" t="s">
        <v>443</v>
      </c>
      <c r="D1630" s="180" t="s">
        <v>51</v>
      </c>
      <c r="E1630" t="s">
        <v>4079</v>
      </c>
      <c r="F1630" t="s">
        <v>4080</v>
      </c>
      <c r="G1630" s="180">
        <v>2896</v>
      </c>
      <c r="H1630">
        <v>1940</v>
      </c>
      <c r="J1630" s="1334" t="s">
        <v>475</v>
      </c>
      <c r="K1630" s="1335" t="s">
        <v>486</v>
      </c>
      <c r="L1630" s="180">
        <v>0</v>
      </c>
      <c r="M1630" t="s">
        <v>4</v>
      </c>
      <c r="N1630" t="str">
        <f t="shared" si="102"/>
        <v>ATTAPULG RSCH CNTR (4858)</v>
      </c>
      <c r="O1630" t="s">
        <v>52</v>
      </c>
      <c r="P1630" t="str">
        <f t="shared" si="103"/>
        <v>18000_4858</v>
      </c>
      <c r="Q1630" s="180">
        <v>100</v>
      </c>
    </row>
    <row r="1631" spans="1:17">
      <c r="A1631" t="str">
        <f t="shared" si="100"/>
        <v>UGA_4860</v>
      </c>
      <c r="B1631" t="str">
        <f t="shared" si="101"/>
        <v>UGA_GEN PURPOSE BARN</v>
      </c>
      <c r="C1631" t="s">
        <v>443</v>
      </c>
      <c r="D1631" s="180" t="s">
        <v>51</v>
      </c>
      <c r="E1631" t="s">
        <v>4329</v>
      </c>
      <c r="F1631" t="s">
        <v>4330</v>
      </c>
      <c r="G1631" s="180">
        <v>2238</v>
      </c>
      <c r="H1631">
        <v>1941</v>
      </c>
      <c r="J1631" s="1334" t="s">
        <v>475</v>
      </c>
      <c r="K1631" s="1335" t="s">
        <v>481</v>
      </c>
      <c r="L1631" s="180">
        <v>0</v>
      </c>
      <c r="M1631" t="s">
        <v>4</v>
      </c>
      <c r="N1631" t="str">
        <f t="shared" si="102"/>
        <v>GEN PURPOSE BARN (4860)</v>
      </c>
      <c r="O1631" t="s">
        <v>52</v>
      </c>
      <c r="P1631" t="str">
        <f t="shared" si="103"/>
        <v>18000_4860</v>
      </c>
      <c r="Q1631" s="180">
        <v>100</v>
      </c>
    </row>
    <row r="1632" spans="1:17">
      <c r="A1632" t="str">
        <f t="shared" si="100"/>
        <v>UGA_4862</v>
      </c>
      <c r="B1632" t="str">
        <f t="shared" si="101"/>
        <v>UGA_EQUIPMENT SHED</v>
      </c>
      <c r="C1632" t="s">
        <v>443</v>
      </c>
      <c r="D1632" s="180" t="s">
        <v>51</v>
      </c>
      <c r="E1632" t="s">
        <v>3596</v>
      </c>
      <c r="F1632" t="s">
        <v>3597</v>
      </c>
      <c r="G1632" s="180">
        <v>4800</v>
      </c>
      <c r="H1632">
        <v>1940</v>
      </c>
      <c r="J1632" s="1334" t="s">
        <v>475</v>
      </c>
      <c r="K1632" s="1335" t="s">
        <v>475</v>
      </c>
      <c r="L1632" s="180">
        <v>0</v>
      </c>
      <c r="M1632" t="s">
        <v>4</v>
      </c>
      <c r="N1632" t="str">
        <f t="shared" si="102"/>
        <v>EQUIPMENT SHED (4862)</v>
      </c>
      <c r="O1632" t="s">
        <v>52</v>
      </c>
      <c r="P1632" t="str">
        <f t="shared" si="103"/>
        <v>18000_4862</v>
      </c>
      <c r="Q1632" s="180">
        <v>0</v>
      </c>
    </row>
    <row r="1633" spans="1:17">
      <c r="A1633" t="str">
        <f t="shared" si="100"/>
        <v>UGA_4864</v>
      </c>
      <c r="B1633" t="str">
        <f t="shared" si="101"/>
        <v>UGA_GREENHSE ATTAPULGU</v>
      </c>
      <c r="C1633" t="s">
        <v>443</v>
      </c>
      <c r="D1633" s="180" t="s">
        <v>51</v>
      </c>
      <c r="E1633" t="s">
        <v>3415</v>
      </c>
      <c r="F1633" t="s">
        <v>3416</v>
      </c>
      <c r="G1633" s="180">
        <v>700</v>
      </c>
      <c r="H1633">
        <v>1983</v>
      </c>
      <c r="J1633" s="1334" t="s">
        <v>475</v>
      </c>
      <c r="K1633" s="1335" t="s">
        <v>475</v>
      </c>
      <c r="L1633" s="180">
        <v>0</v>
      </c>
      <c r="M1633" t="s">
        <v>4</v>
      </c>
      <c r="N1633" t="str">
        <f t="shared" si="102"/>
        <v>GREENHSE ATTAPULGU (4864)</v>
      </c>
      <c r="O1633" t="s">
        <v>52</v>
      </c>
      <c r="P1633" t="str">
        <f t="shared" si="103"/>
        <v>18000_4864</v>
      </c>
      <c r="Q1633" s="180">
        <v>0</v>
      </c>
    </row>
    <row r="1634" spans="1:17">
      <c r="A1634" t="str">
        <f t="shared" si="100"/>
        <v>UGA_4865</v>
      </c>
      <c r="B1634" t="str">
        <f t="shared" si="101"/>
        <v>UGA_PUMP HSE &amp; TANK</v>
      </c>
      <c r="C1634" t="s">
        <v>443</v>
      </c>
      <c r="D1634" s="180" t="s">
        <v>51</v>
      </c>
      <c r="E1634" t="s">
        <v>1468</v>
      </c>
      <c r="F1634" t="s">
        <v>1469</v>
      </c>
      <c r="G1634" s="180">
        <v>240</v>
      </c>
      <c r="H1634">
        <v>1952</v>
      </c>
      <c r="J1634" s="1334" t="s">
        <v>475</v>
      </c>
      <c r="K1634" s="1335" t="s">
        <v>481</v>
      </c>
      <c r="L1634" s="180">
        <v>0</v>
      </c>
      <c r="M1634" t="s">
        <v>4</v>
      </c>
      <c r="N1634" t="str">
        <f t="shared" si="102"/>
        <v>PUMP HSE &amp; TANK (4865)</v>
      </c>
      <c r="O1634" t="s">
        <v>52</v>
      </c>
      <c r="P1634" t="str">
        <f t="shared" si="103"/>
        <v>18000_4865</v>
      </c>
      <c r="Q1634" s="180">
        <v>0</v>
      </c>
    </row>
    <row r="1635" spans="1:17">
      <c r="A1635" t="str">
        <f t="shared" si="100"/>
        <v>UGA_4866</v>
      </c>
      <c r="B1635" t="str">
        <f t="shared" si="101"/>
        <v>UGA_PUMP HOUSE -RES 1</v>
      </c>
      <c r="C1635" t="s">
        <v>443</v>
      </c>
      <c r="D1635" s="180" t="s">
        <v>51</v>
      </c>
      <c r="E1635" t="s">
        <v>4108</v>
      </c>
      <c r="F1635" t="s">
        <v>4109</v>
      </c>
      <c r="G1635" s="180">
        <v>80</v>
      </c>
      <c r="H1635">
        <v>1952</v>
      </c>
      <c r="J1635" s="1334" t="s">
        <v>475</v>
      </c>
      <c r="K1635" s="1335" t="s">
        <v>481</v>
      </c>
      <c r="L1635" s="180">
        <v>0</v>
      </c>
      <c r="M1635" t="s">
        <v>4</v>
      </c>
      <c r="N1635" t="str">
        <f t="shared" si="102"/>
        <v>PUMP HOUSE -RES 1 (4866)</v>
      </c>
      <c r="O1635" t="s">
        <v>52</v>
      </c>
      <c r="P1635" t="str">
        <f t="shared" si="103"/>
        <v>18000_4866</v>
      </c>
      <c r="Q1635" s="180">
        <v>0</v>
      </c>
    </row>
    <row r="1636" spans="1:17">
      <c r="A1636" t="str">
        <f t="shared" si="100"/>
        <v>UGA_4867</v>
      </c>
      <c r="B1636" t="str">
        <f t="shared" si="101"/>
        <v>UGA_SHOP AND STORAGE</v>
      </c>
      <c r="C1636" t="s">
        <v>443</v>
      </c>
      <c r="D1636" s="180" t="s">
        <v>51</v>
      </c>
      <c r="E1636" t="s">
        <v>3186</v>
      </c>
      <c r="F1636" t="s">
        <v>3187</v>
      </c>
      <c r="G1636" s="180">
        <v>7500</v>
      </c>
      <c r="H1636">
        <v>1994</v>
      </c>
      <c r="J1636" s="1334" t="s">
        <v>475</v>
      </c>
      <c r="K1636" s="1335" t="s">
        <v>475</v>
      </c>
      <c r="L1636" s="180">
        <v>0</v>
      </c>
      <c r="M1636" t="s">
        <v>4</v>
      </c>
      <c r="N1636" t="str">
        <f t="shared" si="102"/>
        <v>SHOP AND STORAGE (4867)</v>
      </c>
      <c r="O1636" t="s">
        <v>52</v>
      </c>
      <c r="P1636" t="str">
        <f t="shared" si="103"/>
        <v>18000_4867</v>
      </c>
      <c r="Q1636" s="180">
        <v>0</v>
      </c>
    </row>
    <row r="1637" spans="1:17">
      <c r="A1637" t="str">
        <f t="shared" si="100"/>
        <v>UGA_4868</v>
      </c>
      <c r="B1637" t="str">
        <f t="shared" si="101"/>
        <v>UGA_CHEMICAL STORAGE</v>
      </c>
      <c r="C1637" t="s">
        <v>443</v>
      </c>
      <c r="D1637" s="180" t="s">
        <v>51</v>
      </c>
      <c r="E1637" t="s">
        <v>4250</v>
      </c>
      <c r="F1637" t="s">
        <v>2067</v>
      </c>
      <c r="G1637" s="180">
        <v>288</v>
      </c>
      <c r="H1637">
        <v>1994</v>
      </c>
      <c r="J1637" s="1334" t="s">
        <v>475</v>
      </c>
      <c r="K1637" s="1335" t="s">
        <v>475</v>
      </c>
      <c r="L1637" s="180">
        <v>0</v>
      </c>
      <c r="M1637" t="s">
        <v>4</v>
      </c>
      <c r="N1637" t="str">
        <f t="shared" si="102"/>
        <v>CHEMICAL STORAGE (4868)</v>
      </c>
      <c r="O1637" t="s">
        <v>52</v>
      </c>
      <c r="P1637" t="str">
        <f t="shared" si="103"/>
        <v>18000_4868</v>
      </c>
      <c r="Q1637" s="180">
        <v>0</v>
      </c>
    </row>
    <row r="1638" spans="1:17">
      <c r="A1638" t="str">
        <f t="shared" si="100"/>
        <v>UGA_4869</v>
      </c>
      <c r="B1638" t="str">
        <f t="shared" si="101"/>
        <v>UGA_RINSATE STA CPES</v>
      </c>
      <c r="C1638" t="s">
        <v>443</v>
      </c>
      <c r="D1638" s="180" t="s">
        <v>51</v>
      </c>
      <c r="E1638" t="s">
        <v>1612</v>
      </c>
      <c r="F1638" t="s">
        <v>1613</v>
      </c>
      <c r="G1638" s="180">
        <v>3590</v>
      </c>
      <c r="H1638">
        <v>2002</v>
      </c>
      <c r="J1638" s="1334" t="s">
        <v>475</v>
      </c>
      <c r="K1638" s="1335" t="s">
        <v>475</v>
      </c>
      <c r="L1638" s="180">
        <v>0</v>
      </c>
      <c r="M1638" t="s">
        <v>4</v>
      </c>
      <c r="N1638" t="str">
        <f t="shared" si="102"/>
        <v>RINSATE STA CPES (4869)</v>
      </c>
      <c r="O1638" t="s">
        <v>52</v>
      </c>
      <c r="P1638" t="str">
        <f t="shared" si="103"/>
        <v>18000_4869</v>
      </c>
      <c r="Q1638" s="180">
        <v>0</v>
      </c>
    </row>
    <row r="1639" spans="1:17">
      <c r="A1639" t="str">
        <f t="shared" si="100"/>
        <v>UGA_4872</v>
      </c>
      <c r="B1639" t="str">
        <f t="shared" si="101"/>
        <v>UGA_EAST EQUIPMENT SHELTER</v>
      </c>
      <c r="C1639" t="s">
        <v>443</v>
      </c>
      <c r="D1639" s="180" t="s">
        <v>51</v>
      </c>
      <c r="E1639" t="s">
        <v>7624</v>
      </c>
      <c r="F1639" t="s">
        <v>7750</v>
      </c>
      <c r="G1639" s="180">
        <v>7200</v>
      </c>
      <c r="H1639">
        <v>2024</v>
      </c>
      <c r="J1639" s="1334" t="s">
        <v>475</v>
      </c>
      <c r="K1639" s="1335" t="s">
        <v>475</v>
      </c>
      <c r="L1639" s="180">
        <v>0</v>
      </c>
      <c r="M1639" t="s">
        <v>4</v>
      </c>
      <c r="N1639" t="str">
        <f t="shared" si="102"/>
        <v>EAST EQUIPMENT SHELTER (4872)</v>
      </c>
      <c r="O1639" t="s">
        <v>52</v>
      </c>
      <c r="P1639" t="str">
        <f t="shared" si="103"/>
        <v>18000_4872</v>
      </c>
      <c r="Q1639" s="180">
        <v>0</v>
      </c>
    </row>
    <row r="1640" spans="1:17">
      <c r="A1640" t="str">
        <f t="shared" si="100"/>
        <v>UGA_4873</v>
      </c>
      <c r="B1640" t="str">
        <f t="shared" si="101"/>
        <v>UGA_EQUIP STORAGE FAC</v>
      </c>
      <c r="C1640" t="s">
        <v>443</v>
      </c>
      <c r="D1640" s="180" t="s">
        <v>51</v>
      </c>
      <c r="E1640" t="s">
        <v>2471</v>
      </c>
      <c r="F1640" t="s">
        <v>2472</v>
      </c>
      <c r="G1640" s="180">
        <v>1066</v>
      </c>
      <c r="H1640">
        <v>2017</v>
      </c>
      <c r="J1640" s="1334" t="s">
        <v>475</v>
      </c>
      <c r="K1640" s="1335" t="s">
        <v>475</v>
      </c>
      <c r="L1640" s="180">
        <v>0</v>
      </c>
      <c r="M1640" t="s">
        <v>4</v>
      </c>
      <c r="N1640" t="str">
        <f t="shared" si="102"/>
        <v>EQUIP STORAGE FAC (4873)</v>
      </c>
      <c r="O1640" t="s">
        <v>52</v>
      </c>
      <c r="P1640" t="str">
        <f t="shared" si="103"/>
        <v>18000_4873</v>
      </c>
      <c r="Q1640" s="180">
        <v>0</v>
      </c>
    </row>
    <row r="1641" spans="1:17">
      <c r="A1641" t="str">
        <f t="shared" si="100"/>
        <v>UGA_4874</v>
      </c>
      <c r="B1641" t="str">
        <f t="shared" si="101"/>
        <v>UGA_DRIP IRRIG SHED</v>
      </c>
      <c r="C1641" t="s">
        <v>443</v>
      </c>
      <c r="D1641" s="180" t="s">
        <v>51</v>
      </c>
      <c r="E1641" t="s">
        <v>1695</v>
      </c>
      <c r="F1641" t="s">
        <v>1696</v>
      </c>
      <c r="G1641" s="180">
        <v>768</v>
      </c>
      <c r="H1641">
        <v>2017</v>
      </c>
      <c r="J1641" s="1334" t="s">
        <v>475</v>
      </c>
      <c r="K1641" s="1335" t="s">
        <v>475</v>
      </c>
      <c r="L1641" s="180">
        <v>0</v>
      </c>
      <c r="M1641" t="s">
        <v>4</v>
      </c>
      <c r="N1641" t="str">
        <f t="shared" si="102"/>
        <v>DRIP IRRIG SHED (4874)</v>
      </c>
      <c r="O1641" t="s">
        <v>52</v>
      </c>
      <c r="P1641" t="str">
        <f t="shared" si="103"/>
        <v>18000_4874</v>
      </c>
      <c r="Q1641" s="180">
        <v>0</v>
      </c>
    </row>
    <row r="1642" spans="1:17">
      <c r="A1642" t="str">
        <f t="shared" si="100"/>
        <v>UGA_4875</v>
      </c>
      <c r="B1642" t="str">
        <f t="shared" si="101"/>
        <v>UGA_STRIPLING OFF BLDG</v>
      </c>
      <c r="C1642" t="s">
        <v>443</v>
      </c>
      <c r="D1642" s="180" t="s">
        <v>51</v>
      </c>
      <c r="E1642" t="s">
        <v>3188</v>
      </c>
      <c r="F1642" t="s">
        <v>3189</v>
      </c>
      <c r="G1642" s="180">
        <v>4777</v>
      </c>
      <c r="H1642">
        <v>2001</v>
      </c>
      <c r="J1642" s="1334" t="s">
        <v>475</v>
      </c>
      <c r="K1642" s="1335" t="s">
        <v>475</v>
      </c>
      <c r="L1642" s="180">
        <v>0</v>
      </c>
      <c r="M1642" t="s">
        <v>4</v>
      </c>
      <c r="N1642" t="str">
        <f t="shared" si="102"/>
        <v>STRIPLING OFF BLDG (4875)</v>
      </c>
      <c r="O1642" t="s">
        <v>52</v>
      </c>
      <c r="P1642" t="str">
        <f t="shared" si="103"/>
        <v>18000_4875</v>
      </c>
      <c r="Q1642" s="180">
        <v>0</v>
      </c>
    </row>
    <row r="1643" spans="1:17">
      <c r="A1643" t="str">
        <f t="shared" si="100"/>
        <v>UGA_4876</v>
      </c>
      <c r="B1643" t="str">
        <f t="shared" si="101"/>
        <v>UGA_TIFTON CONF CTR</v>
      </c>
      <c r="C1643" t="s">
        <v>443</v>
      </c>
      <c r="D1643" s="180" t="s">
        <v>51</v>
      </c>
      <c r="E1643" t="s">
        <v>2936</v>
      </c>
      <c r="F1643" t="s">
        <v>2937</v>
      </c>
      <c r="G1643" s="180">
        <v>129051</v>
      </c>
      <c r="H1643">
        <v>1971</v>
      </c>
      <c r="J1643" s="1334" t="s">
        <v>475</v>
      </c>
      <c r="K1643" s="1335" t="s">
        <v>475</v>
      </c>
      <c r="L1643" s="180">
        <v>0</v>
      </c>
      <c r="M1643" t="s">
        <v>67</v>
      </c>
      <c r="N1643" t="str">
        <f t="shared" si="102"/>
        <v>TIFTON CONF CTR (4876)</v>
      </c>
      <c r="O1643" t="s">
        <v>52</v>
      </c>
      <c r="P1643" t="str">
        <f t="shared" si="103"/>
        <v>18000_4876</v>
      </c>
      <c r="Q1643" s="180">
        <v>0</v>
      </c>
    </row>
    <row r="1644" spans="1:17">
      <c r="A1644" t="str">
        <f t="shared" si="100"/>
        <v>UGA_4880</v>
      </c>
      <c r="B1644" t="str">
        <f t="shared" si="101"/>
        <v>UGA_STRIPLING STORAGE SHELTER</v>
      </c>
      <c r="C1644" t="s">
        <v>443</v>
      </c>
      <c r="D1644" s="180" t="s">
        <v>51</v>
      </c>
      <c r="E1644" t="s">
        <v>3598</v>
      </c>
      <c r="F1644" t="s">
        <v>3599</v>
      </c>
      <c r="G1644" s="180">
        <v>6250</v>
      </c>
      <c r="H1644">
        <v>2002</v>
      </c>
      <c r="J1644" s="1334" t="s">
        <v>475</v>
      </c>
      <c r="K1644" s="1335" t="s">
        <v>475</v>
      </c>
      <c r="L1644" s="180">
        <v>0</v>
      </c>
      <c r="M1644" t="s">
        <v>4</v>
      </c>
      <c r="N1644" t="str">
        <f t="shared" si="102"/>
        <v>STRIPLING STORAGE SHELTER (4880)</v>
      </c>
      <c r="O1644" t="s">
        <v>52</v>
      </c>
      <c r="P1644" t="str">
        <f t="shared" si="103"/>
        <v>18000_4880</v>
      </c>
      <c r="Q1644" s="180">
        <v>0</v>
      </c>
    </row>
    <row r="1645" spans="1:17">
      <c r="A1645" t="str">
        <f t="shared" si="100"/>
        <v>UGA_4881</v>
      </c>
      <c r="B1645" t="str">
        <f t="shared" si="101"/>
        <v>UGA_STRIPLING EQUIPMENT SHELTER</v>
      </c>
      <c r="C1645" t="s">
        <v>443</v>
      </c>
      <c r="D1645" s="180" t="s">
        <v>51</v>
      </c>
      <c r="E1645" t="s">
        <v>7625</v>
      </c>
      <c r="F1645" t="s">
        <v>7751</v>
      </c>
      <c r="G1645" s="180">
        <v>7200</v>
      </c>
      <c r="H1645">
        <v>2024</v>
      </c>
      <c r="J1645" s="1334" t="s">
        <v>475</v>
      </c>
      <c r="K1645" s="1335" t="s">
        <v>475</v>
      </c>
      <c r="L1645" s="180">
        <v>0</v>
      </c>
      <c r="M1645" t="s">
        <v>4</v>
      </c>
      <c r="N1645" t="str">
        <f t="shared" si="102"/>
        <v>STRIPLING EQUIPMENT SHELTER (4881)</v>
      </c>
      <c r="O1645" t="s">
        <v>52</v>
      </c>
      <c r="P1645" t="str">
        <f t="shared" si="103"/>
        <v>18000_4881</v>
      </c>
      <c r="Q1645" s="180">
        <v>0</v>
      </c>
    </row>
    <row r="1646" spans="1:17">
      <c r="A1646" t="str">
        <f t="shared" si="100"/>
        <v>UGA_4897</v>
      </c>
      <c r="B1646" t="str">
        <f t="shared" si="101"/>
        <v>UGA_NESPAL-SOUTH</v>
      </c>
      <c r="C1646" t="s">
        <v>443</v>
      </c>
      <c r="D1646" s="180" t="s">
        <v>51</v>
      </c>
      <c r="E1646" t="s">
        <v>3464</v>
      </c>
      <c r="F1646" t="s">
        <v>3465</v>
      </c>
      <c r="G1646" s="180">
        <v>11473</v>
      </c>
      <c r="H1646">
        <v>2001</v>
      </c>
      <c r="J1646" s="1334" t="s">
        <v>475</v>
      </c>
      <c r="K1646" s="1335" t="s">
        <v>475</v>
      </c>
      <c r="L1646" s="180">
        <v>13</v>
      </c>
      <c r="M1646" t="s">
        <v>67</v>
      </c>
      <c r="N1646" t="str">
        <f t="shared" si="102"/>
        <v>NESPAL-SOUTH (4897)</v>
      </c>
      <c r="O1646" t="s">
        <v>52</v>
      </c>
      <c r="P1646" t="str">
        <f t="shared" si="103"/>
        <v>18000_4897</v>
      </c>
      <c r="Q1646" s="180">
        <v>0</v>
      </c>
    </row>
    <row r="1647" spans="1:17">
      <c r="A1647" t="str">
        <f t="shared" si="100"/>
        <v>UGA_4898</v>
      </c>
      <c r="B1647" t="str">
        <f t="shared" si="101"/>
        <v>UGA_NESPAL GREENHOUSE</v>
      </c>
      <c r="C1647" t="s">
        <v>443</v>
      </c>
      <c r="D1647" s="180" t="s">
        <v>51</v>
      </c>
      <c r="E1647" t="s">
        <v>1697</v>
      </c>
      <c r="F1647" t="s">
        <v>1698</v>
      </c>
      <c r="G1647" s="180">
        <v>11520</v>
      </c>
      <c r="H1647">
        <v>1999</v>
      </c>
      <c r="J1647" s="1334" t="s">
        <v>475</v>
      </c>
      <c r="K1647" s="1335" t="s">
        <v>475</v>
      </c>
      <c r="L1647" s="180">
        <v>0</v>
      </c>
      <c r="M1647" t="s">
        <v>67</v>
      </c>
      <c r="N1647" t="str">
        <f t="shared" si="102"/>
        <v>NESPAL GREENHOUSE (4898)</v>
      </c>
      <c r="O1647" t="s">
        <v>52</v>
      </c>
      <c r="P1647" t="str">
        <f t="shared" si="103"/>
        <v>18000_4898</v>
      </c>
      <c r="Q1647" s="180">
        <v>0</v>
      </c>
    </row>
    <row r="1648" spans="1:17">
      <c r="A1648" t="str">
        <f t="shared" si="100"/>
        <v>UGA_4900</v>
      </c>
      <c r="B1648" t="str">
        <f t="shared" si="101"/>
        <v>UGA_CVM TIFTON HAUL-IN FACILITY</v>
      </c>
      <c r="C1648" t="s">
        <v>443</v>
      </c>
      <c r="D1648" s="180" t="s">
        <v>51</v>
      </c>
      <c r="E1648" t="s">
        <v>2232</v>
      </c>
      <c r="F1648" t="s">
        <v>2233</v>
      </c>
      <c r="G1648" s="180">
        <v>12047</v>
      </c>
      <c r="H1648">
        <v>2020</v>
      </c>
      <c r="J1648" s="1334" t="s">
        <v>475</v>
      </c>
      <c r="K1648" s="1335" t="s">
        <v>475</v>
      </c>
      <c r="L1648" s="180">
        <v>0</v>
      </c>
      <c r="M1648" t="s">
        <v>67</v>
      </c>
      <c r="N1648" t="str">
        <f t="shared" si="102"/>
        <v>CVM TIFTON HAUL-IN FACILITY (4900)</v>
      </c>
      <c r="O1648" t="s">
        <v>52</v>
      </c>
      <c r="P1648" t="str">
        <f t="shared" si="103"/>
        <v>18000_4900</v>
      </c>
      <c r="Q1648" s="180">
        <v>0</v>
      </c>
    </row>
    <row r="1649" spans="1:17">
      <c r="A1649" t="str">
        <f t="shared" si="100"/>
        <v>UGA_4901</v>
      </c>
      <c r="B1649" t="str">
        <f t="shared" si="101"/>
        <v>UGA_DIAGNOSTIC/BIOSAFT</v>
      </c>
      <c r="C1649" t="s">
        <v>443</v>
      </c>
      <c r="D1649" s="180" t="s">
        <v>51</v>
      </c>
      <c r="E1649" t="s">
        <v>3398</v>
      </c>
      <c r="F1649" t="s">
        <v>3399</v>
      </c>
      <c r="G1649" s="180">
        <v>30389</v>
      </c>
      <c r="H1649">
        <v>1966</v>
      </c>
      <c r="J1649" s="1334" t="s">
        <v>475</v>
      </c>
      <c r="K1649" s="1335" t="s">
        <v>481</v>
      </c>
      <c r="L1649" s="180">
        <v>0</v>
      </c>
      <c r="M1649" t="s">
        <v>67</v>
      </c>
      <c r="N1649" t="str">
        <f t="shared" si="102"/>
        <v>DIAGNOSTIC/BIOSAFT (4901)</v>
      </c>
      <c r="O1649" t="s">
        <v>52</v>
      </c>
      <c r="P1649" t="str">
        <f t="shared" si="103"/>
        <v>18000_4901</v>
      </c>
      <c r="Q1649" s="180">
        <v>0</v>
      </c>
    </row>
    <row r="1650" spans="1:17">
      <c r="A1650" t="str">
        <f t="shared" si="100"/>
        <v>UGA_4902</v>
      </c>
      <c r="B1650" t="str">
        <f t="shared" si="101"/>
        <v>UGA_LAB &amp; STOR BLDG</v>
      </c>
      <c r="C1650" t="s">
        <v>443</v>
      </c>
      <c r="D1650" s="180" t="s">
        <v>51</v>
      </c>
      <c r="E1650" t="s">
        <v>2234</v>
      </c>
      <c r="F1650" t="s">
        <v>2235</v>
      </c>
      <c r="G1650" s="180">
        <v>6302</v>
      </c>
      <c r="H1650">
        <v>1950</v>
      </c>
      <c r="J1650" s="1334" t="s">
        <v>475</v>
      </c>
      <c r="K1650" s="1335" t="s">
        <v>475</v>
      </c>
      <c r="L1650" s="180">
        <v>0</v>
      </c>
      <c r="M1650" t="s">
        <v>67</v>
      </c>
      <c r="N1650" t="str">
        <f t="shared" si="102"/>
        <v>LAB &amp; STOR BLDG (4902)</v>
      </c>
      <c r="O1650" t="s">
        <v>52</v>
      </c>
      <c r="P1650" t="str">
        <f t="shared" si="103"/>
        <v>18000_4902</v>
      </c>
      <c r="Q1650" s="180">
        <v>0</v>
      </c>
    </row>
    <row r="1651" spans="1:17">
      <c r="A1651" t="str">
        <f t="shared" si="100"/>
        <v>UGA_4903</v>
      </c>
      <c r="B1651" t="str">
        <f t="shared" si="101"/>
        <v>UGA_GA POULTRY ASSOC</v>
      </c>
      <c r="C1651" t="s">
        <v>443</v>
      </c>
      <c r="D1651" s="180" t="s">
        <v>51</v>
      </c>
      <c r="E1651" t="s">
        <v>3748</v>
      </c>
      <c r="F1651" t="s">
        <v>3749</v>
      </c>
      <c r="G1651" s="180">
        <v>1152</v>
      </c>
      <c r="H1651">
        <v>1955</v>
      </c>
      <c r="J1651" s="1334" t="s">
        <v>475</v>
      </c>
      <c r="K1651" s="1335" t="s">
        <v>1520</v>
      </c>
      <c r="L1651" s="180">
        <v>0</v>
      </c>
      <c r="M1651" t="s">
        <v>67</v>
      </c>
      <c r="N1651" t="str">
        <f t="shared" si="102"/>
        <v>GA POULTRY ASSOC (4903)</v>
      </c>
      <c r="O1651" t="s">
        <v>52</v>
      </c>
      <c r="P1651" t="str">
        <f t="shared" si="103"/>
        <v>18000_4903</v>
      </c>
      <c r="Q1651" s="180">
        <v>0</v>
      </c>
    </row>
    <row r="1652" spans="1:17">
      <c r="A1652" t="str">
        <f t="shared" si="100"/>
        <v>UGA_4904</v>
      </c>
      <c r="B1652" t="str">
        <f t="shared" si="101"/>
        <v>UGA_SMALL ANIMAL BARN</v>
      </c>
      <c r="C1652" t="s">
        <v>443</v>
      </c>
      <c r="D1652" s="180" t="s">
        <v>51</v>
      </c>
      <c r="E1652" t="s">
        <v>3543</v>
      </c>
      <c r="F1652" t="s">
        <v>3544</v>
      </c>
      <c r="G1652" s="180">
        <v>3060</v>
      </c>
      <c r="H1652">
        <v>1968</v>
      </c>
      <c r="J1652" s="1334" t="s">
        <v>475</v>
      </c>
      <c r="K1652" s="1335" t="s">
        <v>475</v>
      </c>
      <c r="L1652" s="180">
        <v>0</v>
      </c>
      <c r="M1652" t="s">
        <v>67</v>
      </c>
      <c r="N1652" t="str">
        <f t="shared" si="102"/>
        <v>SMALL ANIMAL BARN (4904)</v>
      </c>
      <c r="O1652" t="s">
        <v>52</v>
      </c>
      <c r="P1652" t="str">
        <f t="shared" si="103"/>
        <v>18000_4904</v>
      </c>
      <c r="Q1652" s="180">
        <v>100</v>
      </c>
    </row>
    <row r="1653" spans="1:17">
      <c r="A1653" t="str">
        <f t="shared" si="100"/>
        <v>UGA_4905</v>
      </c>
      <c r="B1653" t="str">
        <f t="shared" si="101"/>
        <v>UGA_ISOLATION BUILDING</v>
      </c>
      <c r="C1653" t="s">
        <v>443</v>
      </c>
      <c r="D1653" s="180" t="s">
        <v>51</v>
      </c>
      <c r="E1653" t="s">
        <v>1699</v>
      </c>
      <c r="F1653" t="s">
        <v>1700</v>
      </c>
      <c r="G1653" s="180">
        <v>2018</v>
      </c>
      <c r="H1653">
        <v>1954</v>
      </c>
      <c r="J1653" s="1334" t="s">
        <v>475</v>
      </c>
      <c r="K1653" s="1335" t="s">
        <v>1520</v>
      </c>
      <c r="L1653" s="180">
        <v>0</v>
      </c>
      <c r="M1653" t="s">
        <v>67</v>
      </c>
      <c r="N1653" t="str">
        <f t="shared" si="102"/>
        <v>ISOLATION BUILDING (4905)</v>
      </c>
      <c r="O1653" t="s">
        <v>52</v>
      </c>
      <c r="P1653" t="str">
        <f t="shared" si="103"/>
        <v>18000_4905</v>
      </c>
      <c r="Q1653" s="180">
        <v>100</v>
      </c>
    </row>
    <row r="1654" spans="1:17">
      <c r="A1654" t="str">
        <f t="shared" si="100"/>
        <v>UGA_4906</v>
      </c>
      <c r="B1654" t="str">
        <f t="shared" si="101"/>
        <v>UGA_EQUIPMENT STORAGE</v>
      </c>
      <c r="C1654" t="s">
        <v>443</v>
      </c>
      <c r="D1654" s="180" t="s">
        <v>51</v>
      </c>
      <c r="E1654" t="s">
        <v>1863</v>
      </c>
      <c r="F1654" t="s">
        <v>1864</v>
      </c>
      <c r="G1654" s="180">
        <v>1575</v>
      </c>
      <c r="H1654">
        <v>1966</v>
      </c>
      <c r="J1654" s="1334" t="s">
        <v>475</v>
      </c>
      <c r="K1654" s="1335" t="s">
        <v>475</v>
      </c>
      <c r="L1654" s="180">
        <v>0</v>
      </c>
      <c r="M1654" t="s">
        <v>67</v>
      </c>
      <c r="N1654" t="str">
        <f t="shared" si="102"/>
        <v>EQUIPMENT STORAGE (4906)</v>
      </c>
      <c r="O1654" t="s">
        <v>52</v>
      </c>
      <c r="P1654" t="str">
        <f t="shared" si="103"/>
        <v>18000_4906</v>
      </c>
      <c r="Q1654" s="180">
        <v>0</v>
      </c>
    </row>
    <row r="1655" spans="1:17">
      <c r="A1655" t="str">
        <f t="shared" si="100"/>
        <v>UGA_4908</v>
      </c>
      <c r="B1655" t="str">
        <f t="shared" si="101"/>
        <v>UGA_DIAG LAB MAINT</v>
      </c>
      <c r="C1655" t="s">
        <v>443</v>
      </c>
      <c r="D1655" s="180" t="s">
        <v>51</v>
      </c>
      <c r="E1655" t="s">
        <v>3190</v>
      </c>
      <c r="F1655" t="s">
        <v>3191</v>
      </c>
      <c r="G1655" s="180">
        <v>1319</v>
      </c>
      <c r="H1655">
        <v>1966</v>
      </c>
      <c r="J1655" s="1334" t="s">
        <v>475</v>
      </c>
      <c r="K1655" s="1335" t="s">
        <v>475</v>
      </c>
      <c r="L1655" s="180">
        <v>0</v>
      </c>
      <c r="M1655" t="s">
        <v>67</v>
      </c>
      <c r="N1655" t="str">
        <f t="shared" si="102"/>
        <v>DIAG LAB MAINT (4908)</v>
      </c>
      <c r="O1655" t="s">
        <v>52</v>
      </c>
      <c r="P1655" t="str">
        <f t="shared" si="103"/>
        <v>18000_4908</v>
      </c>
      <c r="Q1655" s="180">
        <v>100</v>
      </c>
    </row>
    <row r="1656" spans="1:17">
      <c r="A1656" t="str">
        <f t="shared" si="100"/>
        <v>UGA_4910</v>
      </c>
      <c r="B1656" t="str">
        <f t="shared" si="101"/>
        <v>UGA_ANIM HOLDING AREA</v>
      </c>
      <c r="C1656" t="s">
        <v>443</v>
      </c>
      <c r="D1656" s="180" t="s">
        <v>51</v>
      </c>
      <c r="E1656" t="s">
        <v>1663</v>
      </c>
      <c r="F1656" t="s">
        <v>1664</v>
      </c>
      <c r="G1656" s="180">
        <v>4320</v>
      </c>
      <c r="H1656">
        <v>1964</v>
      </c>
      <c r="J1656" s="1334" t="s">
        <v>475</v>
      </c>
      <c r="K1656" s="1335" t="s">
        <v>481</v>
      </c>
      <c r="L1656" s="180">
        <v>0</v>
      </c>
      <c r="M1656" t="s">
        <v>67</v>
      </c>
      <c r="N1656" t="str">
        <f t="shared" si="102"/>
        <v>ANIM HOLDING AREA (4910)</v>
      </c>
      <c r="O1656" t="s">
        <v>52</v>
      </c>
      <c r="P1656" t="str">
        <f t="shared" si="103"/>
        <v>18000_4910</v>
      </c>
      <c r="Q1656" s="180">
        <v>100</v>
      </c>
    </row>
    <row r="1657" spans="1:17">
      <c r="A1657" t="str">
        <f t="shared" si="100"/>
        <v>UGA_4930</v>
      </c>
      <c r="B1657" t="str">
        <f t="shared" si="101"/>
        <v>UGA_PROPTY MGMT FACIL</v>
      </c>
      <c r="C1657" t="s">
        <v>443</v>
      </c>
      <c r="D1657" s="180" t="s">
        <v>51</v>
      </c>
      <c r="E1657" t="s">
        <v>2159</v>
      </c>
      <c r="F1657" t="s">
        <v>2160</v>
      </c>
      <c r="G1657" s="180">
        <v>5000</v>
      </c>
      <c r="H1657">
        <v>2017</v>
      </c>
      <c r="J1657" s="1334" t="s">
        <v>475</v>
      </c>
      <c r="K1657" s="1335" t="s">
        <v>901</v>
      </c>
      <c r="L1657" s="180">
        <v>0</v>
      </c>
      <c r="M1657" t="s">
        <v>67</v>
      </c>
      <c r="N1657" t="str">
        <f t="shared" si="102"/>
        <v>PROPTY MGMT FACIL (4930)</v>
      </c>
      <c r="O1657" t="s">
        <v>52</v>
      </c>
      <c r="P1657" t="str">
        <f t="shared" si="103"/>
        <v>18000_4930</v>
      </c>
      <c r="Q1657" s="180">
        <v>100</v>
      </c>
    </row>
    <row r="1658" spans="1:17">
      <c r="A1658" t="str">
        <f t="shared" si="100"/>
        <v>UGA_4940</v>
      </c>
      <c r="B1658" t="str">
        <f t="shared" si="101"/>
        <v>UGA_PONDER: EQUIP STG</v>
      </c>
      <c r="C1658" t="s">
        <v>443</v>
      </c>
      <c r="D1658" s="180" t="s">
        <v>51</v>
      </c>
      <c r="E1658" t="s">
        <v>1470</v>
      </c>
      <c r="F1658" t="s">
        <v>1471</v>
      </c>
      <c r="G1658" s="180">
        <v>3000</v>
      </c>
      <c r="H1658">
        <v>1974</v>
      </c>
      <c r="J1658" s="1334" t="s">
        <v>475</v>
      </c>
      <c r="K1658" s="1335" t="s">
        <v>475</v>
      </c>
      <c r="L1658" s="180">
        <v>0</v>
      </c>
      <c r="M1658" t="s">
        <v>67</v>
      </c>
      <c r="N1658" t="str">
        <f t="shared" si="102"/>
        <v>PONDER: EQUIP STG (4940)</v>
      </c>
      <c r="O1658" t="s">
        <v>52</v>
      </c>
      <c r="P1658" t="str">
        <f t="shared" si="103"/>
        <v>18000_4940</v>
      </c>
      <c r="Q1658" s="180">
        <v>100</v>
      </c>
    </row>
    <row r="1659" spans="1:17">
      <c r="A1659" t="str">
        <f t="shared" si="100"/>
        <v>UGA_4941</v>
      </c>
      <c r="B1659" t="str">
        <f t="shared" si="101"/>
        <v>UGA_PONDER: HORT EQUIP</v>
      </c>
      <c r="C1659" t="s">
        <v>443</v>
      </c>
      <c r="D1659" s="180" t="s">
        <v>51</v>
      </c>
      <c r="E1659" t="s">
        <v>2448</v>
      </c>
      <c r="F1659" t="s">
        <v>2449</v>
      </c>
      <c r="G1659" s="180">
        <v>1500</v>
      </c>
      <c r="H1659">
        <v>1994</v>
      </c>
      <c r="J1659" s="1334" t="s">
        <v>475</v>
      </c>
      <c r="K1659" s="1335" t="s">
        <v>475</v>
      </c>
      <c r="L1659" s="180">
        <v>0</v>
      </c>
      <c r="M1659" t="s">
        <v>67</v>
      </c>
      <c r="N1659" t="str">
        <f t="shared" si="102"/>
        <v>PONDER: HORT EQUIP (4941)</v>
      </c>
      <c r="O1659" t="s">
        <v>52</v>
      </c>
      <c r="P1659" t="str">
        <f t="shared" si="103"/>
        <v>18000_4941</v>
      </c>
      <c r="Q1659" s="180">
        <v>100</v>
      </c>
    </row>
    <row r="1660" spans="1:17">
      <c r="A1660" t="str">
        <f t="shared" si="100"/>
        <v>UGA_4942</v>
      </c>
      <c r="B1660" t="str">
        <f t="shared" si="101"/>
        <v>UGA_PONDER:FIELD RS EQ</v>
      </c>
      <c r="C1660" t="s">
        <v>443</v>
      </c>
      <c r="D1660" s="180" t="s">
        <v>51</v>
      </c>
      <c r="E1660" t="s">
        <v>2161</v>
      </c>
      <c r="F1660" t="s">
        <v>2162</v>
      </c>
      <c r="G1660" s="180">
        <v>4000</v>
      </c>
      <c r="H1660">
        <v>1994</v>
      </c>
      <c r="J1660" s="1334" t="s">
        <v>475</v>
      </c>
      <c r="K1660" s="1335" t="s">
        <v>475</v>
      </c>
      <c r="L1660" s="180">
        <v>0</v>
      </c>
      <c r="M1660" t="s">
        <v>67</v>
      </c>
      <c r="N1660" t="str">
        <f t="shared" si="102"/>
        <v>PONDER:FIELD RS EQ (4942)</v>
      </c>
      <c r="O1660" t="s">
        <v>52</v>
      </c>
      <c r="P1660" t="str">
        <f t="shared" si="103"/>
        <v>18000_4942</v>
      </c>
      <c r="Q1660" s="180">
        <v>100</v>
      </c>
    </row>
    <row r="1661" spans="1:17">
      <c r="A1661" t="str">
        <f t="shared" si="100"/>
        <v>UGA_4943</v>
      </c>
      <c r="B1661" t="str">
        <f t="shared" si="101"/>
        <v>UGA_PONDER:JOHNSON IMP</v>
      </c>
      <c r="C1661" t="s">
        <v>443</v>
      </c>
      <c r="D1661" s="180" t="s">
        <v>51</v>
      </c>
      <c r="E1661" t="s">
        <v>1614</v>
      </c>
      <c r="F1661" t="s">
        <v>1615</v>
      </c>
      <c r="G1661" s="180">
        <v>3200</v>
      </c>
      <c r="H1661">
        <v>1997</v>
      </c>
      <c r="J1661" s="1334" t="s">
        <v>475</v>
      </c>
      <c r="K1661" s="1335" t="s">
        <v>475</v>
      </c>
      <c r="L1661" s="180">
        <v>0</v>
      </c>
      <c r="M1661" t="s">
        <v>67</v>
      </c>
      <c r="N1661" t="str">
        <f t="shared" si="102"/>
        <v>PONDER:JOHNSON IMP (4943)</v>
      </c>
      <c r="O1661" t="s">
        <v>52</v>
      </c>
      <c r="P1661" t="str">
        <f t="shared" si="103"/>
        <v>18000_4943</v>
      </c>
      <c r="Q1661" s="180">
        <v>100</v>
      </c>
    </row>
    <row r="1662" spans="1:17">
      <c r="A1662" t="str">
        <f t="shared" si="100"/>
        <v>UGA_4944</v>
      </c>
      <c r="B1662" t="str">
        <f t="shared" si="101"/>
        <v>UGA_PONDER:EASTIN IMP</v>
      </c>
      <c r="C1662" t="s">
        <v>443</v>
      </c>
      <c r="D1662" s="180" t="s">
        <v>51</v>
      </c>
      <c r="E1662" t="s">
        <v>2048</v>
      </c>
      <c r="F1662" t="s">
        <v>2049</v>
      </c>
      <c r="G1662" s="180">
        <v>1500</v>
      </c>
      <c r="H1662">
        <v>1997</v>
      </c>
      <c r="J1662" s="1334" t="s">
        <v>475</v>
      </c>
      <c r="K1662" s="1335" t="s">
        <v>475</v>
      </c>
      <c r="L1662" s="180">
        <v>0</v>
      </c>
      <c r="M1662" t="s">
        <v>67</v>
      </c>
      <c r="N1662" t="str">
        <f t="shared" si="102"/>
        <v>PONDER:EASTIN IMP (4944)</v>
      </c>
      <c r="O1662" t="s">
        <v>52</v>
      </c>
      <c r="P1662" t="str">
        <f t="shared" si="103"/>
        <v>18000_4944</v>
      </c>
      <c r="Q1662" s="180">
        <v>100</v>
      </c>
    </row>
    <row r="1663" spans="1:17">
      <c r="A1663" t="str">
        <f t="shared" si="100"/>
        <v>UGA_4945</v>
      </c>
      <c r="B1663" t="str">
        <f t="shared" si="101"/>
        <v>UGA_PONDER:DUTCHER GAR</v>
      </c>
      <c r="C1663" t="s">
        <v>443</v>
      </c>
      <c r="D1663" s="180" t="s">
        <v>51</v>
      </c>
      <c r="E1663" t="s">
        <v>3510</v>
      </c>
      <c r="F1663" t="s">
        <v>3511</v>
      </c>
      <c r="G1663" s="180">
        <v>288</v>
      </c>
      <c r="H1663">
        <v>1998</v>
      </c>
      <c r="J1663" s="1334" t="s">
        <v>475</v>
      </c>
      <c r="K1663" s="1335" t="s">
        <v>475</v>
      </c>
      <c r="L1663" s="180">
        <v>0</v>
      </c>
      <c r="M1663" t="s">
        <v>67</v>
      </c>
      <c r="N1663" t="str">
        <f t="shared" si="102"/>
        <v>PONDER:DUTCHER GAR (4945)</v>
      </c>
      <c r="O1663" t="s">
        <v>52</v>
      </c>
      <c r="P1663" t="str">
        <f t="shared" si="103"/>
        <v>18000_4945</v>
      </c>
      <c r="Q1663" s="180">
        <v>100</v>
      </c>
    </row>
    <row r="1664" spans="1:17">
      <c r="A1664" t="str">
        <f t="shared" si="100"/>
        <v>UGA_4947</v>
      </c>
      <c r="B1664" t="str">
        <f t="shared" si="101"/>
        <v>UGA_PONDER FM SECD SHEL</v>
      </c>
      <c r="C1664" t="s">
        <v>443</v>
      </c>
      <c r="D1664" s="180" t="s">
        <v>51</v>
      </c>
      <c r="E1664" t="s">
        <v>4110</v>
      </c>
      <c r="F1664" t="s">
        <v>4111</v>
      </c>
      <c r="G1664" s="180">
        <v>5400</v>
      </c>
      <c r="H1664">
        <v>2015</v>
      </c>
      <c r="J1664" s="1334" t="s">
        <v>475</v>
      </c>
      <c r="K1664" s="1335" t="s">
        <v>475</v>
      </c>
      <c r="L1664" s="180">
        <v>0</v>
      </c>
      <c r="M1664" t="s">
        <v>67</v>
      </c>
      <c r="N1664" t="str">
        <f t="shared" si="102"/>
        <v>PONDER FM SECD SHEL (4947)</v>
      </c>
      <c r="O1664" t="s">
        <v>52</v>
      </c>
      <c r="P1664" t="str">
        <f t="shared" si="103"/>
        <v>18000_4947</v>
      </c>
      <c r="Q1664" s="180">
        <v>100</v>
      </c>
    </row>
    <row r="1665" spans="1:17">
      <c r="A1665" t="str">
        <f t="shared" si="100"/>
        <v>UGA_4948</v>
      </c>
      <c r="B1665" t="str">
        <f t="shared" si="101"/>
        <v>UGA_ENTOM EQ STG SHLTR</v>
      </c>
      <c r="C1665" t="s">
        <v>443</v>
      </c>
      <c r="D1665" s="180" t="s">
        <v>51</v>
      </c>
      <c r="E1665" t="s">
        <v>3866</v>
      </c>
      <c r="F1665" t="s">
        <v>3867</v>
      </c>
      <c r="G1665" s="180">
        <v>1650</v>
      </c>
      <c r="H1665">
        <v>2014</v>
      </c>
      <c r="J1665" s="1334" t="s">
        <v>475</v>
      </c>
      <c r="K1665" s="1335" t="s">
        <v>475</v>
      </c>
      <c r="L1665" s="180">
        <v>0</v>
      </c>
      <c r="M1665" t="s">
        <v>67</v>
      </c>
      <c r="N1665" t="str">
        <f t="shared" si="102"/>
        <v>ENTOM EQ STG SHLTR (4948)</v>
      </c>
      <c r="O1665" t="s">
        <v>52</v>
      </c>
      <c r="P1665" t="str">
        <f t="shared" si="103"/>
        <v>18000_4948</v>
      </c>
      <c r="Q1665" s="180">
        <v>100</v>
      </c>
    </row>
    <row r="1666" spans="1:17">
      <c r="A1666" t="str">
        <f t="shared" si="100"/>
        <v>UGA_4949</v>
      </c>
      <c r="B1666" t="str">
        <f t="shared" si="101"/>
        <v>UGA_DRY COW BARN</v>
      </c>
      <c r="C1666" t="s">
        <v>443</v>
      </c>
      <c r="D1666" s="180" t="s">
        <v>51</v>
      </c>
      <c r="E1666" t="s">
        <v>3086</v>
      </c>
      <c r="F1666" t="s">
        <v>3087</v>
      </c>
      <c r="G1666" s="180">
        <v>11256</v>
      </c>
      <c r="H1666">
        <v>2016</v>
      </c>
      <c r="J1666" s="1334" t="s">
        <v>475</v>
      </c>
      <c r="K1666" s="1335" t="s">
        <v>475</v>
      </c>
      <c r="L1666" s="180">
        <v>0</v>
      </c>
      <c r="M1666" t="s">
        <v>67</v>
      </c>
      <c r="N1666" t="str">
        <f t="shared" si="102"/>
        <v>DRY COW BARN (4949)</v>
      </c>
      <c r="O1666" t="s">
        <v>52</v>
      </c>
      <c r="P1666" t="str">
        <f t="shared" si="103"/>
        <v>18000_4949</v>
      </c>
      <c r="Q1666" s="180">
        <v>100</v>
      </c>
    </row>
    <row r="1667" spans="1:17">
      <c r="A1667" t="str">
        <f t="shared" ref="A1667:A1730" si="104">_xlfn.CONCAT(D1667,"_",E1667)</f>
        <v>UGA_4975</v>
      </c>
      <c r="B1667" t="str">
        <f t="shared" ref="B1667:B1730" si="105">_xlfn.CONCAT(D1667,"_",F1667)</f>
        <v>UGA_AN SCI FRM STORAGE</v>
      </c>
      <c r="C1667" t="s">
        <v>443</v>
      </c>
      <c r="D1667" s="180" t="s">
        <v>51</v>
      </c>
      <c r="E1667" t="s">
        <v>2830</v>
      </c>
      <c r="F1667" t="s">
        <v>2831</v>
      </c>
      <c r="G1667" s="180">
        <v>320</v>
      </c>
      <c r="H1667">
        <v>2006</v>
      </c>
      <c r="J1667" s="1334" t="s">
        <v>475</v>
      </c>
      <c r="K1667" s="1335" t="s">
        <v>475</v>
      </c>
      <c r="L1667" s="180">
        <v>0</v>
      </c>
      <c r="M1667" t="s">
        <v>67</v>
      </c>
      <c r="N1667" t="str">
        <f t="shared" ref="N1667:N1730" si="106">_xlfn.CONCAT(F1667," (",E1667,")")</f>
        <v>AN SCI FRM STORAGE (4975)</v>
      </c>
      <c r="O1667" t="s">
        <v>52</v>
      </c>
      <c r="P1667" t="str">
        <f t="shared" ref="P1667:P1730" si="107">_xlfn.CONCAT(C1667,"_",E1667)</f>
        <v>18000_4975</v>
      </c>
      <c r="Q1667" s="180">
        <v>100</v>
      </c>
    </row>
    <row r="1668" spans="1:17">
      <c r="A1668" t="str">
        <f t="shared" si="104"/>
        <v>UGA_5001</v>
      </c>
      <c r="B1668" t="str">
        <f t="shared" si="105"/>
        <v>UGA_ROCK EGL:COTTAGE 1</v>
      </c>
      <c r="C1668" t="s">
        <v>443</v>
      </c>
      <c r="D1668" s="180" t="s">
        <v>51</v>
      </c>
      <c r="E1668" t="s">
        <v>3234</v>
      </c>
      <c r="F1668" t="s">
        <v>3235</v>
      </c>
      <c r="G1668" s="180">
        <v>1536</v>
      </c>
      <c r="H1668">
        <v>1953</v>
      </c>
      <c r="J1668" s="1334" t="s">
        <v>475</v>
      </c>
      <c r="K1668" s="1335" t="s">
        <v>486</v>
      </c>
      <c r="L1668" s="180">
        <v>0</v>
      </c>
      <c r="M1668" t="s">
        <v>4</v>
      </c>
      <c r="N1668" t="str">
        <f t="shared" si="106"/>
        <v>ROCK EGL:COTTAGE 1 (5001)</v>
      </c>
      <c r="O1668" t="s">
        <v>52</v>
      </c>
      <c r="P1668" t="str">
        <f t="shared" si="107"/>
        <v>18000_5001</v>
      </c>
      <c r="Q1668" s="180">
        <v>0</v>
      </c>
    </row>
    <row r="1669" spans="1:17">
      <c r="A1669" t="str">
        <f t="shared" si="104"/>
        <v>UGA_5002</v>
      </c>
      <c r="B1669" t="str">
        <f t="shared" si="105"/>
        <v>UGA_COTTAGE 2</v>
      </c>
      <c r="C1669" t="s">
        <v>443</v>
      </c>
      <c r="D1669" s="180" t="s">
        <v>51</v>
      </c>
      <c r="E1669" t="s">
        <v>3192</v>
      </c>
      <c r="F1669" t="s">
        <v>3193</v>
      </c>
      <c r="G1669" s="180">
        <v>3322</v>
      </c>
      <c r="H1669">
        <v>1953</v>
      </c>
      <c r="J1669" s="1334" t="s">
        <v>475</v>
      </c>
      <c r="K1669" s="1335" t="s">
        <v>486</v>
      </c>
      <c r="L1669" s="180">
        <v>0</v>
      </c>
      <c r="M1669" t="s">
        <v>4</v>
      </c>
      <c r="N1669" t="str">
        <f t="shared" si="106"/>
        <v>COTTAGE 2 (5002)</v>
      </c>
      <c r="O1669" t="s">
        <v>52</v>
      </c>
      <c r="P1669" t="str">
        <f t="shared" si="107"/>
        <v>18000_5002</v>
      </c>
      <c r="Q1669" s="180">
        <v>100</v>
      </c>
    </row>
    <row r="1670" spans="1:17">
      <c r="A1670" t="str">
        <f t="shared" si="104"/>
        <v>UGA_5003</v>
      </c>
      <c r="B1670" t="str">
        <f t="shared" si="105"/>
        <v>UGA_COTTAGE 3</v>
      </c>
      <c r="C1670" t="s">
        <v>443</v>
      </c>
      <c r="D1670" s="180" t="s">
        <v>51</v>
      </c>
      <c r="E1670" t="s">
        <v>2450</v>
      </c>
      <c r="F1670" t="s">
        <v>2451</v>
      </c>
      <c r="G1670" s="180">
        <v>3322</v>
      </c>
      <c r="H1670">
        <v>1953</v>
      </c>
      <c r="J1670" s="1334" t="s">
        <v>475</v>
      </c>
      <c r="K1670" s="1335" t="s">
        <v>486</v>
      </c>
      <c r="L1670" s="180">
        <v>0</v>
      </c>
      <c r="M1670" t="s">
        <v>4</v>
      </c>
      <c r="N1670" t="str">
        <f t="shared" si="106"/>
        <v>COTTAGE 3 (5003)</v>
      </c>
      <c r="O1670" t="s">
        <v>52</v>
      </c>
      <c r="P1670" t="str">
        <f t="shared" si="107"/>
        <v>18000_5003</v>
      </c>
      <c r="Q1670" s="180">
        <v>0</v>
      </c>
    </row>
    <row r="1671" spans="1:17">
      <c r="A1671" t="str">
        <f t="shared" si="104"/>
        <v>UGA_5004</v>
      </c>
      <c r="B1671" t="str">
        <f t="shared" si="105"/>
        <v>UGA_COTTAGE 4</v>
      </c>
      <c r="C1671" t="s">
        <v>443</v>
      </c>
      <c r="D1671" s="180" t="s">
        <v>51</v>
      </c>
      <c r="E1671" t="s">
        <v>2892</v>
      </c>
      <c r="F1671" t="s">
        <v>2893</v>
      </c>
      <c r="G1671" s="180">
        <v>3322</v>
      </c>
      <c r="H1671">
        <v>1953</v>
      </c>
      <c r="J1671" s="1334" t="s">
        <v>475</v>
      </c>
      <c r="K1671" s="1335" t="s">
        <v>475</v>
      </c>
      <c r="L1671" s="180">
        <v>0</v>
      </c>
      <c r="M1671" t="s">
        <v>4</v>
      </c>
      <c r="N1671" t="str">
        <f t="shared" si="106"/>
        <v>COTTAGE 4 (5004)</v>
      </c>
      <c r="O1671" t="s">
        <v>52</v>
      </c>
      <c r="P1671" t="str">
        <f t="shared" si="107"/>
        <v>18000_5004</v>
      </c>
      <c r="Q1671" s="180">
        <v>0</v>
      </c>
    </row>
    <row r="1672" spans="1:17">
      <c r="A1672" t="str">
        <f t="shared" si="104"/>
        <v>UGA_5005</v>
      </c>
      <c r="B1672" t="str">
        <f t="shared" si="105"/>
        <v>UGA_COTTAGE 5</v>
      </c>
      <c r="C1672" t="s">
        <v>443</v>
      </c>
      <c r="D1672" s="180" t="s">
        <v>51</v>
      </c>
      <c r="E1672" t="s">
        <v>1865</v>
      </c>
      <c r="F1672" t="s">
        <v>1866</v>
      </c>
      <c r="G1672" s="180">
        <v>3322</v>
      </c>
      <c r="H1672">
        <v>1953</v>
      </c>
      <c r="J1672" s="1334" t="s">
        <v>475</v>
      </c>
      <c r="K1672" s="1335" t="s">
        <v>475</v>
      </c>
      <c r="L1672" s="180">
        <v>0</v>
      </c>
      <c r="M1672" t="s">
        <v>4</v>
      </c>
      <c r="N1672" t="str">
        <f t="shared" si="106"/>
        <v>COTTAGE 5 (5005)</v>
      </c>
      <c r="O1672" t="s">
        <v>52</v>
      </c>
      <c r="P1672" t="str">
        <f t="shared" si="107"/>
        <v>18000_5005</v>
      </c>
      <c r="Q1672" s="180">
        <v>0</v>
      </c>
    </row>
    <row r="1673" spans="1:17">
      <c r="A1673" t="str">
        <f t="shared" si="104"/>
        <v>UGA_5006</v>
      </c>
      <c r="B1673" t="str">
        <f t="shared" si="105"/>
        <v>UGA_COTTAGE 6</v>
      </c>
      <c r="C1673" t="s">
        <v>443</v>
      </c>
      <c r="D1673" s="180" t="s">
        <v>51</v>
      </c>
      <c r="E1673" t="s">
        <v>4081</v>
      </c>
      <c r="F1673" t="s">
        <v>4082</v>
      </c>
      <c r="G1673" s="180">
        <v>3322</v>
      </c>
      <c r="H1673">
        <v>1953</v>
      </c>
      <c r="J1673" s="1334" t="s">
        <v>475</v>
      </c>
      <c r="K1673" s="1335" t="s">
        <v>475</v>
      </c>
      <c r="L1673" s="180">
        <v>0</v>
      </c>
      <c r="M1673" t="s">
        <v>4</v>
      </c>
      <c r="N1673" t="str">
        <f t="shared" si="106"/>
        <v>COTTAGE 6 (5006)</v>
      </c>
      <c r="O1673" t="s">
        <v>52</v>
      </c>
      <c r="P1673" t="str">
        <f t="shared" si="107"/>
        <v>18000_5006</v>
      </c>
      <c r="Q1673" s="180">
        <v>100</v>
      </c>
    </row>
    <row r="1674" spans="1:17">
      <c r="A1674" t="str">
        <f t="shared" si="104"/>
        <v>UGA_5007</v>
      </c>
      <c r="B1674" t="str">
        <f t="shared" si="105"/>
        <v>UGA_COTTAGE 7</v>
      </c>
      <c r="C1674" t="s">
        <v>443</v>
      </c>
      <c r="D1674" s="180" t="s">
        <v>51</v>
      </c>
      <c r="E1674" t="s">
        <v>2273</v>
      </c>
      <c r="F1674" t="s">
        <v>2274</v>
      </c>
      <c r="G1674" s="180">
        <v>3322</v>
      </c>
      <c r="H1674">
        <v>1953</v>
      </c>
      <c r="J1674" s="1334" t="s">
        <v>475</v>
      </c>
      <c r="K1674" s="1335" t="s">
        <v>475</v>
      </c>
      <c r="L1674" s="180">
        <v>0</v>
      </c>
      <c r="M1674" t="s">
        <v>4</v>
      </c>
      <c r="N1674" t="str">
        <f t="shared" si="106"/>
        <v>COTTAGE 7 (5007)</v>
      </c>
      <c r="O1674" t="s">
        <v>52</v>
      </c>
      <c r="P1674" t="str">
        <f t="shared" si="107"/>
        <v>18000_5007</v>
      </c>
      <c r="Q1674" s="180">
        <v>100</v>
      </c>
    </row>
    <row r="1675" spans="1:17">
      <c r="A1675" t="str">
        <f t="shared" si="104"/>
        <v>UGA_5008</v>
      </c>
      <c r="B1675" t="str">
        <f t="shared" si="105"/>
        <v>UGA_COTTAGE 8</v>
      </c>
      <c r="C1675" t="s">
        <v>443</v>
      </c>
      <c r="D1675" s="180" t="s">
        <v>51</v>
      </c>
      <c r="E1675" t="s">
        <v>1496</v>
      </c>
      <c r="F1675" t="s">
        <v>1497</v>
      </c>
      <c r="G1675" s="180">
        <v>3322</v>
      </c>
      <c r="H1675">
        <v>1953</v>
      </c>
      <c r="J1675" s="1334" t="s">
        <v>475</v>
      </c>
      <c r="K1675" s="1335" t="s">
        <v>481</v>
      </c>
      <c r="L1675" s="180">
        <v>0</v>
      </c>
      <c r="M1675" t="s">
        <v>4</v>
      </c>
      <c r="N1675" t="str">
        <f t="shared" si="106"/>
        <v>COTTAGE 8 (5008)</v>
      </c>
      <c r="O1675" t="s">
        <v>52</v>
      </c>
      <c r="P1675" t="str">
        <f t="shared" si="107"/>
        <v>18000_5008</v>
      </c>
      <c r="Q1675" s="180">
        <v>100</v>
      </c>
    </row>
    <row r="1676" spans="1:17">
      <c r="A1676" t="str">
        <f t="shared" si="104"/>
        <v>UGA_5009</v>
      </c>
      <c r="B1676" t="str">
        <f t="shared" si="105"/>
        <v>UGA_COTTAGE 9</v>
      </c>
      <c r="C1676" t="s">
        <v>443</v>
      </c>
      <c r="D1676" s="180" t="s">
        <v>51</v>
      </c>
      <c r="E1676" t="s">
        <v>2163</v>
      </c>
      <c r="F1676" t="s">
        <v>2164</v>
      </c>
      <c r="G1676" s="180">
        <v>3322</v>
      </c>
      <c r="H1676">
        <v>1953</v>
      </c>
      <c r="J1676" s="1334" t="s">
        <v>475</v>
      </c>
      <c r="K1676" s="1335" t="s">
        <v>481</v>
      </c>
      <c r="L1676" s="180">
        <v>0</v>
      </c>
      <c r="M1676" t="s">
        <v>4</v>
      </c>
      <c r="N1676" t="str">
        <f t="shared" si="106"/>
        <v>COTTAGE 9 (5009)</v>
      </c>
      <c r="O1676" t="s">
        <v>52</v>
      </c>
      <c r="P1676" t="str">
        <f t="shared" si="107"/>
        <v>18000_5009</v>
      </c>
      <c r="Q1676" s="180">
        <v>100</v>
      </c>
    </row>
    <row r="1677" spans="1:17">
      <c r="A1677" t="str">
        <f t="shared" si="104"/>
        <v>UGA_5010</v>
      </c>
      <c r="B1677" t="str">
        <f t="shared" si="105"/>
        <v>UGA_COTTAGE 10</v>
      </c>
      <c r="C1677" t="s">
        <v>443</v>
      </c>
      <c r="D1677" s="180" t="s">
        <v>51</v>
      </c>
      <c r="E1677" t="s">
        <v>3566</v>
      </c>
      <c r="F1677" t="s">
        <v>3567</v>
      </c>
      <c r="G1677" s="180">
        <v>3322</v>
      </c>
      <c r="H1677">
        <v>1953</v>
      </c>
      <c r="J1677" s="1334" t="s">
        <v>475</v>
      </c>
      <c r="K1677" s="1335" t="s">
        <v>481</v>
      </c>
      <c r="L1677" s="180">
        <v>0</v>
      </c>
      <c r="M1677" t="s">
        <v>4</v>
      </c>
      <c r="N1677" t="str">
        <f t="shared" si="106"/>
        <v>COTTAGE 10 (5010)</v>
      </c>
      <c r="O1677" t="s">
        <v>52</v>
      </c>
      <c r="P1677" t="str">
        <f t="shared" si="107"/>
        <v>18000_5010</v>
      </c>
      <c r="Q1677" s="180">
        <v>100</v>
      </c>
    </row>
    <row r="1678" spans="1:17">
      <c r="A1678" t="str">
        <f t="shared" si="104"/>
        <v>UGA_5011</v>
      </c>
      <c r="B1678" t="str">
        <f t="shared" si="105"/>
        <v>UGA_COTTAGE 11</v>
      </c>
      <c r="C1678" t="s">
        <v>443</v>
      </c>
      <c r="D1678" s="180" t="s">
        <v>51</v>
      </c>
      <c r="E1678" t="s">
        <v>4170</v>
      </c>
      <c r="F1678" t="s">
        <v>4171</v>
      </c>
      <c r="G1678" s="180">
        <v>3322</v>
      </c>
      <c r="H1678">
        <v>1957</v>
      </c>
      <c r="J1678" s="1334" t="s">
        <v>475</v>
      </c>
      <c r="K1678" s="1335" t="s">
        <v>481</v>
      </c>
      <c r="L1678" s="180">
        <v>0</v>
      </c>
      <c r="M1678" t="s">
        <v>4</v>
      </c>
      <c r="N1678" t="str">
        <f t="shared" si="106"/>
        <v>COTTAGE 11 (5011)</v>
      </c>
      <c r="O1678" t="s">
        <v>52</v>
      </c>
      <c r="P1678" t="str">
        <f t="shared" si="107"/>
        <v>18000_5011</v>
      </c>
      <c r="Q1678" s="180">
        <v>0</v>
      </c>
    </row>
    <row r="1679" spans="1:17">
      <c r="A1679" t="str">
        <f t="shared" si="104"/>
        <v>UGA_5012</v>
      </c>
      <c r="B1679" t="str">
        <f t="shared" si="105"/>
        <v>UGA_COTTAGE 12</v>
      </c>
      <c r="C1679" t="s">
        <v>443</v>
      </c>
      <c r="D1679" s="180" t="s">
        <v>51</v>
      </c>
      <c r="E1679" t="s">
        <v>2894</v>
      </c>
      <c r="F1679" t="s">
        <v>2895</v>
      </c>
      <c r="G1679" s="180">
        <v>3322</v>
      </c>
      <c r="H1679">
        <v>1953</v>
      </c>
      <c r="J1679" s="1334" t="s">
        <v>475</v>
      </c>
      <c r="K1679" s="1335" t="s">
        <v>481</v>
      </c>
      <c r="L1679" s="180">
        <v>0</v>
      </c>
      <c r="M1679" t="s">
        <v>4</v>
      </c>
      <c r="N1679" t="str">
        <f t="shared" si="106"/>
        <v>COTTAGE 12 (5012)</v>
      </c>
      <c r="O1679" t="s">
        <v>52</v>
      </c>
      <c r="P1679" t="str">
        <f t="shared" si="107"/>
        <v>18000_5012</v>
      </c>
      <c r="Q1679" s="180">
        <v>0</v>
      </c>
    </row>
    <row r="1680" spans="1:17">
      <c r="A1680" t="str">
        <f t="shared" si="104"/>
        <v>UGA_5013</v>
      </c>
      <c r="B1680" t="str">
        <f t="shared" si="105"/>
        <v>UGA_COTTAGE 13</v>
      </c>
      <c r="C1680" t="s">
        <v>443</v>
      </c>
      <c r="D1680" s="180" t="s">
        <v>51</v>
      </c>
      <c r="E1680" t="s">
        <v>2786</v>
      </c>
      <c r="F1680" t="s">
        <v>2787</v>
      </c>
      <c r="G1680" s="180">
        <v>1536</v>
      </c>
      <c r="H1680">
        <v>1953</v>
      </c>
      <c r="J1680" s="1334" t="s">
        <v>475</v>
      </c>
      <c r="K1680" s="1335" t="s">
        <v>1520</v>
      </c>
      <c r="L1680" s="180">
        <v>0</v>
      </c>
      <c r="M1680" t="s">
        <v>4</v>
      </c>
      <c r="N1680" t="str">
        <f t="shared" si="106"/>
        <v>COTTAGE 13 (5013)</v>
      </c>
      <c r="O1680" t="s">
        <v>52</v>
      </c>
      <c r="P1680" t="str">
        <f t="shared" si="107"/>
        <v>18000_5013</v>
      </c>
      <c r="Q1680" s="180">
        <v>100</v>
      </c>
    </row>
    <row r="1681" spans="1:17">
      <c r="A1681" t="str">
        <f t="shared" si="104"/>
        <v>UGA_5014</v>
      </c>
      <c r="B1681" t="str">
        <f t="shared" si="105"/>
        <v>UGA_COTTAGE 14</v>
      </c>
      <c r="C1681" t="s">
        <v>443</v>
      </c>
      <c r="D1681" s="180" t="s">
        <v>51</v>
      </c>
      <c r="E1681" t="s">
        <v>3934</v>
      </c>
      <c r="F1681" t="s">
        <v>3935</v>
      </c>
      <c r="G1681" s="180">
        <v>1536</v>
      </c>
      <c r="H1681">
        <v>1953</v>
      </c>
      <c r="J1681" s="1334" t="s">
        <v>475</v>
      </c>
      <c r="K1681" s="1335" t="s">
        <v>1520</v>
      </c>
      <c r="L1681" s="180">
        <v>0</v>
      </c>
      <c r="M1681" t="s">
        <v>4</v>
      </c>
      <c r="N1681" t="str">
        <f t="shared" si="106"/>
        <v>COTTAGE 14 (5014)</v>
      </c>
      <c r="O1681" t="s">
        <v>52</v>
      </c>
      <c r="P1681" t="str">
        <f t="shared" si="107"/>
        <v>18000_5014</v>
      </c>
      <c r="Q1681" s="180">
        <v>0</v>
      </c>
    </row>
    <row r="1682" spans="1:17">
      <c r="A1682" t="str">
        <f t="shared" si="104"/>
        <v>UGA_5015</v>
      </c>
      <c r="B1682" t="str">
        <f t="shared" si="105"/>
        <v>UGA_COTTAGE 15</v>
      </c>
      <c r="C1682" t="s">
        <v>443</v>
      </c>
      <c r="D1682" s="180" t="s">
        <v>51</v>
      </c>
      <c r="E1682" t="s">
        <v>2938</v>
      </c>
      <c r="F1682" t="s">
        <v>2939</v>
      </c>
      <c r="G1682" s="180">
        <v>1536</v>
      </c>
      <c r="H1682">
        <v>1953</v>
      </c>
      <c r="J1682" s="1334" t="s">
        <v>475</v>
      </c>
      <c r="K1682" s="1335" t="s">
        <v>1520</v>
      </c>
      <c r="L1682" s="180">
        <v>0</v>
      </c>
      <c r="M1682" t="s">
        <v>4</v>
      </c>
      <c r="N1682" t="str">
        <f t="shared" si="106"/>
        <v>COTTAGE 15 (5015)</v>
      </c>
      <c r="O1682" t="s">
        <v>52</v>
      </c>
      <c r="P1682" t="str">
        <f t="shared" si="107"/>
        <v>18000_5015</v>
      </c>
      <c r="Q1682" s="180">
        <v>0</v>
      </c>
    </row>
    <row r="1683" spans="1:17">
      <c r="A1683" t="str">
        <f t="shared" si="104"/>
        <v>UGA_5016</v>
      </c>
      <c r="B1683" t="str">
        <f t="shared" si="105"/>
        <v>UGA_COTTAGE 16</v>
      </c>
      <c r="C1683" t="s">
        <v>443</v>
      </c>
      <c r="D1683" s="180" t="s">
        <v>51</v>
      </c>
      <c r="E1683" t="s">
        <v>2017</v>
      </c>
      <c r="F1683" t="s">
        <v>2018</v>
      </c>
      <c r="G1683" s="180">
        <v>1536</v>
      </c>
      <c r="H1683">
        <v>1953</v>
      </c>
      <c r="J1683" s="1334" t="s">
        <v>475</v>
      </c>
      <c r="K1683" s="1335" t="s">
        <v>486</v>
      </c>
      <c r="L1683" s="180">
        <v>0</v>
      </c>
      <c r="M1683" t="s">
        <v>4</v>
      </c>
      <c r="N1683" t="str">
        <f t="shared" si="106"/>
        <v>COTTAGE 16 (5016)</v>
      </c>
      <c r="O1683" t="s">
        <v>52</v>
      </c>
      <c r="P1683" t="str">
        <f t="shared" si="107"/>
        <v>18000_5016</v>
      </c>
      <c r="Q1683" s="180">
        <v>0</v>
      </c>
    </row>
    <row r="1684" spans="1:17">
      <c r="A1684" t="str">
        <f t="shared" si="104"/>
        <v>UGA_5017</v>
      </c>
      <c r="B1684" t="str">
        <f t="shared" si="105"/>
        <v>UGA_COTTAGE 17</v>
      </c>
      <c r="C1684" t="s">
        <v>443</v>
      </c>
      <c r="D1684" s="180" t="s">
        <v>51</v>
      </c>
      <c r="E1684" t="s">
        <v>3936</v>
      </c>
      <c r="F1684" t="s">
        <v>3937</v>
      </c>
      <c r="G1684" s="180">
        <v>1536</v>
      </c>
      <c r="H1684">
        <v>1953</v>
      </c>
      <c r="J1684" s="1334" t="s">
        <v>475</v>
      </c>
      <c r="K1684" s="1335" t="s">
        <v>1520</v>
      </c>
      <c r="L1684" s="180">
        <v>0</v>
      </c>
      <c r="M1684" t="s">
        <v>4</v>
      </c>
      <c r="N1684" t="str">
        <f t="shared" si="106"/>
        <v>COTTAGE 17 (5017)</v>
      </c>
      <c r="O1684" t="s">
        <v>52</v>
      </c>
      <c r="P1684" t="str">
        <f t="shared" si="107"/>
        <v>18000_5017</v>
      </c>
      <c r="Q1684" s="180">
        <v>1</v>
      </c>
    </row>
    <row r="1685" spans="1:17">
      <c r="A1685" t="str">
        <f t="shared" si="104"/>
        <v>UGA_5018</v>
      </c>
      <c r="B1685" t="str">
        <f t="shared" si="105"/>
        <v>UGA_COTTAGE 18</v>
      </c>
      <c r="C1685" t="s">
        <v>443</v>
      </c>
      <c r="D1685" s="180" t="s">
        <v>51</v>
      </c>
      <c r="E1685" t="s">
        <v>3916</v>
      </c>
      <c r="F1685" t="s">
        <v>3917</v>
      </c>
      <c r="G1685" s="180">
        <v>1536</v>
      </c>
      <c r="H1685">
        <v>1953</v>
      </c>
      <c r="J1685" s="1334" t="s">
        <v>475</v>
      </c>
      <c r="K1685" s="1335" t="s">
        <v>486</v>
      </c>
      <c r="L1685" s="180">
        <v>0</v>
      </c>
      <c r="M1685" t="s">
        <v>4</v>
      </c>
      <c r="N1685" t="str">
        <f t="shared" si="106"/>
        <v>COTTAGE 18 (5018)</v>
      </c>
      <c r="O1685" t="s">
        <v>52</v>
      </c>
      <c r="P1685" t="str">
        <f t="shared" si="107"/>
        <v>18000_5018</v>
      </c>
      <c r="Q1685" s="180">
        <v>3</v>
      </c>
    </row>
    <row r="1686" spans="1:17">
      <c r="A1686" t="str">
        <f t="shared" si="104"/>
        <v>UGA_5019</v>
      </c>
      <c r="B1686" t="str">
        <f t="shared" si="105"/>
        <v>UGA_COTTAGE 19</v>
      </c>
      <c r="C1686" t="s">
        <v>443</v>
      </c>
      <c r="D1686" s="180" t="s">
        <v>51</v>
      </c>
      <c r="E1686" t="s">
        <v>2379</v>
      </c>
      <c r="F1686" t="s">
        <v>2380</v>
      </c>
      <c r="G1686" s="180">
        <v>2970</v>
      </c>
      <c r="H1686">
        <v>1953</v>
      </c>
      <c r="J1686" s="1334" t="s">
        <v>475</v>
      </c>
      <c r="K1686" s="1335" t="s">
        <v>486</v>
      </c>
      <c r="L1686" s="180">
        <v>0</v>
      </c>
      <c r="M1686" t="s">
        <v>4</v>
      </c>
      <c r="N1686" t="str">
        <f t="shared" si="106"/>
        <v>COTTAGE 19 (5019)</v>
      </c>
      <c r="O1686" t="s">
        <v>52</v>
      </c>
      <c r="P1686" t="str">
        <f t="shared" si="107"/>
        <v>18000_5019</v>
      </c>
      <c r="Q1686" s="180">
        <v>1</v>
      </c>
    </row>
    <row r="1687" spans="1:17">
      <c r="A1687" t="str">
        <f t="shared" si="104"/>
        <v>UGA_5020</v>
      </c>
      <c r="B1687" t="str">
        <f t="shared" si="105"/>
        <v>UGA_COTTAGE 20</v>
      </c>
      <c r="C1687" t="s">
        <v>443</v>
      </c>
      <c r="D1687" s="180" t="s">
        <v>51</v>
      </c>
      <c r="E1687" t="s">
        <v>1914</v>
      </c>
      <c r="F1687" t="s">
        <v>1915</v>
      </c>
      <c r="G1687" s="180">
        <v>2970</v>
      </c>
      <c r="H1687">
        <v>1953</v>
      </c>
      <c r="J1687" s="1334" t="s">
        <v>475</v>
      </c>
      <c r="K1687" s="1335" t="s">
        <v>475</v>
      </c>
      <c r="L1687" s="180">
        <v>0</v>
      </c>
      <c r="M1687" t="s">
        <v>4</v>
      </c>
      <c r="N1687" t="str">
        <f t="shared" si="106"/>
        <v>COTTAGE 20 (5020)</v>
      </c>
      <c r="O1687" t="s">
        <v>52</v>
      </c>
      <c r="P1687" t="str">
        <f t="shared" si="107"/>
        <v>18000_5020</v>
      </c>
      <c r="Q1687" s="180">
        <v>0</v>
      </c>
    </row>
    <row r="1688" spans="1:17">
      <c r="A1688" t="str">
        <f t="shared" si="104"/>
        <v>UGA_5021</v>
      </c>
      <c r="B1688" t="str">
        <f t="shared" si="105"/>
        <v>UGA_COTTAGE 21</v>
      </c>
      <c r="C1688" t="s">
        <v>443</v>
      </c>
      <c r="D1688" s="180" t="s">
        <v>51</v>
      </c>
      <c r="E1688" t="s">
        <v>4439</v>
      </c>
      <c r="F1688" t="s">
        <v>4440</v>
      </c>
      <c r="G1688" s="180">
        <v>2970</v>
      </c>
      <c r="H1688">
        <v>1953</v>
      </c>
      <c r="J1688" s="1334" t="s">
        <v>475</v>
      </c>
      <c r="K1688" s="1335" t="s">
        <v>486</v>
      </c>
      <c r="L1688" s="180">
        <v>0</v>
      </c>
      <c r="M1688" t="s">
        <v>4</v>
      </c>
      <c r="N1688" t="str">
        <f t="shared" si="106"/>
        <v>COTTAGE 21 (5021)</v>
      </c>
      <c r="O1688" t="s">
        <v>52</v>
      </c>
      <c r="P1688" t="str">
        <f t="shared" si="107"/>
        <v>18000_5021</v>
      </c>
      <c r="Q1688" s="180">
        <v>0</v>
      </c>
    </row>
    <row r="1689" spans="1:17">
      <c r="A1689" t="str">
        <f t="shared" si="104"/>
        <v>UGA_5022</v>
      </c>
      <c r="B1689" t="str">
        <f t="shared" si="105"/>
        <v>UGA_COTTAGE 22</v>
      </c>
      <c r="C1689" t="s">
        <v>443</v>
      </c>
      <c r="D1689" s="180" t="s">
        <v>51</v>
      </c>
      <c r="E1689" t="s">
        <v>2896</v>
      </c>
      <c r="F1689" t="s">
        <v>2897</v>
      </c>
      <c r="G1689" s="180">
        <v>2970</v>
      </c>
      <c r="H1689">
        <v>1953</v>
      </c>
      <c r="J1689" s="1334" t="s">
        <v>475</v>
      </c>
      <c r="K1689" s="1335" t="s">
        <v>486</v>
      </c>
      <c r="L1689" s="180">
        <v>0</v>
      </c>
      <c r="M1689" t="s">
        <v>4</v>
      </c>
      <c r="N1689" t="str">
        <f t="shared" si="106"/>
        <v>COTTAGE 22 (5022)</v>
      </c>
      <c r="O1689" t="s">
        <v>52</v>
      </c>
      <c r="P1689" t="str">
        <f t="shared" si="107"/>
        <v>18000_5022</v>
      </c>
      <c r="Q1689" s="180">
        <v>1</v>
      </c>
    </row>
    <row r="1690" spans="1:17">
      <c r="A1690" t="str">
        <f t="shared" si="104"/>
        <v>UGA_5023</v>
      </c>
      <c r="B1690" t="str">
        <f t="shared" si="105"/>
        <v>UGA_COTTAGE 23</v>
      </c>
      <c r="C1690" t="s">
        <v>443</v>
      </c>
      <c r="D1690" s="180" t="s">
        <v>51</v>
      </c>
      <c r="E1690" t="s">
        <v>2236</v>
      </c>
      <c r="F1690" t="s">
        <v>2237</v>
      </c>
      <c r="G1690" s="180">
        <v>2970</v>
      </c>
      <c r="H1690">
        <v>1953</v>
      </c>
      <c r="J1690" s="1334" t="s">
        <v>475</v>
      </c>
      <c r="K1690" s="1335" t="s">
        <v>475</v>
      </c>
      <c r="L1690" s="180">
        <v>0</v>
      </c>
      <c r="M1690" t="s">
        <v>4</v>
      </c>
      <c r="N1690" t="str">
        <f t="shared" si="106"/>
        <v>COTTAGE 23 (5023)</v>
      </c>
      <c r="O1690" t="s">
        <v>52</v>
      </c>
      <c r="P1690" t="str">
        <f t="shared" si="107"/>
        <v>18000_5023</v>
      </c>
      <c r="Q1690" s="180">
        <v>1</v>
      </c>
    </row>
    <row r="1691" spans="1:17">
      <c r="A1691" t="str">
        <f t="shared" si="104"/>
        <v>UGA_5024</v>
      </c>
      <c r="B1691" t="str">
        <f t="shared" si="105"/>
        <v>UGA_COTTAGE 24</v>
      </c>
      <c r="C1691" t="s">
        <v>443</v>
      </c>
      <c r="D1691" s="180" t="s">
        <v>51</v>
      </c>
      <c r="E1691" t="s">
        <v>3194</v>
      </c>
      <c r="F1691" t="s">
        <v>3195</v>
      </c>
      <c r="G1691" s="180">
        <v>2970</v>
      </c>
      <c r="H1691">
        <v>1953</v>
      </c>
      <c r="J1691" s="1334" t="s">
        <v>475</v>
      </c>
      <c r="K1691" s="1335" t="s">
        <v>475</v>
      </c>
      <c r="L1691" s="180">
        <v>0</v>
      </c>
      <c r="M1691" t="s">
        <v>4</v>
      </c>
      <c r="N1691" t="str">
        <f t="shared" si="106"/>
        <v>COTTAGE 24 (5024)</v>
      </c>
      <c r="O1691" t="s">
        <v>52</v>
      </c>
      <c r="P1691" t="str">
        <f t="shared" si="107"/>
        <v>18000_5024</v>
      </c>
      <c r="Q1691" s="180">
        <v>0</v>
      </c>
    </row>
    <row r="1692" spans="1:17">
      <c r="A1692" t="str">
        <f t="shared" si="104"/>
        <v>UGA_5025</v>
      </c>
      <c r="B1692" t="str">
        <f t="shared" si="105"/>
        <v>UGA_COTTAGE 25</v>
      </c>
      <c r="C1692" t="s">
        <v>443</v>
      </c>
      <c r="D1692" s="180" t="s">
        <v>51</v>
      </c>
      <c r="E1692" t="s">
        <v>2551</v>
      </c>
      <c r="F1692" t="s">
        <v>2552</v>
      </c>
      <c r="G1692" s="180">
        <v>3317</v>
      </c>
      <c r="H1692">
        <v>1953</v>
      </c>
      <c r="J1692" s="1334" t="s">
        <v>475</v>
      </c>
      <c r="K1692" s="1335" t="s">
        <v>486</v>
      </c>
      <c r="L1692" s="180">
        <v>0</v>
      </c>
      <c r="M1692" t="s">
        <v>4</v>
      </c>
      <c r="N1692" t="str">
        <f t="shared" si="106"/>
        <v>COTTAGE 25 (5025)</v>
      </c>
      <c r="O1692" t="s">
        <v>52</v>
      </c>
      <c r="P1692" t="str">
        <f t="shared" si="107"/>
        <v>18000_5025</v>
      </c>
      <c r="Q1692" s="180">
        <v>100</v>
      </c>
    </row>
    <row r="1693" spans="1:17">
      <c r="A1693" t="str">
        <f t="shared" si="104"/>
        <v>UGA_5026</v>
      </c>
      <c r="B1693" t="str">
        <f t="shared" si="105"/>
        <v>UGA_COTTAGE 26</v>
      </c>
      <c r="C1693" t="s">
        <v>443</v>
      </c>
      <c r="D1693" s="180" t="s">
        <v>51</v>
      </c>
      <c r="E1693" t="s">
        <v>2623</v>
      </c>
      <c r="F1693" t="s">
        <v>2624</v>
      </c>
      <c r="G1693" s="180">
        <v>3317</v>
      </c>
      <c r="H1693">
        <v>1953</v>
      </c>
      <c r="J1693" s="1334" t="s">
        <v>475</v>
      </c>
      <c r="K1693" s="1335" t="s">
        <v>486</v>
      </c>
      <c r="L1693" s="180">
        <v>0</v>
      </c>
      <c r="M1693" t="s">
        <v>4</v>
      </c>
      <c r="N1693" t="str">
        <f t="shared" si="106"/>
        <v>COTTAGE 26 (5026)</v>
      </c>
      <c r="O1693" t="s">
        <v>52</v>
      </c>
      <c r="P1693" t="str">
        <f t="shared" si="107"/>
        <v>18000_5026</v>
      </c>
      <c r="Q1693" s="180">
        <v>0</v>
      </c>
    </row>
    <row r="1694" spans="1:17">
      <c r="A1694" t="str">
        <f t="shared" si="104"/>
        <v>UGA_5027</v>
      </c>
      <c r="B1694" t="str">
        <f t="shared" si="105"/>
        <v>UGA_COTTAGE 27</v>
      </c>
      <c r="C1694" t="s">
        <v>443</v>
      </c>
      <c r="D1694" s="180" t="s">
        <v>51</v>
      </c>
      <c r="E1694" t="s">
        <v>2098</v>
      </c>
      <c r="F1694" t="s">
        <v>2099</v>
      </c>
      <c r="G1694" s="180">
        <v>3312</v>
      </c>
      <c r="H1694">
        <v>1953</v>
      </c>
      <c r="J1694" s="1334" t="s">
        <v>475</v>
      </c>
      <c r="K1694" s="1335" t="s">
        <v>486</v>
      </c>
      <c r="L1694" s="180">
        <v>0</v>
      </c>
      <c r="M1694" t="s">
        <v>4</v>
      </c>
      <c r="N1694" t="str">
        <f t="shared" si="106"/>
        <v>COTTAGE 27 (5027)</v>
      </c>
      <c r="O1694" t="s">
        <v>52</v>
      </c>
      <c r="P1694" t="str">
        <f t="shared" si="107"/>
        <v>18000_5027</v>
      </c>
      <c r="Q1694" s="180">
        <v>0</v>
      </c>
    </row>
    <row r="1695" spans="1:17">
      <c r="A1695" t="str">
        <f t="shared" si="104"/>
        <v>UGA_5028</v>
      </c>
      <c r="B1695" t="str">
        <f t="shared" si="105"/>
        <v>UGA_COTTAGE 28</v>
      </c>
      <c r="C1695" t="s">
        <v>443</v>
      </c>
      <c r="D1695" s="180" t="s">
        <v>51</v>
      </c>
      <c r="E1695" t="s">
        <v>3466</v>
      </c>
      <c r="F1695" t="s">
        <v>3467</v>
      </c>
      <c r="G1695" s="180">
        <v>3312</v>
      </c>
      <c r="H1695">
        <v>1974</v>
      </c>
      <c r="J1695" s="1334" t="s">
        <v>475</v>
      </c>
      <c r="K1695" s="1335" t="s">
        <v>486</v>
      </c>
      <c r="L1695" s="180">
        <v>0</v>
      </c>
      <c r="M1695" t="s">
        <v>4</v>
      </c>
      <c r="N1695" t="str">
        <f t="shared" si="106"/>
        <v>COTTAGE 28 (5028)</v>
      </c>
      <c r="O1695" t="s">
        <v>52</v>
      </c>
      <c r="P1695" t="str">
        <f t="shared" si="107"/>
        <v>18000_5028</v>
      </c>
      <c r="Q1695" s="180">
        <v>0</v>
      </c>
    </row>
    <row r="1696" spans="1:17">
      <c r="A1696" t="str">
        <f t="shared" si="104"/>
        <v>UGA_5029</v>
      </c>
      <c r="B1696" t="str">
        <f t="shared" si="105"/>
        <v>UGA_COTTAGE 29</v>
      </c>
      <c r="C1696" t="s">
        <v>443</v>
      </c>
      <c r="D1696" s="180" t="s">
        <v>51</v>
      </c>
      <c r="E1696" t="s">
        <v>4251</v>
      </c>
      <c r="F1696" t="s">
        <v>4252</v>
      </c>
      <c r="G1696" s="180">
        <v>3312</v>
      </c>
      <c r="H1696">
        <v>1953</v>
      </c>
      <c r="J1696" s="1334" t="s">
        <v>475</v>
      </c>
      <c r="K1696" s="1335" t="s">
        <v>475</v>
      </c>
      <c r="L1696" s="180">
        <v>0</v>
      </c>
      <c r="M1696" t="s">
        <v>4</v>
      </c>
      <c r="N1696" t="str">
        <f t="shared" si="106"/>
        <v>COTTAGE 29 (5029)</v>
      </c>
      <c r="O1696" t="s">
        <v>52</v>
      </c>
      <c r="P1696" t="str">
        <f t="shared" si="107"/>
        <v>18000_5029</v>
      </c>
      <c r="Q1696" s="180">
        <v>0</v>
      </c>
    </row>
    <row r="1697" spans="1:17">
      <c r="A1697" t="str">
        <f t="shared" si="104"/>
        <v>UGA_5030</v>
      </c>
      <c r="B1697" t="str">
        <f t="shared" si="105"/>
        <v>UGA_COTTAGE 30</v>
      </c>
      <c r="C1697" t="s">
        <v>443</v>
      </c>
      <c r="D1697" s="180" t="s">
        <v>51</v>
      </c>
      <c r="E1697" t="s">
        <v>3088</v>
      </c>
      <c r="F1697" t="s">
        <v>3089</v>
      </c>
      <c r="G1697" s="180">
        <v>2970</v>
      </c>
      <c r="H1697">
        <v>1953</v>
      </c>
      <c r="J1697" s="1334" t="s">
        <v>475</v>
      </c>
      <c r="K1697" s="1335" t="s">
        <v>475</v>
      </c>
      <c r="L1697" s="180">
        <v>0</v>
      </c>
      <c r="M1697" t="s">
        <v>4</v>
      </c>
      <c r="N1697" t="str">
        <f t="shared" si="106"/>
        <v>COTTAGE 30 (5030)</v>
      </c>
      <c r="O1697" t="s">
        <v>52</v>
      </c>
      <c r="P1697" t="str">
        <f t="shared" si="107"/>
        <v>18000_5030</v>
      </c>
      <c r="Q1697" s="180">
        <v>0</v>
      </c>
    </row>
    <row r="1698" spans="1:17">
      <c r="A1698" t="str">
        <f t="shared" si="104"/>
        <v>UGA_5031</v>
      </c>
      <c r="B1698" t="str">
        <f t="shared" si="105"/>
        <v>UGA_COTTAGE 31</v>
      </c>
      <c r="C1698" t="s">
        <v>443</v>
      </c>
      <c r="D1698" s="180" t="s">
        <v>51</v>
      </c>
      <c r="E1698" t="s">
        <v>4253</v>
      </c>
      <c r="F1698" t="s">
        <v>4254</v>
      </c>
      <c r="G1698" s="180">
        <v>2970</v>
      </c>
      <c r="H1698">
        <v>1953</v>
      </c>
      <c r="J1698" s="1334" t="s">
        <v>475</v>
      </c>
      <c r="K1698" s="1335" t="s">
        <v>486</v>
      </c>
      <c r="L1698" s="180">
        <v>0</v>
      </c>
      <c r="M1698" t="s">
        <v>4</v>
      </c>
      <c r="N1698" t="str">
        <f t="shared" si="106"/>
        <v>COTTAGE 31 (5031)</v>
      </c>
      <c r="O1698" t="s">
        <v>52</v>
      </c>
      <c r="P1698" t="str">
        <f t="shared" si="107"/>
        <v>18000_5031</v>
      </c>
      <c r="Q1698" s="180">
        <v>0</v>
      </c>
    </row>
    <row r="1699" spans="1:17">
      <c r="A1699" t="str">
        <f t="shared" si="104"/>
        <v>UGA_5032</v>
      </c>
      <c r="B1699" t="str">
        <f t="shared" si="105"/>
        <v>UGA_COTTAGE 32</v>
      </c>
      <c r="C1699" t="s">
        <v>443</v>
      </c>
      <c r="D1699" s="180" t="s">
        <v>51</v>
      </c>
      <c r="E1699" t="s">
        <v>2832</v>
      </c>
      <c r="F1699" t="s">
        <v>2833</v>
      </c>
      <c r="G1699" s="180">
        <v>2970</v>
      </c>
      <c r="H1699">
        <v>1953</v>
      </c>
      <c r="J1699" s="1334" t="s">
        <v>475</v>
      </c>
      <c r="K1699" s="1335" t="s">
        <v>486</v>
      </c>
      <c r="L1699" s="180">
        <v>0</v>
      </c>
      <c r="M1699" t="s">
        <v>4</v>
      </c>
      <c r="N1699" t="str">
        <f t="shared" si="106"/>
        <v>COTTAGE 32 (5032)</v>
      </c>
      <c r="O1699" t="s">
        <v>52</v>
      </c>
      <c r="P1699" t="str">
        <f t="shared" si="107"/>
        <v>18000_5032</v>
      </c>
      <c r="Q1699" s="180">
        <v>0</v>
      </c>
    </row>
    <row r="1700" spans="1:17">
      <c r="A1700" t="str">
        <f t="shared" si="104"/>
        <v>UGA_5033</v>
      </c>
      <c r="B1700" t="str">
        <f t="shared" si="105"/>
        <v>UGA_COTTAGE 33</v>
      </c>
      <c r="C1700" t="s">
        <v>443</v>
      </c>
      <c r="D1700" s="180" t="s">
        <v>51</v>
      </c>
      <c r="E1700" t="s">
        <v>4308</v>
      </c>
      <c r="F1700" t="s">
        <v>4309</v>
      </c>
      <c r="G1700" s="180">
        <v>1536</v>
      </c>
      <c r="H1700">
        <v>1953</v>
      </c>
      <c r="J1700" s="1334" t="s">
        <v>475</v>
      </c>
      <c r="K1700" s="1335" t="s">
        <v>486</v>
      </c>
      <c r="L1700" s="180">
        <v>0</v>
      </c>
      <c r="M1700" t="s">
        <v>4</v>
      </c>
      <c r="N1700" t="str">
        <f t="shared" si="106"/>
        <v>COTTAGE 33 (5033)</v>
      </c>
      <c r="O1700" t="s">
        <v>52</v>
      </c>
      <c r="P1700" t="str">
        <f t="shared" si="107"/>
        <v>18000_5033</v>
      </c>
      <c r="Q1700" s="180">
        <v>0</v>
      </c>
    </row>
    <row r="1701" spans="1:17">
      <c r="A1701" t="str">
        <f t="shared" si="104"/>
        <v>UGA_5034</v>
      </c>
      <c r="B1701" t="str">
        <f t="shared" si="105"/>
        <v>UGA_COTTAGE 34</v>
      </c>
      <c r="C1701" t="s">
        <v>443</v>
      </c>
      <c r="D1701" s="180" t="s">
        <v>51</v>
      </c>
      <c r="E1701" t="s">
        <v>3750</v>
      </c>
      <c r="F1701" t="s">
        <v>3751</v>
      </c>
      <c r="G1701" s="180">
        <v>1536</v>
      </c>
      <c r="H1701">
        <v>1953</v>
      </c>
      <c r="J1701" s="1334" t="s">
        <v>475</v>
      </c>
      <c r="K1701" s="1335" t="s">
        <v>486</v>
      </c>
      <c r="L1701" s="180">
        <v>0</v>
      </c>
      <c r="M1701" t="s">
        <v>4</v>
      </c>
      <c r="N1701" t="str">
        <f t="shared" si="106"/>
        <v>COTTAGE 34 (5034)</v>
      </c>
      <c r="O1701" t="s">
        <v>52</v>
      </c>
      <c r="P1701" t="str">
        <f t="shared" si="107"/>
        <v>18000_5034</v>
      </c>
      <c r="Q1701" s="180">
        <v>0</v>
      </c>
    </row>
    <row r="1702" spans="1:17">
      <c r="A1702" t="str">
        <f t="shared" si="104"/>
        <v>UGA_5035</v>
      </c>
      <c r="B1702" t="str">
        <f t="shared" si="105"/>
        <v>UGA_COTTAGE 35</v>
      </c>
      <c r="C1702" t="s">
        <v>443</v>
      </c>
      <c r="D1702" s="180" t="s">
        <v>51</v>
      </c>
      <c r="E1702" t="s">
        <v>1867</v>
      </c>
      <c r="F1702" t="s">
        <v>1868</v>
      </c>
      <c r="G1702" s="180">
        <v>1536</v>
      </c>
      <c r="H1702">
        <v>1953</v>
      </c>
      <c r="J1702" s="1334" t="s">
        <v>475</v>
      </c>
      <c r="K1702" s="1335" t="s">
        <v>486</v>
      </c>
      <c r="L1702" s="180">
        <v>0</v>
      </c>
      <c r="M1702" t="s">
        <v>4</v>
      </c>
      <c r="N1702" t="str">
        <f t="shared" si="106"/>
        <v>COTTAGE 35 (5035)</v>
      </c>
      <c r="O1702" t="s">
        <v>52</v>
      </c>
      <c r="P1702" t="str">
        <f t="shared" si="107"/>
        <v>18000_5035</v>
      </c>
      <c r="Q1702" s="180">
        <v>0</v>
      </c>
    </row>
    <row r="1703" spans="1:17">
      <c r="A1703" t="str">
        <f t="shared" si="104"/>
        <v>UGA_5036</v>
      </c>
      <c r="B1703" t="str">
        <f t="shared" si="105"/>
        <v>UGA_COTTAGE 36</v>
      </c>
      <c r="C1703" t="s">
        <v>443</v>
      </c>
      <c r="D1703" s="180" t="s">
        <v>51</v>
      </c>
      <c r="E1703" t="s">
        <v>4083</v>
      </c>
      <c r="F1703" t="s">
        <v>4084</v>
      </c>
      <c r="G1703" s="180">
        <v>1536</v>
      </c>
      <c r="H1703">
        <v>1953</v>
      </c>
      <c r="J1703" s="1334" t="s">
        <v>475</v>
      </c>
      <c r="K1703" s="1335" t="s">
        <v>486</v>
      </c>
      <c r="L1703" s="180">
        <v>0</v>
      </c>
      <c r="M1703" t="s">
        <v>4</v>
      </c>
      <c r="N1703" t="str">
        <f t="shared" si="106"/>
        <v>COTTAGE 36 (5036)</v>
      </c>
      <c r="O1703" t="s">
        <v>52</v>
      </c>
      <c r="P1703" t="str">
        <f t="shared" si="107"/>
        <v>18000_5036</v>
      </c>
      <c r="Q1703" s="180">
        <v>0</v>
      </c>
    </row>
    <row r="1704" spans="1:17">
      <c r="A1704" t="str">
        <f t="shared" si="104"/>
        <v>UGA_5037</v>
      </c>
      <c r="B1704" t="str">
        <f t="shared" si="105"/>
        <v>UGA_COTTAGE 37</v>
      </c>
      <c r="C1704" t="s">
        <v>443</v>
      </c>
      <c r="D1704" s="180" t="s">
        <v>51</v>
      </c>
      <c r="E1704" t="s">
        <v>2625</v>
      </c>
      <c r="F1704" t="s">
        <v>2626</v>
      </c>
      <c r="G1704" s="180">
        <v>1536</v>
      </c>
      <c r="H1704">
        <v>1953</v>
      </c>
      <c r="J1704" s="1334" t="s">
        <v>475</v>
      </c>
      <c r="K1704" s="1335" t="s">
        <v>475</v>
      </c>
      <c r="L1704" s="180">
        <v>0</v>
      </c>
      <c r="M1704" t="s">
        <v>4</v>
      </c>
      <c r="N1704" t="str">
        <f t="shared" si="106"/>
        <v>COTTAGE 37 (5037)</v>
      </c>
      <c r="O1704" t="s">
        <v>52</v>
      </c>
      <c r="P1704" t="str">
        <f t="shared" si="107"/>
        <v>18000_5037</v>
      </c>
      <c r="Q1704" s="180">
        <v>0</v>
      </c>
    </row>
    <row r="1705" spans="1:17">
      <c r="A1705" t="str">
        <f t="shared" si="104"/>
        <v>UGA_5038</v>
      </c>
      <c r="B1705" t="str">
        <f t="shared" si="105"/>
        <v>UGA_COTTAGE 38</v>
      </c>
      <c r="C1705" t="s">
        <v>443</v>
      </c>
      <c r="D1705" s="180" t="s">
        <v>51</v>
      </c>
      <c r="E1705" t="s">
        <v>2512</v>
      </c>
      <c r="F1705" t="s">
        <v>2513</v>
      </c>
      <c r="G1705" s="180">
        <v>1536</v>
      </c>
      <c r="H1705">
        <v>1953</v>
      </c>
      <c r="J1705" s="1334" t="s">
        <v>475</v>
      </c>
      <c r="K1705" s="1335" t="s">
        <v>486</v>
      </c>
      <c r="L1705" s="180">
        <v>0</v>
      </c>
      <c r="M1705" t="s">
        <v>4</v>
      </c>
      <c r="N1705" t="str">
        <f t="shared" si="106"/>
        <v>COTTAGE 38 (5038)</v>
      </c>
      <c r="O1705" t="s">
        <v>52</v>
      </c>
      <c r="P1705" t="str">
        <f t="shared" si="107"/>
        <v>18000_5038</v>
      </c>
      <c r="Q1705" s="180">
        <v>0</v>
      </c>
    </row>
    <row r="1706" spans="1:17">
      <c r="A1706" t="str">
        <f t="shared" si="104"/>
        <v>UGA_5039</v>
      </c>
      <c r="B1706" t="str">
        <f t="shared" si="105"/>
        <v>UGA_COTTAGE 39</v>
      </c>
      <c r="C1706" t="s">
        <v>443</v>
      </c>
      <c r="D1706" s="180" t="s">
        <v>51</v>
      </c>
      <c r="E1706" t="s">
        <v>1777</v>
      </c>
      <c r="F1706" t="s">
        <v>1778</v>
      </c>
      <c r="G1706" s="180">
        <v>1536</v>
      </c>
      <c r="H1706">
        <v>1953</v>
      </c>
      <c r="J1706" s="1334" t="s">
        <v>475</v>
      </c>
      <c r="K1706" s="1335" t="s">
        <v>486</v>
      </c>
      <c r="L1706" s="180">
        <v>0</v>
      </c>
      <c r="M1706" t="s">
        <v>4</v>
      </c>
      <c r="N1706" t="str">
        <f t="shared" si="106"/>
        <v>COTTAGE 39 (5039)</v>
      </c>
      <c r="O1706" t="s">
        <v>52</v>
      </c>
      <c r="P1706" t="str">
        <f t="shared" si="107"/>
        <v>18000_5039</v>
      </c>
      <c r="Q1706" s="180">
        <v>0</v>
      </c>
    </row>
    <row r="1707" spans="1:17">
      <c r="A1707" t="str">
        <f t="shared" si="104"/>
        <v>UGA_5040</v>
      </c>
      <c r="B1707" t="str">
        <f t="shared" si="105"/>
        <v>UGA_COTTAGE 40</v>
      </c>
      <c r="C1707" t="s">
        <v>443</v>
      </c>
      <c r="D1707" s="180" t="s">
        <v>51</v>
      </c>
      <c r="E1707" t="s">
        <v>3653</v>
      </c>
      <c r="F1707" t="s">
        <v>3654</v>
      </c>
      <c r="G1707" s="180">
        <v>1536</v>
      </c>
      <c r="H1707">
        <v>1953</v>
      </c>
      <c r="J1707" s="1334" t="s">
        <v>475</v>
      </c>
      <c r="K1707" s="1335" t="s">
        <v>486</v>
      </c>
      <c r="L1707" s="180">
        <v>0</v>
      </c>
      <c r="M1707" t="s">
        <v>4</v>
      </c>
      <c r="N1707" t="str">
        <f t="shared" si="106"/>
        <v>COTTAGE 40 (5040)</v>
      </c>
      <c r="O1707" t="s">
        <v>52</v>
      </c>
      <c r="P1707" t="str">
        <f t="shared" si="107"/>
        <v>18000_5040</v>
      </c>
      <c r="Q1707" s="180">
        <v>3</v>
      </c>
    </row>
    <row r="1708" spans="1:17">
      <c r="A1708" t="str">
        <f t="shared" si="104"/>
        <v>UGA_5041</v>
      </c>
      <c r="B1708" t="str">
        <f t="shared" si="105"/>
        <v>UGA_COTTAGE 41</v>
      </c>
      <c r="C1708" t="s">
        <v>443</v>
      </c>
      <c r="D1708" s="180" t="s">
        <v>51</v>
      </c>
      <c r="E1708" t="s">
        <v>3983</v>
      </c>
      <c r="F1708" t="s">
        <v>3984</v>
      </c>
      <c r="G1708" s="180">
        <v>1536</v>
      </c>
      <c r="H1708">
        <v>1953</v>
      </c>
      <c r="J1708" s="1334" t="s">
        <v>475</v>
      </c>
      <c r="K1708" s="1335" t="s">
        <v>1520</v>
      </c>
      <c r="L1708" s="180">
        <v>0</v>
      </c>
      <c r="M1708" t="s">
        <v>4</v>
      </c>
      <c r="N1708" t="str">
        <f t="shared" si="106"/>
        <v>COTTAGE 41 (5041)</v>
      </c>
      <c r="O1708" t="s">
        <v>52</v>
      </c>
      <c r="P1708" t="str">
        <f t="shared" si="107"/>
        <v>18000_5041</v>
      </c>
      <c r="Q1708" s="180">
        <v>0</v>
      </c>
    </row>
    <row r="1709" spans="1:17">
      <c r="A1709" t="str">
        <f t="shared" si="104"/>
        <v>UGA_5042</v>
      </c>
      <c r="B1709" t="str">
        <f t="shared" si="105"/>
        <v>UGA_COTTAGE 42</v>
      </c>
      <c r="C1709" t="s">
        <v>443</v>
      </c>
      <c r="D1709" s="180" t="s">
        <v>51</v>
      </c>
      <c r="E1709" t="s">
        <v>2696</v>
      </c>
      <c r="F1709" t="s">
        <v>2697</v>
      </c>
      <c r="G1709" s="180">
        <v>1536</v>
      </c>
      <c r="H1709">
        <v>1953</v>
      </c>
      <c r="J1709" s="1334" t="s">
        <v>475</v>
      </c>
      <c r="K1709" s="1335" t="s">
        <v>1520</v>
      </c>
      <c r="L1709" s="180">
        <v>0</v>
      </c>
      <c r="M1709" t="s">
        <v>4</v>
      </c>
      <c r="N1709" t="str">
        <f t="shared" si="106"/>
        <v>COTTAGE 42 (5042)</v>
      </c>
      <c r="O1709" t="s">
        <v>52</v>
      </c>
      <c r="P1709" t="str">
        <f t="shared" si="107"/>
        <v>18000_5042</v>
      </c>
      <c r="Q1709" s="180">
        <v>0</v>
      </c>
    </row>
    <row r="1710" spans="1:17">
      <c r="A1710" t="str">
        <f t="shared" si="104"/>
        <v>UGA_5043</v>
      </c>
      <c r="B1710" t="str">
        <f t="shared" si="105"/>
        <v>UGA_COTTAGE 43</v>
      </c>
      <c r="C1710" t="s">
        <v>443</v>
      </c>
      <c r="D1710" s="180" t="s">
        <v>51</v>
      </c>
      <c r="E1710" t="s">
        <v>2275</v>
      </c>
      <c r="F1710" t="s">
        <v>2276</v>
      </c>
      <c r="G1710" s="180">
        <v>3322</v>
      </c>
      <c r="H1710">
        <v>1953</v>
      </c>
      <c r="J1710" s="1334" t="s">
        <v>475</v>
      </c>
      <c r="K1710" s="1335" t="s">
        <v>486</v>
      </c>
      <c r="L1710" s="180">
        <v>0</v>
      </c>
      <c r="M1710" t="s">
        <v>4</v>
      </c>
      <c r="N1710" t="str">
        <f t="shared" si="106"/>
        <v>COTTAGE 43 (5043)</v>
      </c>
      <c r="O1710" t="s">
        <v>52</v>
      </c>
      <c r="P1710" t="str">
        <f t="shared" si="107"/>
        <v>18000_5043</v>
      </c>
      <c r="Q1710" s="180">
        <v>0</v>
      </c>
    </row>
    <row r="1711" spans="1:17">
      <c r="A1711" t="str">
        <f t="shared" si="104"/>
        <v>UGA_5044</v>
      </c>
      <c r="B1711" t="str">
        <f t="shared" si="105"/>
        <v>UGA_COTTAGE 44</v>
      </c>
      <c r="C1711" t="s">
        <v>443</v>
      </c>
      <c r="D1711" s="180" t="s">
        <v>51</v>
      </c>
      <c r="E1711" t="s">
        <v>2788</v>
      </c>
      <c r="F1711" t="s">
        <v>2789</v>
      </c>
      <c r="G1711" s="180">
        <v>3322</v>
      </c>
      <c r="H1711">
        <v>1953</v>
      </c>
      <c r="J1711" s="1334" t="s">
        <v>475</v>
      </c>
      <c r="K1711" s="1335" t="s">
        <v>486</v>
      </c>
      <c r="L1711" s="180">
        <v>0</v>
      </c>
      <c r="M1711" t="s">
        <v>4</v>
      </c>
      <c r="N1711" t="str">
        <f t="shared" si="106"/>
        <v>COTTAGE 44 (5044)</v>
      </c>
      <c r="O1711" t="s">
        <v>52</v>
      </c>
      <c r="P1711" t="str">
        <f t="shared" si="107"/>
        <v>18000_5044</v>
      </c>
      <c r="Q1711" s="180">
        <v>0</v>
      </c>
    </row>
    <row r="1712" spans="1:17">
      <c r="A1712" t="str">
        <f t="shared" si="104"/>
        <v>UGA_5045</v>
      </c>
      <c r="B1712" t="str">
        <f t="shared" si="105"/>
        <v>UGA_COTTAGE 45</v>
      </c>
      <c r="C1712" t="s">
        <v>443</v>
      </c>
      <c r="D1712" s="180" t="s">
        <v>51</v>
      </c>
      <c r="E1712" t="s">
        <v>2100</v>
      </c>
      <c r="F1712" t="s">
        <v>2101</v>
      </c>
      <c r="G1712" s="180">
        <v>3322</v>
      </c>
      <c r="H1712">
        <v>1953</v>
      </c>
      <c r="J1712" s="1334" t="s">
        <v>475</v>
      </c>
      <c r="K1712" s="1335" t="s">
        <v>486</v>
      </c>
      <c r="L1712" s="180">
        <v>0</v>
      </c>
      <c r="M1712" t="s">
        <v>4</v>
      </c>
      <c r="N1712" t="str">
        <f t="shared" si="106"/>
        <v>COTTAGE 45 (5045)</v>
      </c>
      <c r="O1712" t="s">
        <v>52</v>
      </c>
      <c r="P1712" t="str">
        <f t="shared" si="107"/>
        <v>18000_5045</v>
      </c>
      <c r="Q1712" s="180">
        <v>0</v>
      </c>
    </row>
    <row r="1713" spans="1:17">
      <c r="A1713" t="str">
        <f t="shared" si="104"/>
        <v>UGA_5046</v>
      </c>
      <c r="B1713" t="str">
        <f t="shared" si="105"/>
        <v>UGA_COTTAGE 46</v>
      </c>
      <c r="C1713" t="s">
        <v>443</v>
      </c>
      <c r="D1713" s="180" t="s">
        <v>51</v>
      </c>
      <c r="E1713" t="s">
        <v>3655</v>
      </c>
      <c r="F1713" t="s">
        <v>3656</v>
      </c>
      <c r="G1713" s="180">
        <v>3322</v>
      </c>
      <c r="H1713">
        <v>1953</v>
      </c>
      <c r="J1713" s="1334" t="s">
        <v>475</v>
      </c>
      <c r="K1713" s="1335" t="s">
        <v>475</v>
      </c>
      <c r="L1713" s="180">
        <v>0</v>
      </c>
      <c r="M1713" t="s">
        <v>4</v>
      </c>
      <c r="N1713" t="str">
        <f t="shared" si="106"/>
        <v>COTTAGE 46 (5046)</v>
      </c>
      <c r="O1713" t="s">
        <v>52</v>
      </c>
      <c r="P1713" t="str">
        <f t="shared" si="107"/>
        <v>18000_5046</v>
      </c>
      <c r="Q1713" s="180">
        <v>0</v>
      </c>
    </row>
    <row r="1714" spans="1:17">
      <c r="A1714" t="str">
        <f t="shared" si="104"/>
        <v>UGA_5047</v>
      </c>
      <c r="B1714" t="str">
        <f t="shared" si="105"/>
        <v>UGA_COTTAGE 47</v>
      </c>
      <c r="C1714" t="s">
        <v>443</v>
      </c>
      <c r="D1714" s="180" t="s">
        <v>51</v>
      </c>
      <c r="E1714" t="s">
        <v>1498</v>
      </c>
      <c r="F1714" t="s">
        <v>1499</v>
      </c>
      <c r="G1714" s="180">
        <v>3322</v>
      </c>
      <c r="H1714">
        <v>1953</v>
      </c>
      <c r="J1714" s="1334" t="s">
        <v>475</v>
      </c>
      <c r="K1714" s="1335" t="s">
        <v>475</v>
      </c>
      <c r="L1714" s="180">
        <v>0</v>
      </c>
      <c r="M1714" t="s">
        <v>4</v>
      </c>
      <c r="N1714" t="str">
        <f t="shared" si="106"/>
        <v>COTTAGE 47 (5047)</v>
      </c>
      <c r="O1714" t="s">
        <v>52</v>
      </c>
      <c r="P1714" t="str">
        <f t="shared" si="107"/>
        <v>18000_5047</v>
      </c>
      <c r="Q1714" s="180">
        <v>100</v>
      </c>
    </row>
    <row r="1715" spans="1:17">
      <c r="A1715" t="str">
        <f t="shared" si="104"/>
        <v>UGA_5048</v>
      </c>
      <c r="B1715" t="str">
        <f t="shared" si="105"/>
        <v>UGA_COTTAGE 48</v>
      </c>
      <c r="C1715" t="s">
        <v>443</v>
      </c>
      <c r="D1715" s="180" t="s">
        <v>51</v>
      </c>
      <c r="E1715" t="s">
        <v>4112</v>
      </c>
      <c r="F1715" t="s">
        <v>4113</v>
      </c>
      <c r="G1715" s="180">
        <v>3322</v>
      </c>
      <c r="H1715">
        <v>1953</v>
      </c>
      <c r="J1715" s="1334" t="s">
        <v>475</v>
      </c>
      <c r="K1715" s="1335" t="s">
        <v>486</v>
      </c>
      <c r="L1715" s="180">
        <v>0</v>
      </c>
      <c r="M1715" t="s">
        <v>4</v>
      </c>
      <c r="N1715" t="str">
        <f t="shared" si="106"/>
        <v>COTTAGE 48 (5048)</v>
      </c>
      <c r="O1715" t="s">
        <v>52</v>
      </c>
      <c r="P1715" t="str">
        <f t="shared" si="107"/>
        <v>18000_5048</v>
      </c>
      <c r="Q1715" s="180">
        <v>100</v>
      </c>
    </row>
    <row r="1716" spans="1:17">
      <c r="A1716" t="str">
        <f t="shared" si="104"/>
        <v>UGA_5049</v>
      </c>
      <c r="B1716" t="str">
        <f t="shared" si="105"/>
        <v>UGA_COTTAGE 49</v>
      </c>
      <c r="C1716" t="s">
        <v>443</v>
      </c>
      <c r="D1716" s="180" t="s">
        <v>51</v>
      </c>
      <c r="E1716" t="s">
        <v>3236</v>
      </c>
      <c r="F1716" t="s">
        <v>3237</v>
      </c>
      <c r="G1716" s="180">
        <v>3322</v>
      </c>
      <c r="H1716">
        <v>1953</v>
      </c>
      <c r="J1716" s="1334" t="s">
        <v>475</v>
      </c>
      <c r="K1716" s="1335" t="s">
        <v>475</v>
      </c>
      <c r="L1716" s="180">
        <v>0</v>
      </c>
      <c r="M1716" t="s">
        <v>4</v>
      </c>
      <c r="N1716" t="str">
        <f t="shared" si="106"/>
        <v>COTTAGE 49 (5049)</v>
      </c>
      <c r="O1716" t="s">
        <v>52</v>
      </c>
      <c r="P1716" t="str">
        <f t="shared" si="107"/>
        <v>18000_5049</v>
      </c>
      <c r="Q1716" s="180">
        <v>100</v>
      </c>
    </row>
    <row r="1717" spans="1:17">
      <c r="A1717" t="str">
        <f t="shared" si="104"/>
        <v>UGA_5050</v>
      </c>
      <c r="B1717" t="str">
        <f t="shared" si="105"/>
        <v>UGA_COTTAGE 50</v>
      </c>
      <c r="C1717" t="s">
        <v>443</v>
      </c>
      <c r="D1717" s="180" t="s">
        <v>51</v>
      </c>
      <c r="E1717" t="s">
        <v>4085</v>
      </c>
      <c r="F1717" t="s">
        <v>4086</v>
      </c>
      <c r="G1717" s="180">
        <v>3322</v>
      </c>
      <c r="H1717">
        <v>1953</v>
      </c>
      <c r="J1717" s="1334" t="s">
        <v>475</v>
      </c>
      <c r="K1717" s="1335" t="s">
        <v>475</v>
      </c>
      <c r="L1717" s="180">
        <v>0</v>
      </c>
      <c r="M1717" t="s">
        <v>4</v>
      </c>
      <c r="N1717" t="str">
        <f t="shared" si="106"/>
        <v>COTTAGE 50 (5050)</v>
      </c>
      <c r="O1717" t="s">
        <v>52</v>
      </c>
      <c r="P1717" t="str">
        <f t="shared" si="107"/>
        <v>18000_5050</v>
      </c>
      <c r="Q1717" s="180">
        <v>100</v>
      </c>
    </row>
    <row r="1718" spans="1:17">
      <c r="A1718" t="str">
        <f t="shared" si="104"/>
        <v>UGA_5051</v>
      </c>
      <c r="B1718" t="str">
        <f t="shared" si="105"/>
        <v>UGA_COTTAGE 51</v>
      </c>
      <c r="C1718" t="s">
        <v>443</v>
      </c>
      <c r="D1718" s="180" t="s">
        <v>51</v>
      </c>
      <c r="E1718" t="s">
        <v>3417</v>
      </c>
      <c r="F1718" t="s">
        <v>3418</v>
      </c>
      <c r="G1718" s="180">
        <v>3322</v>
      </c>
      <c r="H1718">
        <v>1953</v>
      </c>
      <c r="J1718" s="1334" t="s">
        <v>475</v>
      </c>
      <c r="K1718" s="1335" t="s">
        <v>475</v>
      </c>
      <c r="L1718" s="180">
        <v>0</v>
      </c>
      <c r="M1718" t="s">
        <v>4</v>
      </c>
      <c r="N1718" t="str">
        <f t="shared" si="106"/>
        <v>COTTAGE 51 (5051)</v>
      </c>
      <c r="O1718" t="s">
        <v>52</v>
      </c>
      <c r="P1718" t="str">
        <f t="shared" si="107"/>
        <v>18000_5051</v>
      </c>
      <c r="Q1718" s="180">
        <v>0</v>
      </c>
    </row>
    <row r="1719" spans="1:17">
      <c r="A1719" t="str">
        <f t="shared" si="104"/>
        <v>UGA_5052</v>
      </c>
      <c r="B1719" t="str">
        <f t="shared" si="105"/>
        <v>UGA_COTTAGE 52</v>
      </c>
      <c r="C1719" t="s">
        <v>443</v>
      </c>
      <c r="D1719" s="180" t="s">
        <v>51</v>
      </c>
      <c r="E1719" t="s">
        <v>2644</v>
      </c>
      <c r="F1719" t="s">
        <v>2645</v>
      </c>
      <c r="G1719" s="180">
        <v>3322</v>
      </c>
      <c r="H1719">
        <v>1953</v>
      </c>
      <c r="J1719" s="1334" t="s">
        <v>475</v>
      </c>
      <c r="K1719" s="1335" t="s">
        <v>475</v>
      </c>
      <c r="L1719" s="180">
        <v>0</v>
      </c>
      <c r="M1719" t="s">
        <v>4</v>
      </c>
      <c r="N1719" t="str">
        <f t="shared" si="106"/>
        <v>COTTAGE 52 (5052)</v>
      </c>
      <c r="O1719" t="s">
        <v>52</v>
      </c>
      <c r="P1719" t="str">
        <f t="shared" si="107"/>
        <v>18000_5052</v>
      </c>
      <c r="Q1719" s="180">
        <v>0</v>
      </c>
    </row>
    <row r="1720" spans="1:17">
      <c r="A1720" t="str">
        <f t="shared" si="104"/>
        <v>UGA_5053</v>
      </c>
      <c r="B1720" t="str">
        <f t="shared" si="105"/>
        <v>UGA_COTTAGE 53</v>
      </c>
      <c r="C1720" t="s">
        <v>443</v>
      </c>
      <c r="D1720" s="180" t="s">
        <v>51</v>
      </c>
      <c r="E1720" t="s">
        <v>3938</v>
      </c>
      <c r="F1720" t="s">
        <v>3939</v>
      </c>
      <c r="G1720" s="180">
        <v>3322</v>
      </c>
      <c r="H1720">
        <v>1953</v>
      </c>
      <c r="J1720" s="1334" t="s">
        <v>475</v>
      </c>
      <c r="K1720" s="1335" t="s">
        <v>475</v>
      </c>
      <c r="L1720" s="180">
        <v>0</v>
      </c>
      <c r="M1720" t="s">
        <v>4</v>
      </c>
      <c r="N1720" t="str">
        <f t="shared" si="106"/>
        <v>COTTAGE 53 (5053)</v>
      </c>
      <c r="O1720" t="s">
        <v>52</v>
      </c>
      <c r="P1720" t="str">
        <f t="shared" si="107"/>
        <v>18000_5053</v>
      </c>
      <c r="Q1720" s="180">
        <v>0</v>
      </c>
    </row>
    <row r="1721" spans="1:17">
      <c r="A1721" t="str">
        <f t="shared" si="104"/>
        <v>UGA_5054</v>
      </c>
      <c r="B1721" t="str">
        <f t="shared" si="105"/>
        <v>UGA_COTTAGE 54</v>
      </c>
      <c r="C1721" t="s">
        <v>443</v>
      </c>
      <c r="D1721" s="180" t="s">
        <v>51</v>
      </c>
      <c r="E1721" t="s">
        <v>1779</v>
      </c>
      <c r="F1721" t="s">
        <v>1780</v>
      </c>
      <c r="G1721" s="180">
        <v>3322</v>
      </c>
      <c r="H1721">
        <v>1953</v>
      </c>
      <c r="J1721" s="1334" t="s">
        <v>475</v>
      </c>
      <c r="K1721" s="1335" t="s">
        <v>475</v>
      </c>
      <c r="L1721" s="180">
        <v>0</v>
      </c>
      <c r="M1721" t="s">
        <v>4</v>
      </c>
      <c r="N1721" t="str">
        <f t="shared" si="106"/>
        <v>COTTAGE 54 (5054)</v>
      </c>
      <c r="O1721" t="s">
        <v>52</v>
      </c>
      <c r="P1721" t="str">
        <f t="shared" si="107"/>
        <v>18000_5054</v>
      </c>
      <c r="Q1721" s="180">
        <v>0</v>
      </c>
    </row>
    <row r="1722" spans="1:17">
      <c r="A1722" t="str">
        <f t="shared" si="104"/>
        <v>UGA_5055</v>
      </c>
      <c r="B1722" t="str">
        <f t="shared" si="105"/>
        <v>UGA_CHAPEL</v>
      </c>
      <c r="C1722" t="s">
        <v>443</v>
      </c>
      <c r="D1722" s="180" t="s">
        <v>51</v>
      </c>
      <c r="E1722" t="s">
        <v>3283</v>
      </c>
      <c r="F1722" t="s">
        <v>2396</v>
      </c>
      <c r="G1722" s="180">
        <v>1947</v>
      </c>
      <c r="H1722">
        <v>1955</v>
      </c>
      <c r="J1722" s="1334" t="s">
        <v>475</v>
      </c>
      <c r="K1722" s="1335" t="s">
        <v>486</v>
      </c>
      <c r="L1722" s="180">
        <v>0</v>
      </c>
      <c r="M1722" t="s">
        <v>4</v>
      </c>
      <c r="N1722" t="str">
        <f t="shared" si="106"/>
        <v>CHAPEL (5055)</v>
      </c>
      <c r="O1722" t="s">
        <v>52</v>
      </c>
      <c r="P1722" t="str">
        <f t="shared" si="107"/>
        <v>18000_5055</v>
      </c>
      <c r="Q1722" s="180">
        <v>0</v>
      </c>
    </row>
    <row r="1723" spans="1:17">
      <c r="A1723" t="str">
        <f t="shared" si="104"/>
        <v>UGA_5056</v>
      </c>
      <c r="B1723" t="str">
        <f t="shared" si="105"/>
        <v>UGA_W.A.S. HALL</v>
      </c>
      <c r="C1723" t="s">
        <v>443</v>
      </c>
      <c r="D1723" s="180" t="s">
        <v>51</v>
      </c>
      <c r="E1723" t="s">
        <v>3545</v>
      </c>
      <c r="F1723" t="s">
        <v>3546</v>
      </c>
      <c r="G1723" s="180">
        <v>21826</v>
      </c>
      <c r="H1723">
        <v>1955</v>
      </c>
      <c r="J1723" s="1334" t="s">
        <v>475</v>
      </c>
      <c r="K1723" s="1335" t="s">
        <v>481</v>
      </c>
      <c r="L1723" s="180">
        <v>0</v>
      </c>
      <c r="M1723" t="s">
        <v>4</v>
      </c>
      <c r="N1723" t="str">
        <f t="shared" si="106"/>
        <v>W.A.S. HALL (5056)</v>
      </c>
      <c r="O1723" t="s">
        <v>52</v>
      </c>
      <c r="P1723" t="str">
        <f t="shared" si="107"/>
        <v>18000_5056</v>
      </c>
      <c r="Q1723" s="180">
        <v>100</v>
      </c>
    </row>
    <row r="1724" spans="1:17">
      <c r="A1724" t="str">
        <f t="shared" si="104"/>
        <v>UGA_5057</v>
      </c>
      <c r="B1724" t="str">
        <f t="shared" si="105"/>
        <v>UGA_TALMADGE AUDITORIU</v>
      </c>
      <c r="C1724" t="s">
        <v>443</v>
      </c>
      <c r="D1724" s="180" t="s">
        <v>51</v>
      </c>
      <c r="E1724" t="s">
        <v>4441</v>
      </c>
      <c r="F1724" t="s">
        <v>4442</v>
      </c>
      <c r="G1724" s="180">
        <v>17109</v>
      </c>
      <c r="H1724">
        <v>1955</v>
      </c>
      <c r="J1724" s="1334" t="s">
        <v>475</v>
      </c>
      <c r="K1724" s="1335" t="s">
        <v>481</v>
      </c>
      <c r="L1724" s="180">
        <v>0</v>
      </c>
      <c r="M1724" t="s">
        <v>4</v>
      </c>
      <c r="N1724" t="str">
        <f t="shared" si="106"/>
        <v>TALMADGE AUDITORIU (5057)</v>
      </c>
      <c r="O1724" t="s">
        <v>52</v>
      </c>
      <c r="P1724" t="str">
        <f t="shared" si="107"/>
        <v>18000_5057</v>
      </c>
      <c r="Q1724" s="180">
        <v>100</v>
      </c>
    </row>
    <row r="1725" spans="1:17">
      <c r="A1725" t="str">
        <f t="shared" si="104"/>
        <v>UGA_5058</v>
      </c>
      <c r="B1725" t="str">
        <f t="shared" si="105"/>
        <v>UGA_INTERNATIONAL PAPER BUILDING</v>
      </c>
      <c r="C1725" t="s">
        <v>443</v>
      </c>
      <c r="D1725" s="180" t="s">
        <v>51</v>
      </c>
      <c r="E1725" t="s">
        <v>3238</v>
      </c>
      <c r="F1725" t="s">
        <v>3239</v>
      </c>
      <c r="G1725" s="180">
        <v>5313</v>
      </c>
      <c r="H1725">
        <v>1954</v>
      </c>
      <c r="J1725" s="1334" t="s">
        <v>475</v>
      </c>
      <c r="K1725" s="1335" t="s">
        <v>481</v>
      </c>
      <c r="L1725" s="180">
        <v>0</v>
      </c>
      <c r="M1725" t="s">
        <v>4</v>
      </c>
      <c r="N1725" t="str">
        <f t="shared" si="106"/>
        <v>INTERNATIONAL PAPER BUILDING (5058)</v>
      </c>
      <c r="O1725" t="s">
        <v>52</v>
      </c>
      <c r="P1725" t="str">
        <f t="shared" si="107"/>
        <v>18000_5058</v>
      </c>
      <c r="Q1725" s="180">
        <v>0</v>
      </c>
    </row>
    <row r="1726" spans="1:17">
      <c r="A1726" t="str">
        <f t="shared" si="104"/>
        <v>UGA_5059</v>
      </c>
      <c r="B1726" t="str">
        <f t="shared" si="105"/>
        <v>UGA_HASTINGS BLDG</v>
      </c>
      <c r="C1726" t="s">
        <v>443</v>
      </c>
      <c r="D1726" s="180" t="s">
        <v>51</v>
      </c>
      <c r="E1726" t="s">
        <v>3725</v>
      </c>
      <c r="F1726" t="s">
        <v>3726</v>
      </c>
      <c r="G1726" s="180">
        <v>4315</v>
      </c>
      <c r="H1726">
        <v>1954</v>
      </c>
      <c r="J1726" s="1334" t="s">
        <v>475</v>
      </c>
      <c r="K1726" s="1335" t="s">
        <v>486</v>
      </c>
      <c r="L1726" s="180">
        <v>0</v>
      </c>
      <c r="M1726" t="s">
        <v>4</v>
      </c>
      <c r="N1726" t="str">
        <f t="shared" si="106"/>
        <v>HASTINGS BLDG (5059)</v>
      </c>
      <c r="O1726" t="s">
        <v>52</v>
      </c>
      <c r="P1726" t="str">
        <f t="shared" si="107"/>
        <v>18000_5059</v>
      </c>
      <c r="Q1726" s="180">
        <v>0</v>
      </c>
    </row>
    <row r="1727" spans="1:17">
      <c r="A1727" t="str">
        <f t="shared" si="104"/>
        <v>UGA_5060</v>
      </c>
      <c r="B1727" t="str">
        <f t="shared" si="105"/>
        <v>UGA_HOUSEKEEPING</v>
      </c>
      <c r="C1727" t="s">
        <v>443</v>
      </c>
      <c r="D1727" s="180" t="s">
        <v>51</v>
      </c>
      <c r="E1727" t="s">
        <v>4114</v>
      </c>
      <c r="F1727" t="s">
        <v>4115</v>
      </c>
      <c r="G1727" s="180">
        <v>3341</v>
      </c>
      <c r="H1727">
        <v>1963</v>
      </c>
      <c r="J1727" s="1334" t="s">
        <v>475</v>
      </c>
      <c r="K1727" s="1335" t="s">
        <v>1520</v>
      </c>
      <c r="L1727" s="180">
        <v>0</v>
      </c>
      <c r="M1727" t="s">
        <v>4</v>
      </c>
      <c r="N1727" t="str">
        <f t="shared" si="106"/>
        <v>HOUSEKEEPING (5060)</v>
      </c>
      <c r="O1727" t="s">
        <v>52</v>
      </c>
      <c r="P1727" t="str">
        <f t="shared" si="107"/>
        <v>18000_5060</v>
      </c>
      <c r="Q1727" s="180">
        <v>0</v>
      </c>
    </row>
    <row r="1728" spans="1:17">
      <c r="A1728" t="str">
        <f t="shared" si="104"/>
        <v>UGA_5061</v>
      </c>
      <c r="B1728" t="str">
        <f t="shared" si="105"/>
        <v>UGA_ADMINISTRATION BLD</v>
      </c>
      <c r="C1728" t="s">
        <v>443</v>
      </c>
      <c r="D1728" s="180" t="s">
        <v>51</v>
      </c>
      <c r="E1728" t="s">
        <v>3512</v>
      </c>
      <c r="F1728" t="s">
        <v>3513</v>
      </c>
      <c r="G1728" s="180">
        <v>9028</v>
      </c>
      <c r="H1728">
        <v>1952</v>
      </c>
      <c r="J1728" s="1334" t="s">
        <v>475</v>
      </c>
      <c r="K1728" s="1335" t="s">
        <v>1520</v>
      </c>
      <c r="L1728" s="180">
        <v>0</v>
      </c>
      <c r="M1728" t="s">
        <v>4</v>
      </c>
      <c r="N1728" t="str">
        <f t="shared" si="106"/>
        <v>ADMINISTRATION BLD (5061)</v>
      </c>
      <c r="O1728" t="s">
        <v>52</v>
      </c>
      <c r="P1728" t="str">
        <f t="shared" si="107"/>
        <v>18000_5061</v>
      </c>
      <c r="Q1728" s="180">
        <v>0</v>
      </c>
    </row>
    <row r="1729" spans="1:17">
      <c r="A1729" t="str">
        <f t="shared" si="104"/>
        <v>UGA_5062</v>
      </c>
      <c r="B1729" t="str">
        <f t="shared" si="105"/>
        <v>UGA_GA POWER BLDG</v>
      </c>
      <c r="C1729" t="s">
        <v>443</v>
      </c>
      <c r="D1729" s="180" t="s">
        <v>51</v>
      </c>
      <c r="E1729" t="s">
        <v>3868</v>
      </c>
      <c r="F1729" t="s">
        <v>3869</v>
      </c>
      <c r="G1729" s="180">
        <v>5628</v>
      </c>
      <c r="H1729">
        <v>1971</v>
      </c>
      <c r="J1729" s="1334" t="s">
        <v>475</v>
      </c>
      <c r="K1729" s="1335" t="s">
        <v>486</v>
      </c>
      <c r="L1729" s="180">
        <v>0</v>
      </c>
      <c r="M1729" t="s">
        <v>4</v>
      </c>
      <c r="N1729" t="str">
        <f t="shared" si="106"/>
        <v>GA POWER BLDG (5062)</v>
      </c>
      <c r="O1729" t="s">
        <v>52</v>
      </c>
      <c r="P1729" t="str">
        <f t="shared" si="107"/>
        <v>18000_5062</v>
      </c>
      <c r="Q1729" s="180">
        <v>0</v>
      </c>
    </row>
    <row r="1730" spans="1:17">
      <c r="A1730" t="str">
        <f t="shared" si="104"/>
        <v>UGA_5063</v>
      </c>
      <c r="B1730" t="str">
        <f t="shared" si="105"/>
        <v>UGA_CALLAWAY BLDG</v>
      </c>
      <c r="C1730" t="s">
        <v>443</v>
      </c>
      <c r="D1730" s="180" t="s">
        <v>51</v>
      </c>
      <c r="E1730" t="s">
        <v>3918</v>
      </c>
      <c r="F1730" t="s">
        <v>3919</v>
      </c>
      <c r="G1730" s="180">
        <v>5258</v>
      </c>
      <c r="H1730">
        <v>1952</v>
      </c>
      <c r="J1730" s="1334" t="s">
        <v>475</v>
      </c>
      <c r="K1730" s="1335" t="s">
        <v>475</v>
      </c>
      <c r="L1730" s="180">
        <v>0</v>
      </c>
      <c r="M1730" t="s">
        <v>4</v>
      </c>
      <c r="N1730" t="str">
        <f t="shared" si="106"/>
        <v>CALLAWAY BLDG (5063)</v>
      </c>
      <c r="O1730" t="s">
        <v>52</v>
      </c>
      <c r="P1730" t="str">
        <f t="shared" si="107"/>
        <v>18000_5063</v>
      </c>
      <c r="Q1730" s="180">
        <v>0</v>
      </c>
    </row>
    <row r="1731" spans="1:17">
      <c r="A1731" t="str">
        <f t="shared" ref="A1731:A1794" si="108">_xlfn.CONCAT(D1731,"_",E1731)</f>
        <v>UGA_5065</v>
      </c>
      <c r="B1731" t="str">
        <f t="shared" ref="B1731:B1794" si="109">_xlfn.CONCAT(D1731,"_",F1731)</f>
        <v>UGA_COCA COLA COTG</v>
      </c>
      <c r="C1731" t="s">
        <v>443</v>
      </c>
      <c r="D1731" s="180" t="s">
        <v>51</v>
      </c>
      <c r="E1731" t="s">
        <v>2019</v>
      </c>
      <c r="F1731" t="s">
        <v>2020</v>
      </c>
      <c r="G1731" s="180">
        <v>1536</v>
      </c>
      <c r="H1731">
        <v>1953</v>
      </c>
      <c r="J1731" s="1334" t="s">
        <v>475</v>
      </c>
      <c r="K1731" s="1335" t="s">
        <v>1520</v>
      </c>
      <c r="L1731" s="180">
        <v>0</v>
      </c>
      <c r="M1731" t="s">
        <v>4</v>
      </c>
      <c r="N1731" t="str">
        <f t="shared" ref="N1731:N1794" si="110">_xlfn.CONCAT(F1731," (",E1731,")")</f>
        <v>COCA COLA COTG (5065)</v>
      </c>
      <c r="O1731" t="s">
        <v>52</v>
      </c>
      <c r="P1731" t="str">
        <f t="shared" ref="P1731:P1794" si="111">_xlfn.CONCAT(C1731,"_",E1731)</f>
        <v>18000_5065</v>
      </c>
      <c r="Q1731" s="180">
        <v>0</v>
      </c>
    </row>
    <row r="1732" spans="1:17">
      <c r="A1732" t="str">
        <f t="shared" si="108"/>
        <v>UGA_5066</v>
      </c>
      <c r="B1732" t="str">
        <f t="shared" si="109"/>
        <v>UGA_BANKERS BLDG</v>
      </c>
      <c r="C1732" t="s">
        <v>443</v>
      </c>
      <c r="D1732" s="180" t="s">
        <v>51</v>
      </c>
      <c r="E1732" t="s">
        <v>2381</v>
      </c>
      <c r="F1732" t="s">
        <v>2382</v>
      </c>
      <c r="G1732" s="180">
        <v>4428</v>
      </c>
      <c r="H1732">
        <v>1953</v>
      </c>
      <c r="J1732" s="1334" t="s">
        <v>475</v>
      </c>
      <c r="K1732" s="1335" t="s">
        <v>481</v>
      </c>
      <c r="L1732" s="180">
        <v>0</v>
      </c>
      <c r="M1732" t="s">
        <v>4</v>
      </c>
      <c r="N1732" t="str">
        <f t="shared" si="110"/>
        <v>BANKERS BLDG (5066)</v>
      </c>
      <c r="O1732" t="s">
        <v>52</v>
      </c>
      <c r="P1732" t="str">
        <f t="shared" si="111"/>
        <v>18000_5066</v>
      </c>
      <c r="Q1732" s="180">
        <v>0</v>
      </c>
    </row>
    <row r="1733" spans="1:17">
      <c r="A1733" t="str">
        <f t="shared" si="108"/>
        <v>UGA_5067</v>
      </c>
      <c r="B1733" t="str">
        <f t="shared" si="109"/>
        <v>UGA_KRANNERT BLDG</v>
      </c>
      <c r="C1733" t="s">
        <v>443</v>
      </c>
      <c r="D1733" s="180" t="s">
        <v>51</v>
      </c>
      <c r="E1733" t="s">
        <v>3657</v>
      </c>
      <c r="F1733" t="s">
        <v>3658</v>
      </c>
      <c r="G1733" s="180">
        <v>5361</v>
      </c>
      <c r="H1733">
        <v>1953</v>
      </c>
      <c r="J1733" s="1334" t="s">
        <v>475</v>
      </c>
      <c r="K1733" s="1335" t="s">
        <v>481</v>
      </c>
      <c r="L1733" s="180">
        <v>0</v>
      </c>
      <c r="M1733" t="s">
        <v>4</v>
      </c>
      <c r="N1733" t="str">
        <f t="shared" si="110"/>
        <v>KRANNERT BLDG (5067)</v>
      </c>
      <c r="O1733" t="s">
        <v>52</v>
      </c>
      <c r="P1733" t="str">
        <f t="shared" si="111"/>
        <v>18000_5067</v>
      </c>
      <c r="Q1733" s="180">
        <v>0</v>
      </c>
    </row>
    <row r="1734" spans="1:17">
      <c r="A1734" t="str">
        <f t="shared" si="108"/>
        <v>UGA_5068</v>
      </c>
      <c r="B1734" t="str">
        <f t="shared" si="109"/>
        <v>UGA_L.P. GAS BLDG</v>
      </c>
      <c r="C1734" t="s">
        <v>443</v>
      </c>
      <c r="D1734" s="180" t="s">
        <v>51</v>
      </c>
      <c r="E1734" t="s">
        <v>2021</v>
      </c>
      <c r="F1734" t="s">
        <v>2022</v>
      </c>
      <c r="G1734" s="180">
        <v>5293</v>
      </c>
      <c r="H1734">
        <v>1953</v>
      </c>
      <c r="J1734" s="1334" t="s">
        <v>475</v>
      </c>
      <c r="K1734" s="1335" t="s">
        <v>481</v>
      </c>
      <c r="L1734" s="180">
        <v>0</v>
      </c>
      <c r="M1734" t="s">
        <v>4</v>
      </c>
      <c r="N1734" t="str">
        <f t="shared" si="110"/>
        <v>L.P. GAS BLDG (5068)</v>
      </c>
      <c r="O1734" t="s">
        <v>52</v>
      </c>
      <c r="P1734" t="str">
        <f t="shared" si="111"/>
        <v>18000_5068</v>
      </c>
      <c r="Q1734" s="180">
        <v>0</v>
      </c>
    </row>
    <row r="1735" spans="1:17">
      <c r="A1735" t="str">
        <f t="shared" si="108"/>
        <v>UGA_5069</v>
      </c>
      <c r="B1735" t="str">
        <f t="shared" si="109"/>
        <v>UGA_FOUNDERS HALL</v>
      </c>
      <c r="C1735" t="s">
        <v>443</v>
      </c>
      <c r="D1735" s="180" t="s">
        <v>51</v>
      </c>
      <c r="E1735" t="s">
        <v>2383</v>
      </c>
      <c r="F1735" t="s">
        <v>2384</v>
      </c>
      <c r="G1735" s="180">
        <v>6529</v>
      </c>
      <c r="H1735">
        <v>1952</v>
      </c>
      <c r="J1735" s="1334" t="s">
        <v>475</v>
      </c>
      <c r="K1735" s="1335" t="s">
        <v>481</v>
      </c>
      <c r="L1735" s="180">
        <v>0</v>
      </c>
      <c r="M1735" t="s">
        <v>4</v>
      </c>
      <c r="N1735" t="str">
        <f t="shared" si="110"/>
        <v>FOUNDERS HALL (5069)</v>
      </c>
      <c r="O1735" t="s">
        <v>52</v>
      </c>
      <c r="P1735" t="str">
        <f t="shared" si="111"/>
        <v>18000_5069</v>
      </c>
      <c r="Q1735" s="180">
        <v>100</v>
      </c>
    </row>
    <row r="1736" spans="1:17">
      <c r="A1736" t="str">
        <f t="shared" si="108"/>
        <v>UGA_5070</v>
      </c>
      <c r="B1736" t="str">
        <f t="shared" si="109"/>
        <v>UGA_BOAT HOUSE &amp; STORE</v>
      </c>
      <c r="C1736" t="s">
        <v>443</v>
      </c>
      <c r="D1736" s="180" t="s">
        <v>51</v>
      </c>
      <c r="E1736" t="s">
        <v>1869</v>
      </c>
      <c r="F1736" t="s">
        <v>1870</v>
      </c>
      <c r="G1736" s="180">
        <v>196</v>
      </c>
      <c r="H1736">
        <v>1953</v>
      </c>
      <c r="J1736" s="1334" t="s">
        <v>475</v>
      </c>
      <c r="K1736" s="1335" t="s">
        <v>481</v>
      </c>
      <c r="L1736" s="180">
        <v>0</v>
      </c>
      <c r="M1736" t="s">
        <v>4</v>
      </c>
      <c r="N1736" t="str">
        <f t="shared" si="110"/>
        <v>BOAT HOUSE &amp; STORE (5070)</v>
      </c>
      <c r="O1736" t="s">
        <v>52</v>
      </c>
      <c r="P1736" t="str">
        <f t="shared" si="111"/>
        <v>18000_5070</v>
      </c>
      <c r="Q1736" s="180">
        <v>0</v>
      </c>
    </row>
    <row r="1737" spans="1:17">
      <c r="A1737" t="str">
        <f t="shared" si="108"/>
        <v>UGA_5072</v>
      </c>
      <c r="B1737" t="str">
        <f t="shared" si="109"/>
        <v>UGA_ENTOMOLOGY BUG H</v>
      </c>
      <c r="C1737" t="s">
        <v>443</v>
      </c>
      <c r="D1737" s="180" t="s">
        <v>51</v>
      </c>
      <c r="E1737" t="s">
        <v>1500</v>
      </c>
      <c r="F1737" t="s">
        <v>1501</v>
      </c>
      <c r="G1737" s="180">
        <v>602</v>
      </c>
      <c r="H1737">
        <v>1952</v>
      </c>
      <c r="J1737" s="1334" t="s">
        <v>475</v>
      </c>
      <c r="K1737" s="1335" t="s">
        <v>1520</v>
      </c>
      <c r="L1737" s="180">
        <v>0</v>
      </c>
      <c r="M1737" t="s">
        <v>4</v>
      </c>
      <c r="N1737" t="str">
        <f t="shared" si="110"/>
        <v>ENTOMOLOGY BUG H (5072)</v>
      </c>
      <c r="O1737" t="s">
        <v>52</v>
      </c>
      <c r="P1737" t="str">
        <f t="shared" si="111"/>
        <v>18000_5072</v>
      </c>
      <c r="Q1737" s="180">
        <v>0</v>
      </c>
    </row>
    <row r="1738" spans="1:17">
      <c r="A1738" t="str">
        <f t="shared" si="108"/>
        <v>UGA_5073</v>
      </c>
      <c r="B1738" t="str">
        <f t="shared" si="109"/>
        <v>UGA_SENIOR EMC PAVILN</v>
      </c>
      <c r="C1738" t="s">
        <v>443</v>
      </c>
      <c r="D1738" s="180" t="s">
        <v>51</v>
      </c>
      <c r="E1738" t="s">
        <v>3752</v>
      </c>
      <c r="F1738" t="s">
        <v>3753</v>
      </c>
      <c r="G1738" s="180">
        <v>18175</v>
      </c>
      <c r="H1738">
        <v>1965</v>
      </c>
      <c r="J1738" s="1334" t="s">
        <v>475</v>
      </c>
      <c r="K1738" s="1335" t="s">
        <v>475</v>
      </c>
      <c r="L1738" s="180">
        <v>0</v>
      </c>
      <c r="M1738" t="s">
        <v>4</v>
      </c>
      <c r="N1738" t="str">
        <f t="shared" si="110"/>
        <v>SENIOR EMC PAVILN (5073)</v>
      </c>
      <c r="O1738" t="s">
        <v>52</v>
      </c>
      <c r="P1738" t="str">
        <f t="shared" si="111"/>
        <v>18000_5073</v>
      </c>
      <c r="Q1738" s="180">
        <v>0</v>
      </c>
    </row>
    <row r="1739" spans="1:17">
      <c r="A1739" t="str">
        <f t="shared" si="108"/>
        <v>UGA_5075</v>
      </c>
      <c r="B1739" t="str">
        <f t="shared" si="109"/>
        <v>UGA_PAVILION AREA 1</v>
      </c>
      <c r="C1739" t="s">
        <v>443</v>
      </c>
      <c r="D1739" s="180" t="s">
        <v>51</v>
      </c>
      <c r="E1739" t="s">
        <v>2514</v>
      </c>
      <c r="F1739" t="s">
        <v>2515</v>
      </c>
      <c r="G1739" s="180">
        <v>1853</v>
      </c>
      <c r="H1739">
        <v>1963</v>
      </c>
      <c r="J1739" s="1334" t="s">
        <v>475</v>
      </c>
      <c r="K1739" s="1335" t="s">
        <v>475</v>
      </c>
      <c r="L1739" s="180">
        <v>0</v>
      </c>
      <c r="M1739" t="s">
        <v>4</v>
      </c>
      <c r="N1739" t="str">
        <f t="shared" si="110"/>
        <v>PAVILION AREA 1 (5075)</v>
      </c>
      <c r="O1739" t="s">
        <v>52</v>
      </c>
      <c r="P1739" t="str">
        <f t="shared" si="111"/>
        <v>18000_5075</v>
      </c>
      <c r="Q1739" s="180">
        <v>100</v>
      </c>
    </row>
    <row r="1740" spans="1:17">
      <c r="A1740" t="str">
        <f t="shared" si="108"/>
        <v>UGA_5076</v>
      </c>
      <c r="B1740" t="str">
        <f t="shared" si="109"/>
        <v>UGA_PAVILION AREA 2</v>
      </c>
      <c r="C1740" t="s">
        <v>443</v>
      </c>
      <c r="D1740" s="180" t="s">
        <v>51</v>
      </c>
      <c r="E1740" t="s">
        <v>3547</v>
      </c>
      <c r="F1740" t="s">
        <v>3548</v>
      </c>
      <c r="G1740" s="180">
        <v>3489</v>
      </c>
      <c r="H1740">
        <v>1964</v>
      </c>
      <c r="J1740" s="1334" t="s">
        <v>475</v>
      </c>
      <c r="K1740" s="1335" t="s">
        <v>475</v>
      </c>
      <c r="L1740" s="180">
        <v>0</v>
      </c>
      <c r="M1740" t="s">
        <v>4</v>
      </c>
      <c r="N1740" t="str">
        <f t="shared" si="110"/>
        <v>PAVILION AREA 2 (5076)</v>
      </c>
      <c r="O1740" t="s">
        <v>52</v>
      </c>
      <c r="P1740" t="str">
        <f t="shared" si="111"/>
        <v>18000_5076</v>
      </c>
      <c r="Q1740" s="180">
        <v>0</v>
      </c>
    </row>
    <row r="1741" spans="1:17">
      <c r="A1741" t="str">
        <f t="shared" si="108"/>
        <v>UGA_5077</v>
      </c>
      <c r="B1741" t="str">
        <f t="shared" si="109"/>
        <v>UGA_PAVILION AREA 3</v>
      </c>
      <c r="C1741" t="s">
        <v>443</v>
      </c>
      <c r="D1741" s="180" t="s">
        <v>51</v>
      </c>
      <c r="E1741" t="s">
        <v>1472</v>
      </c>
      <c r="F1741" t="s">
        <v>1473</v>
      </c>
      <c r="G1741" s="180">
        <v>1853</v>
      </c>
      <c r="H1741">
        <v>1963</v>
      </c>
      <c r="J1741" s="1334" t="s">
        <v>475</v>
      </c>
      <c r="K1741" s="1335" t="s">
        <v>475</v>
      </c>
      <c r="L1741" s="180">
        <v>0</v>
      </c>
      <c r="M1741" t="s">
        <v>4</v>
      </c>
      <c r="N1741" t="str">
        <f t="shared" si="110"/>
        <v>PAVILION AREA 3 (5077)</v>
      </c>
      <c r="O1741" t="s">
        <v>52</v>
      </c>
      <c r="P1741" t="str">
        <f t="shared" si="111"/>
        <v>18000_5077</v>
      </c>
      <c r="Q1741" s="180">
        <v>0</v>
      </c>
    </row>
    <row r="1742" spans="1:17">
      <c r="A1742" t="str">
        <f t="shared" si="108"/>
        <v>UGA_5078</v>
      </c>
      <c r="B1742" t="str">
        <f t="shared" si="109"/>
        <v>UGA_RESIDENT SMITH</v>
      </c>
      <c r="C1742" t="s">
        <v>443</v>
      </c>
      <c r="D1742" s="180" t="s">
        <v>51</v>
      </c>
      <c r="E1742" t="s">
        <v>4331</v>
      </c>
      <c r="F1742" t="s">
        <v>4332</v>
      </c>
      <c r="G1742" s="180">
        <v>3603</v>
      </c>
      <c r="H1742">
        <v>1952</v>
      </c>
      <c r="J1742" s="1334" t="s">
        <v>475</v>
      </c>
      <c r="K1742" s="1335" t="s">
        <v>475</v>
      </c>
      <c r="L1742" s="180">
        <v>0</v>
      </c>
      <c r="M1742" t="s">
        <v>4</v>
      </c>
      <c r="N1742" t="str">
        <f t="shared" si="110"/>
        <v>RESIDENT SMITH (5078)</v>
      </c>
      <c r="O1742" t="s">
        <v>52</v>
      </c>
      <c r="P1742" t="str">
        <f t="shared" si="111"/>
        <v>18000_5078</v>
      </c>
      <c r="Q1742" s="180">
        <v>100</v>
      </c>
    </row>
    <row r="1743" spans="1:17">
      <c r="A1743" t="str">
        <f t="shared" si="108"/>
        <v>UGA_5079</v>
      </c>
      <c r="B1743" t="str">
        <f t="shared" si="109"/>
        <v>UGA_RESIDENT TANKERSLY</v>
      </c>
      <c r="C1743" t="s">
        <v>443</v>
      </c>
      <c r="D1743" s="180" t="s">
        <v>51</v>
      </c>
      <c r="E1743" t="s">
        <v>2023</v>
      </c>
      <c r="F1743" t="s">
        <v>2024</v>
      </c>
      <c r="G1743" s="180">
        <v>2997</v>
      </c>
      <c r="H1743">
        <v>1952</v>
      </c>
      <c r="J1743" s="1334" t="s">
        <v>475</v>
      </c>
      <c r="K1743" s="1335" t="s">
        <v>1520</v>
      </c>
      <c r="L1743" s="180">
        <v>0</v>
      </c>
      <c r="M1743" t="s">
        <v>4</v>
      </c>
      <c r="N1743" t="str">
        <f t="shared" si="110"/>
        <v>RESIDENT TANKERSLY (5079)</v>
      </c>
      <c r="O1743" t="s">
        <v>52</v>
      </c>
      <c r="P1743" t="str">
        <f t="shared" si="111"/>
        <v>18000_5079</v>
      </c>
      <c r="Q1743" s="180">
        <v>100</v>
      </c>
    </row>
    <row r="1744" spans="1:17">
      <c r="A1744" t="str">
        <f t="shared" si="108"/>
        <v>UGA_5080</v>
      </c>
      <c r="B1744" t="str">
        <f t="shared" si="109"/>
        <v>UGA_RESIDENT WILLIAMSO</v>
      </c>
      <c r="C1744" t="s">
        <v>443</v>
      </c>
      <c r="D1744" s="180" t="s">
        <v>51</v>
      </c>
      <c r="E1744" t="s">
        <v>1871</v>
      </c>
      <c r="F1744" t="s">
        <v>1872</v>
      </c>
      <c r="G1744" s="180">
        <v>3005</v>
      </c>
      <c r="H1744">
        <v>1954</v>
      </c>
      <c r="J1744" s="1334" t="s">
        <v>475</v>
      </c>
      <c r="K1744" s="1335" t="s">
        <v>481</v>
      </c>
      <c r="L1744" s="180">
        <v>0</v>
      </c>
      <c r="M1744" t="s">
        <v>4</v>
      </c>
      <c r="N1744" t="str">
        <f t="shared" si="110"/>
        <v>RESIDENT WILLIAMSO (5080)</v>
      </c>
      <c r="O1744" t="s">
        <v>52</v>
      </c>
      <c r="P1744" t="str">
        <f t="shared" si="111"/>
        <v>18000_5080</v>
      </c>
      <c r="Q1744" s="180">
        <v>100</v>
      </c>
    </row>
    <row r="1745" spans="1:17">
      <c r="A1745" t="str">
        <f t="shared" si="108"/>
        <v>UGA_5081</v>
      </c>
      <c r="B1745" t="str">
        <f t="shared" si="109"/>
        <v>UGA_RESIDENT JENKINS</v>
      </c>
      <c r="C1745" t="s">
        <v>443</v>
      </c>
      <c r="D1745" s="180" t="s">
        <v>51</v>
      </c>
      <c r="E1745" t="s">
        <v>3985</v>
      </c>
      <c r="F1745" t="s">
        <v>3986</v>
      </c>
      <c r="G1745" s="180">
        <v>2238</v>
      </c>
      <c r="H1745">
        <v>1952</v>
      </c>
      <c r="J1745" s="1334" t="s">
        <v>475</v>
      </c>
      <c r="K1745" s="1335" t="s">
        <v>475</v>
      </c>
      <c r="L1745" s="180">
        <v>0</v>
      </c>
      <c r="M1745" t="s">
        <v>4</v>
      </c>
      <c r="N1745" t="str">
        <f t="shared" si="110"/>
        <v>RESIDENT JENKINS (5081)</v>
      </c>
      <c r="O1745" t="s">
        <v>52</v>
      </c>
      <c r="P1745" t="str">
        <f t="shared" si="111"/>
        <v>18000_5081</v>
      </c>
      <c r="Q1745" s="180">
        <v>100</v>
      </c>
    </row>
    <row r="1746" spans="1:17">
      <c r="A1746" t="str">
        <f t="shared" si="108"/>
        <v>UGA_5082</v>
      </c>
      <c r="B1746" t="str">
        <f t="shared" si="109"/>
        <v>UGA_POOL 1 FILTER HOUS</v>
      </c>
      <c r="C1746" t="s">
        <v>443</v>
      </c>
      <c r="D1746" s="180" t="s">
        <v>51</v>
      </c>
      <c r="E1746" t="s">
        <v>2102</v>
      </c>
      <c r="F1746" t="s">
        <v>2103</v>
      </c>
      <c r="G1746" s="180">
        <v>303</v>
      </c>
      <c r="H1746">
        <v>1952</v>
      </c>
      <c r="J1746" s="1334" t="s">
        <v>475</v>
      </c>
      <c r="K1746" s="1335" t="s">
        <v>486</v>
      </c>
      <c r="L1746" s="180">
        <v>0</v>
      </c>
      <c r="M1746" t="s">
        <v>4</v>
      </c>
      <c r="N1746" t="str">
        <f t="shared" si="110"/>
        <v>POOL 1 FILTER HOUS (5082)</v>
      </c>
      <c r="O1746" t="s">
        <v>52</v>
      </c>
      <c r="P1746" t="str">
        <f t="shared" si="111"/>
        <v>18000_5082</v>
      </c>
      <c r="Q1746" s="180">
        <v>100</v>
      </c>
    </row>
    <row r="1747" spans="1:17">
      <c r="A1747" t="str">
        <f t="shared" si="108"/>
        <v>UGA_5083</v>
      </c>
      <c r="B1747" t="str">
        <f t="shared" si="109"/>
        <v>UGA_POOL 2 FILTER HOUS</v>
      </c>
      <c r="C1747" t="s">
        <v>443</v>
      </c>
      <c r="D1747" s="180" t="s">
        <v>51</v>
      </c>
      <c r="E1747" t="s">
        <v>1474</v>
      </c>
      <c r="F1747" t="s">
        <v>1475</v>
      </c>
      <c r="G1747" s="180">
        <v>229</v>
      </c>
      <c r="H1747">
        <v>1964</v>
      </c>
      <c r="J1747" s="1334" t="s">
        <v>475</v>
      </c>
      <c r="K1747" s="1335" t="s">
        <v>1520</v>
      </c>
      <c r="L1747" s="180">
        <v>0</v>
      </c>
      <c r="M1747" t="s">
        <v>4</v>
      </c>
      <c r="N1747" t="str">
        <f t="shared" si="110"/>
        <v>POOL 2 FILTER HOUS (5083)</v>
      </c>
      <c r="O1747" t="s">
        <v>52</v>
      </c>
      <c r="P1747" t="str">
        <f t="shared" si="111"/>
        <v>18000_5083</v>
      </c>
      <c r="Q1747" s="180">
        <v>100</v>
      </c>
    </row>
    <row r="1748" spans="1:17">
      <c r="A1748" t="str">
        <f t="shared" si="108"/>
        <v>UGA_5084</v>
      </c>
      <c r="B1748" t="str">
        <f t="shared" si="109"/>
        <v>UGA_PAVILION C</v>
      </c>
      <c r="C1748" t="s">
        <v>443</v>
      </c>
      <c r="D1748" s="180" t="s">
        <v>51</v>
      </c>
      <c r="E1748" t="s">
        <v>3322</v>
      </c>
      <c r="F1748" t="s">
        <v>3323</v>
      </c>
      <c r="G1748" s="180">
        <v>1492</v>
      </c>
      <c r="H1748">
        <v>1958</v>
      </c>
      <c r="J1748" s="1334" t="s">
        <v>475</v>
      </c>
      <c r="K1748" s="1335" t="s">
        <v>475</v>
      </c>
      <c r="L1748" s="180">
        <v>0</v>
      </c>
      <c r="M1748" t="s">
        <v>4</v>
      </c>
      <c r="N1748" t="str">
        <f t="shared" si="110"/>
        <v>PAVILION C (5084)</v>
      </c>
      <c r="O1748" t="s">
        <v>52</v>
      </c>
      <c r="P1748" t="str">
        <f t="shared" si="111"/>
        <v>18000_5084</v>
      </c>
      <c r="Q1748" s="180">
        <v>100</v>
      </c>
    </row>
    <row r="1749" spans="1:17">
      <c r="A1749" t="str">
        <f t="shared" si="108"/>
        <v>UGA_5085</v>
      </c>
      <c r="B1749" t="str">
        <f t="shared" si="109"/>
        <v>UGA_LAKESIDE PAVILION</v>
      </c>
      <c r="C1749" t="s">
        <v>443</v>
      </c>
      <c r="D1749" s="180" t="s">
        <v>51</v>
      </c>
      <c r="E1749" t="s">
        <v>3568</v>
      </c>
      <c r="F1749" t="s">
        <v>3569</v>
      </c>
      <c r="G1749" s="180">
        <v>808</v>
      </c>
      <c r="H1749">
        <v>1959</v>
      </c>
      <c r="J1749" s="1334" t="s">
        <v>475</v>
      </c>
      <c r="K1749" s="1335" t="s">
        <v>475</v>
      </c>
      <c r="L1749" s="180">
        <v>0</v>
      </c>
      <c r="M1749" t="s">
        <v>4</v>
      </c>
      <c r="N1749" t="str">
        <f t="shared" si="110"/>
        <v>LAKESIDE PAVILION (5085)</v>
      </c>
      <c r="O1749" t="s">
        <v>52</v>
      </c>
      <c r="P1749" t="str">
        <f t="shared" si="111"/>
        <v>18000_5085</v>
      </c>
      <c r="Q1749" s="180">
        <v>100</v>
      </c>
    </row>
    <row r="1750" spans="1:17">
      <c r="A1750" t="str">
        <f t="shared" si="108"/>
        <v>UGA_5086</v>
      </c>
      <c r="B1750" t="str">
        <f t="shared" si="109"/>
        <v>UGA_BARKULOO CONF CTR</v>
      </c>
      <c r="C1750" t="s">
        <v>443</v>
      </c>
      <c r="D1750" s="180" t="s">
        <v>51</v>
      </c>
      <c r="E1750" t="s">
        <v>3659</v>
      </c>
      <c r="F1750" t="s">
        <v>3660</v>
      </c>
      <c r="G1750" s="180">
        <v>5974</v>
      </c>
      <c r="H1750">
        <v>1973</v>
      </c>
      <c r="J1750" s="1334" t="s">
        <v>475</v>
      </c>
      <c r="K1750" s="1335" t="s">
        <v>475</v>
      </c>
      <c r="L1750" s="180">
        <v>0</v>
      </c>
      <c r="M1750" t="s">
        <v>4</v>
      </c>
      <c r="N1750" t="str">
        <f t="shared" si="110"/>
        <v>BARKULOO CONF CTR (5086)</v>
      </c>
      <c r="O1750" t="s">
        <v>52</v>
      </c>
      <c r="P1750" t="str">
        <f t="shared" si="111"/>
        <v>18000_5086</v>
      </c>
      <c r="Q1750" s="180">
        <v>100</v>
      </c>
    </row>
    <row r="1751" spans="1:17">
      <c r="A1751" t="str">
        <f t="shared" si="108"/>
        <v>UGA_5088</v>
      </c>
      <c r="B1751" t="str">
        <f t="shared" si="109"/>
        <v>UGA_PUMP HOUSE</v>
      </c>
      <c r="C1751" t="s">
        <v>443</v>
      </c>
      <c r="D1751" s="180" t="s">
        <v>51</v>
      </c>
      <c r="E1751" t="s">
        <v>4087</v>
      </c>
      <c r="F1751" t="s">
        <v>1503</v>
      </c>
      <c r="G1751" s="180">
        <v>464</v>
      </c>
      <c r="H1751">
        <v>1952</v>
      </c>
      <c r="J1751" s="1334" t="s">
        <v>475</v>
      </c>
      <c r="K1751" s="1335" t="s">
        <v>475</v>
      </c>
      <c r="L1751" s="180">
        <v>0</v>
      </c>
      <c r="M1751" t="s">
        <v>4</v>
      </c>
      <c r="N1751" t="str">
        <f t="shared" si="110"/>
        <v>PUMP HOUSE (5088)</v>
      </c>
      <c r="O1751" t="s">
        <v>52</v>
      </c>
      <c r="P1751" t="str">
        <f t="shared" si="111"/>
        <v>18000_5088</v>
      </c>
      <c r="Q1751" s="180">
        <v>100</v>
      </c>
    </row>
    <row r="1752" spans="1:17">
      <c r="A1752" t="str">
        <f t="shared" si="108"/>
        <v>UGA_5089</v>
      </c>
      <c r="B1752" t="str">
        <f t="shared" si="109"/>
        <v>UGA_PUMP HOUSE</v>
      </c>
      <c r="C1752" t="s">
        <v>443</v>
      </c>
      <c r="D1752" s="180" t="s">
        <v>51</v>
      </c>
      <c r="E1752" t="s">
        <v>3870</v>
      </c>
      <c r="F1752" t="s">
        <v>1503</v>
      </c>
      <c r="G1752" s="180">
        <v>100</v>
      </c>
      <c r="H1752">
        <v>1953</v>
      </c>
      <c r="J1752" s="1334" t="s">
        <v>475</v>
      </c>
      <c r="K1752" s="1335" t="s">
        <v>475</v>
      </c>
      <c r="L1752" s="180">
        <v>0</v>
      </c>
      <c r="M1752" t="s">
        <v>4</v>
      </c>
      <c r="N1752" t="str">
        <f t="shared" si="110"/>
        <v>PUMP HOUSE (5089)</v>
      </c>
      <c r="O1752" t="s">
        <v>52</v>
      </c>
      <c r="P1752" t="str">
        <f t="shared" si="111"/>
        <v>18000_5089</v>
      </c>
      <c r="Q1752" s="180">
        <v>0</v>
      </c>
    </row>
    <row r="1753" spans="1:17">
      <c r="A1753" t="str">
        <f t="shared" si="108"/>
        <v>UGA_5090</v>
      </c>
      <c r="B1753" t="str">
        <f t="shared" si="109"/>
        <v>UGA_OBSERVATION TOWER</v>
      </c>
      <c r="C1753" t="s">
        <v>443</v>
      </c>
      <c r="D1753" s="180" t="s">
        <v>51</v>
      </c>
      <c r="E1753" t="s">
        <v>4116</v>
      </c>
      <c r="F1753" t="s">
        <v>4117</v>
      </c>
      <c r="G1753" s="180">
        <v>1444</v>
      </c>
      <c r="H1753">
        <v>1936</v>
      </c>
      <c r="J1753" s="1334" t="s">
        <v>475</v>
      </c>
      <c r="K1753" s="1335" t="s">
        <v>475</v>
      </c>
      <c r="L1753" s="180">
        <v>0</v>
      </c>
      <c r="M1753" t="s">
        <v>4</v>
      </c>
      <c r="N1753" t="str">
        <f t="shared" si="110"/>
        <v>OBSERVATION TOWER (5090)</v>
      </c>
      <c r="O1753" t="s">
        <v>52</v>
      </c>
      <c r="P1753" t="str">
        <f t="shared" si="111"/>
        <v>18000_5090</v>
      </c>
      <c r="Q1753" s="180">
        <v>0</v>
      </c>
    </row>
    <row r="1754" spans="1:17">
      <c r="A1754" t="str">
        <f t="shared" si="108"/>
        <v>UGA_5092</v>
      </c>
      <c r="B1754" t="str">
        <f t="shared" si="109"/>
        <v>UGA_SEWERAGE LIFT STA</v>
      </c>
      <c r="C1754" t="s">
        <v>443</v>
      </c>
      <c r="D1754" s="180" t="s">
        <v>51</v>
      </c>
      <c r="E1754" t="s">
        <v>3240</v>
      </c>
      <c r="F1754" t="s">
        <v>3241</v>
      </c>
      <c r="G1754" s="180">
        <v>259</v>
      </c>
      <c r="H1754">
        <v>1954</v>
      </c>
      <c r="J1754" s="1334" t="s">
        <v>475</v>
      </c>
      <c r="K1754" s="1335" t="s">
        <v>486</v>
      </c>
      <c r="L1754" s="180">
        <v>0</v>
      </c>
      <c r="M1754" t="s">
        <v>4</v>
      </c>
      <c r="N1754" t="str">
        <f t="shared" si="110"/>
        <v>SEWERAGE LIFT STA (5092)</v>
      </c>
      <c r="O1754" t="s">
        <v>52</v>
      </c>
      <c r="P1754" t="str">
        <f t="shared" si="111"/>
        <v>18000_5092</v>
      </c>
      <c r="Q1754" s="180">
        <v>0</v>
      </c>
    </row>
    <row r="1755" spans="1:17">
      <c r="A1755" t="str">
        <f t="shared" si="108"/>
        <v>UGA_5093</v>
      </c>
      <c r="B1755" t="str">
        <f t="shared" si="109"/>
        <v>UGA_PAVILION POOL 2</v>
      </c>
      <c r="C1755" t="s">
        <v>443</v>
      </c>
      <c r="D1755" s="180" t="s">
        <v>51</v>
      </c>
      <c r="E1755" t="s">
        <v>3940</v>
      </c>
      <c r="F1755" t="s">
        <v>3941</v>
      </c>
      <c r="G1755" s="180">
        <v>3592</v>
      </c>
      <c r="H1755">
        <v>1964</v>
      </c>
      <c r="J1755" s="1334" t="s">
        <v>475</v>
      </c>
      <c r="K1755" s="1335" t="s">
        <v>475</v>
      </c>
      <c r="L1755" s="180">
        <v>0</v>
      </c>
      <c r="M1755" t="s">
        <v>4</v>
      </c>
      <c r="N1755" t="str">
        <f t="shared" si="110"/>
        <v>PAVILION POOL 2 (5093)</v>
      </c>
      <c r="O1755" t="s">
        <v>52</v>
      </c>
      <c r="P1755" t="str">
        <f t="shared" si="111"/>
        <v>18000_5093</v>
      </c>
      <c r="Q1755" s="180">
        <v>100</v>
      </c>
    </row>
    <row r="1756" spans="1:17">
      <c r="A1756" t="str">
        <f t="shared" si="108"/>
        <v>UGA_5095</v>
      </c>
      <c r="B1756" t="str">
        <f t="shared" si="109"/>
        <v>UGA_PUMP HOUSE</v>
      </c>
      <c r="C1756" t="s">
        <v>443</v>
      </c>
      <c r="D1756" s="180" t="s">
        <v>51</v>
      </c>
      <c r="E1756" t="s">
        <v>1502</v>
      </c>
      <c r="F1756" t="s">
        <v>1503</v>
      </c>
      <c r="G1756" s="180">
        <v>100</v>
      </c>
      <c r="H1756">
        <v>1952</v>
      </c>
      <c r="J1756" s="1334" t="s">
        <v>475</v>
      </c>
      <c r="K1756" s="1335" t="s">
        <v>475</v>
      </c>
      <c r="L1756" s="180">
        <v>0</v>
      </c>
      <c r="M1756" t="s">
        <v>4</v>
      </c>
      <c r="N1756" t="str">
        <f t="shared" si="110"/>
        <v>PUMP HOUSE (5095)</v>
      </c>
      <c r="O1756" t="s">
        <v>52</v>
      </c>
      <c r="P1756" t="str">
        <f t="shared" si="111"/>
        <v>18000_5095</v>
      </c>
      <c r="Q1756" s="180">
        <v>100</v>
      </c>
    </row>
    <row r="1757" spans="1:17">
      <c r="A1757" t="str">
        <f t="shared" si="108"/>
        <v>UGA_5096</v>
      </c>
      <c r="B1757" t="str">
        <f t="shared" si="109"/>
        <v>UGA_BATH HOUSE PIONEER CAMP</v>
      </c>
      <c r="C1757" t="s">
        <v>443</v>
      </c>
      <c r="D1757" s="180" t="s">
        <v>51</v>
      </c>
      <c r="E1757" t="s">
        <v>4118</v>
      </c>
      <c r="F1757" t="s">
        <v>4119</v>
      </c>
      <c r="G1757" s="180">
        <v>894</v>
      </c>
      <c r="H1757">
        <v>1974</v>
      </c>
      <c r="J1757" s="1334" t="s">
        <v>475</v>
      </c>
      <c r="K1757" s="1335" t="s">
        <v>475</v>
      </c>
      <c r="L1757" s="180">
        <v>0</v>
      </c>
      <c r="M1757" t="s">
        <v>4</v>
      </c>
      <c r="N1757" t="str">
        <f t="shared" si="110"/>
        <v>BATH HOUSE PIONEER CAMP (5096)</v>
      </c>
      <c r="O1757" t="s">
        <v>52</v>
      </c>
      <c r="P1757" t="str">
        <f t="shared" si="111"/>
        <v>18000_5096</v>
      </c>
      <c r="Q1757" s="180">
        <v>100</v>
      </c>
    </row>
    <row r="1758" spans="1:17">
      <c r="A1758" t="str">
        <f t="shared" si="108"/>
        <v>UGA_5097</v>
      </c>
      <c r="B1758" t="str">
        <f t="shared" si="109"/>
        <v>UGA_PAVILION PIONEER C</v>
      </c>
      <c r="C1758" t="s">
        <v>443</v>
      </c>
      <c r="D1758" s="180" t="s">
        <v>51</v>
      </c>
      <c r="E1758" t="s">
        <v>4255</v>
      </c>
      <c r="F1758" t="s">
        <v>4256</v>
      </c>
      <c r="G1758" s="180">
        <v>1128</v>
      </c>
      <c r="H1758">
        <v>1974</v>
      </c>
      <c r="J1758" s="1334" t="s">
        <v>475</v>
      </c>
      <c r="K1758" s="1335" t="s">
        <v>475</v>
      </c>
      <c r="L1758" s="180">
        <v>0</v>
      </c>
      <c r="M1758" t="s">
        <v>4</v>
      </c>
      <c r="N1758" t="str">
        <f t="shared" si="110"/>
        <v>PAVILION PIONEER C (5097)</v>
      </c>
      <c r="O1758" t="s">
        <v>52</v>
      </c>
      <c r="P1758" t="str">
        <f t="shared" si="111"/>
        <v>18000_5097</v>
      </c>
      <c r="Q1758" s="180">
        <v>100</v>
      </c>
    </row>
    <row r="1759" spans="1:17">
      <c r="A1759" t="str">
        <f t="shared" si="108"/>
        <v>UGA_5098</v>
      </c>
      <c r="B1759" t="str">
        <f t="shared" si="109"/>
        <v>UGA_ADIRONDACK CABINS</v>
      </c>
      <c r="C1759" t="s">
        <v>443</v>
      </c>
      <c r="D1759" s="180" t="s">
        <v>51</v>
      </c>
      <c r="E1759" t="s">
        <v>4172</v>
      </c>
      <c r="F1759" t="s">
        <v>4173</v>
      </c>
      <c r="G1759" s="180">
        <v>972</v>
      </c>
      <c r="H1759">
        <v>1972</v>
      </c>
      <c r="J1759" s="1334" t="s">
        <v>475</v>
      </c>
      <c r="K1759" s="1335" t="s">
        <v>475</v>
      </c>
      <c r="L1759" s="180">
        <v>0</v>
      </c>
      <c r="M1759" t="s">
        <v>4</v>
      </c>
      <c r="N1759" t="str">
        <f t="shared" si="110"/>
        <v>ADIRONDACK CABINS (5098)</v>
      </c>
      <c r="O1759" t="s">
        <v>52</v>
      </c>
      <c r="P1759" t="str">
        <f t="shared" si="111"/>
        <v>18000_5098</v>
      </c>
      <c r="Q1759" s="180">
        <v>100</v>
      </c>
    </row>
    <row r="1760" spans="1:17">
      <c r="A1760" t="str">
        <f t="shared" si="108"/>
        <v>UGA_5100</v>
      </c>
      <c r="B1760" t="str">
        <f t="shared" si="109"/>
        <v>UGA_SECURITY HOUSE</v>
      </c>
      <c r="C1760" t="s">
        <v>443</v>
      </c>
      <c r="D1760" s="180" t="s">
        <v>51</v>
      </c>
      <c r="E1760" t="s">
        <v>2050</v>
      </c>
      <c r="F1760" t="s">
        <v>2051</v>
      </c>
      <c r="G1760" s="180">
        <v>332</v>
      </c>
      <c r="H1760">
        <v>2006</v>
      </c>
      <c r="J1760" s="1334" t="s">
        <v>475</v>
      </c>
      <c r="K1760" s="1335" t="s">
        <v>475</v>
      </c>
      <c r="L1760" s="180">
        <v>0</v>
      </c>
      <c r="M1760" t="s">
        <v>4</v>
      </c>
      <c r="N1760" t="str">
        <f t="shared" si="110"/>
        <v>SECURITY HOUSE (5100)</v>
      </c>
      <c r="O1760" t="s">
        <v>52</v>
      </c>
      <c r="P1760" t="str">
        <f t="shared" si="111"/>
        <v>18000_5100</v>
      </c>
      <c r="Q1760" s="180">
        <v>100</v>
      </c>
    </row>
    <row r="1761" spans="1:17">
      <c r="A1761" t="str">
        <f t="shared" si="108"/>
        <v>UGA_5119</v>
      </c>
      <c r="B1761" t="str">
        <f t="shared" si="109"/>
        <v>UGA_BIRD LAB</v>
      </c>
      <c r="C1761" t="s">
        <v>443</v>
      </c>
      <c r="D1761" s="180" t="s">
        <v>51</v>
      </c>
      <c r="E1761" t="s">
        <v>2310</v>
      </c>
      <c r="F1761" t="s">
        <v>2311</v>
      </c>
      <c r="G1761" s="180">
        <v>333</v>
      </c>
      <c r="H1761">
        <v>1998</v>
      </c>
      <c r="J1761" s="1334" t="s">
        <v>475</v>
      </c>
      <c r="K1761" s="1335" t="s">
        <v>475</v>
      </c>
      <c r="L1761" s="180">
        <v>0</v>
      </c>
      <c r="M1761" t="s">
        <v>4</v>
      </c>
      <c r="N1761" t="str">
        <f t="shared" si="110"/>
        <v>BIRD LAB (5119)</v>
      </c>
      <c r="O1761" t="s">
        <v>52</v>
      </c>
      <c r="P1761" t="str">
        <f t="shared" si="111"/>
        <v>18000_5119</v>
      </c>
      <c r="Q1761" s="180">
        <v>0</v>
      </c>
    </row>
    <row r="1762" spans="1:17">
      <c r="A1762" t="str">
        <f t="shared" si="108"/>
        <v>UGA_5120</v>
      </c>
      <c r="B1762" t="str">
        <f t="shared" si="109"/>
        <v>UGA_FOUR STORAGE UNITS</v>
      </c>
      <c r="C1762" t="s">
        <v>443</v>
      </c>
      <c r="D1762" s="180" t="s">
        <v>51</v>
      </c>
      <c r="E1762" t="s">
        <v>3549</v>
      </c>
      <c r="F1762" t="s">
        <v>3550</v>
      </c>
      <c r="G1762" s="180">
        <v>654</v>
      </c>
      <c r="H1762">
        <v>1995</v>
      </c>
      <c r="J1762" s="1334" t="s">
        <v>475</v>
      </c>
      <c r="K1762" s="1335" t="s">
        <v>475</v>
      </c>
      <c r="L1762" s="180">
        <v>0</v>
      </c>
      <c r="M1762" t="s">
        <v>4</v>
      </c>
      <c r="N1762" t="str">
        <f t="shared" si="110"/>
        <v>FOUR STORAGE UNITS (5120)</v>
      </c>
      <c r="O1762" t="s">
        <v>52</v>
      </c>
      <c r="P1762" t="str">
        <f t="shared" si="111"/>
        <v>18000_5120</v>
      </c>
      <c r="Q1762" s="180">
        <v>0</v>
      </c>
    </row>
    <row r="1763" spans="1:17">
      <c r="A1763" t="str">
        <f t="shared" si="108"/>
        <v>UGA_5121</v>
      </c>
      <c r="B1763" t="str">
        <f t="shared" si="109"/>
        <v>UGA_ADMIN GAZEBO</v>
      </c>
      <c r="C1763" t="s">
        <v>443</v>
      </c>
      <c r="D1763" s="180" t="s">
        <v>51</v>
      </c>
      <c r="E1763" t="s">
        <v>3324</v>
      </c>
      <c r="F1763" t="s">
        <v>3325</v>
      </c>
      <c r="G1763" s="180">
        <v>86</v>
      </c>
      <c r="H1763">
        <v>2004</v>
      </c>
      <c r="J1763" s="1334" t="s">
        <v>475</v>
      </c>
      <c r="K1763" s="1335" t="s">
        <v>475</v>
      </c>
      <c r="L1763" s="180">
        <v>0</v>
      </c>
      <c r="M1763" t="s">
        <v>4</v>
      </c>
      <c r="N1763" t="str">
        <f t="shared" si="110"/>
        <v>ADMIN GAZEBO (5121)</v>
      </c>
      <c r="O1763" t="s">
        <v>52</v>
      </c>
      <c r="P1763" t="str">
        <f t="shared" si="111"/>
        <v>18000_5121</v>
      </c>
      <c r="Q1763" s="180">
        <v>0</v>
      </c>
    </row>
    <row r="1764" spans="1:17">
      <c r="A1764" t="str">
        <f t="shared" si="108"/>
        <v>UGA_5122</v>
      </c>
      <c r="B1764" t="str">
        <f t="shared" si="109"/>
        <v>UGA_DINING HALL</v>
      </c>
      <c r="C1764" t="s">
        <v>443</v>
      </c>
      <c r="D1764" s="180" t="s">
        <v>51</v>
      </c>
      <c r="E1764" t="s">
        <v>1781</v>
      </c>
      <c r="F1764" t="s">
        <v>1479</v>
      </c>
      <c r="G1764" s="180">
        <v>50517</v>
      </c>
      <c r="H1764">
        <v>2009</v>
      </c>
      <c r="J1764" s="1334" t="s">
        <v>475</v>
      </c>
      <c r="K1764" s="1335" t="s">
        <v>475</v>
      </c>
      <c r="L1764" s="180">
        <v>0</v>
      </c>
      <c r="M1764" t="s">
        <v>4</v>
      </c>
      <c r="N1764" t="str">
        <f t="shared" si="110"/>
        <v>DINING HALL (5122)</v>
      </c>
      <c r="O1764" t="s">
        <v>52</v>
      </c>
      <c r="P1764" t="str">
        <f t="shared" si="111"/>
        <v>18000_5122</v>
      </c>
      <c r="Q1764" s="180">
        <v>0</v>
      </c>
    </row>
    <row r="1765" spans="1:17">
      <c r="A1765" t="str">
        <f t="shared" si="108"/>
        <v>UGA_5123</v>
      </c>
      <c r="B1765" t="str">
        <f t="shared" si="109"/>
        <v>UGA_INFIRMARY</v>
      </c>
      <c r="C1765" t="s">
        <v>443</v>
      </c>
      <c r="D1765" s="180" t="s">
        <v>51</v>
      </c>
      <c r="E1765" t="s">
        <v>2473</v>
      </c>
      <c r="F1765" t="s">
        <v>2474</v>
      </c>
      <c r="G1765" s="180">
        <v>3269</v>
      </c>
      <c r="H1765">
        <v>2009</v>
      </c>
      <c r="J1765" s="1334" t="s">
        <v>475</v>
      </c>
      <c r="K1765" s="1335" t="s">
        <v>475</v>
      </c>
      <c r="L1765" s="180">
        <v>0</v>
      </c>
      <c r="M1765" t="s">
        <v>4</v>
      </c>
      <c r="N1765" t="str">
        <f t="shared" si="110"/>
        <v>INFIRMARY (5123)</v>
      </c>
      <c r="O1765" t="s">
        <v>52</v>
      </c>
      <c r="P1765" t="str">
        <f t="shared" si="111"/>
        <v>18000_5123</v>
      </c>
      <c r="Q1765" s="180">
        <v>0</v>
      </c>
    </row>
    <row r="1766" spans="1:17">
      <c r="A1766" t="str">
        <f t="shared" si="108"/>
        <v>UGA_5124</v>
      </c>
      <c r="B1766" t="str">
        <f t="shared" si="109"/>
        <v>UGA_SEWAGE TREATMENT</v>
      </c>
      <c r="C1766" t="s">
        <v>443</v>
      </c>
      <c r="D1766" s="180" t="s">
        <v>51</v>
      </c>
      <c r="E1766" t="s">
        <v>3661</v>
      </c>
      <c r="F1766" t="s">
        <v>3662</v>
      </c>
      <c r="G1766" s="180">
        <v>198</v>
      </c>
      <c r="H1766">
        <v>2010</v>
      </c>
      <c r="J1766" s="1334" t="s">
        <v>475</v>
      </c>
      <c r="K1766" s="1335" t="s">
        <v>475</v>
      </c>
      <c r="L1766" s="180">
        <v>0</v>
      </c>
      <c r="M1766" t="s">
        <v>4</v>
      </c>
      <c r="N1766" t="str">
        <f t="shared" si="110"/>
        <v>SEWAGE TREATMENT (5124)</v>
      </c>
      <c r="O1766" t="s">
        <v>52</v>
      </c>
      <c r="P1766" t="str">
        <f t="shared" si="111"/>
        <v>18000_5124</v>
      </c>
      <c r="Q1766" s="180">
        <v>0</v>
      </c>
    </row>
    <row r="1767" spans="1:17">
      <c r="A1767" t="str">
        <f t="shared" si="108"/>
        <v>UGA_5125</v>
      </c>
      <c r="B1767" t="str">
        <f t="shared" si="109"/>
        <v>UGA_WAREHOUSE 2</v>
      </c>
      <c r="C1767" t="s">
        <v>443</v>
      </c>
      <c r="D1767" s="180" t="s">
        <v>51</v>
      </c>
      <c r="E1767" t="s">
        <v>1873</v>
      </c>
      <c r="F1767" t="s">
        <v>1874</v>
      </c>
      <c r="G1767" s="180">
        <v>10661</v>
      </c>
      <c r="H1767">
        <v>1982</v>
      </c>
      <c r="J1767" s="1334" t="s">
        <v>475</v>
      </c>
      <c r="K1767" s="1335" t="s">
        <v>486</v>
      </c>
      <c r="L1767" s="180">
        <v>0</v>
      </c>
      <c r="M1767" t="s">
        <v>4</v>
      </c>
      <c r="N1767" t="str">
        <f t="shared" si="110"/>
        <v>WAREHOUSE 2 (5125)</v>
      </c>
      <c r="O1767" t="s">
        <v>52</v>
      </c>
      <c r="P1767" t="str">
        <f t="shared" si="111"/>
        <v>18000_5125</v>
      </c>
      <c r="Q1767" s="180">
        <v>0</v>
      </c>
    </row>
    <row r="1768" spans="1:17">
      <c r="A1768" t="str">
        <f t="shared" si="108"/>
        <v>UGA_5127</v>
      </c>
      <c r="B1768" t="str">
        <f t="shared" si="109"/>
        <v>UGA_PUMP HOUSE</v>
      </c>
      <c r="C1768" t="s">
        <v>443</v>
      </c>
      <c r="D1768" s="180" t="s">
        <v>51</v>
      </c>
      <c r="E1768" t="s">
        <v>4385</v>
      </c>
      <c r="F1768" t="s">
        <v>1503</v>
      </c>
      <c r="G1768" s="180">
        <v>100</v>
      </c>
      <c r="H1768">
        <v>1988</v>
      </c>
      <c r="J1768" s="1334" t="s">
        <v>475</v>
      </c>
      <c r="K1768" s="1335" t="s">
        <v>475</v>
      </c>
      <c r="L1768" s="180">
        <v>0</v>
      </c>
      <c r="M1768" t="s">
        <v>4</v>
      </c>
      <c r="N1768" t="str">
        <f t="shared" si="110"/>
        <v>PUMP HOUSE (5127)</v>
      </c>
      <c r="O1768" t="s">
        <v>52</v>
      </c>
      <c r="P1768" t="str">
        <f t="shared" si="111"/>
        <v>18000_5127</v>
      </c>
      <c r="Q1768" s="180">
        <v>0</v>
      </c>
    </row>
    <row r="1769" spans="1:17">
      <c r="A1769" t="str">
        <f t="shared" si="108"/>
        <v>UGA_5134</v>
      </c>
      <c r="B1769" t="str">
        <f t="shared" si="109"/>
        <v>UGA_MUSEUM NAT HIST</v>
      </c>
      <c r="C1769" t="s">
        <v>443</v>
      </c>
      <c r="D1769" s="180" t="s">
        <v>51</v>
      </c>
      <c r="E1769" t="s">
        <v>2553</v>
      </c>
      <c r="F1769" t="s">
        <v>2554</v>
      </c>
      <c r="G1769" s="180">
        <v>8018</v>
      </c>
      <c r="H1769">
        <v>1990</v>
      </c>
      <c r="J1769" s="1334" t="s">
        <v>475</v>
      </c>
      <c r="K1769" s="1335" t="s">
        <v>475</v>
      </c>
      <c r="L1769" s="180">
        <v>0</v>
      </c>
      <c r="M1769" t="s">
        <v>4</v>
      </c>
      <c r="N1769" t="str">
        <f t="shared" si="110"/>
        <v>MUSEUM NAT HIST (5134)</v>
      </c>
      <c r="O1769" t="s">
        <v>52</v>
      </c>
      <c r="P1769" t="str">
        <f t="shared" si="111"/>
        <v>18000_5134</v>
      </c>
      <c r="Q1769" s="180">
        <v>0</v>
      </c>
    </row>
    <row r="1770" spans="1:17">
      <c r="A1770" t="str">
        <f t="shared" si="108"/>
        <v>UGA_5135</v>
      </c>
      <c r="B1770" t="str">
        <f t="shared" si="109"/>
        <v>UGA_MAINT SHOP STRG</v>
      </c>
      <c r="C1770" t="s">
        <v>443</v>
      </c>
      <c r="D1770" s="180" t="s">
        <v>51</v>
      </c>
      <c r="E1770" t="s">
        <v>2025</v>
      </c>
      <c r="F1770" t="s">
        <v>2026</v>
      </c>
      <c r="G1770" s="180">
        <v>10348</v>
      </c>
      <c r="H1770">
        <v>1989</v>
      </c>
      <c r="J1770" s="1334" t="s">
        <v>475</v>
      </c>
      <c r="K1770" s="1335" t="s">
        <v>475</v>
      </c>
      <c r="L1770" s="180">
        <v>0</v>
      </c>
      <c r="M1770" t="s">
        <v>4</v>
      </c>
      <c r="N1770" t="str">
        <f t="shared" si="110"/>
        <v>MAINT SHOP STRG (5135)</v>
      </c>
      <c r="O1770" t="s">
        <v>52</v>
      </c>
      <c r="P1770" t="str">
        <f t="shared" si="111"/>
        <v>18000_5135</v>
      </c>
      <c r="Q1770" s="180">
        <v>0</v>
      </c>
    </row>
    <row r="1771" spans="1:17">
      <c r="A1771" t="str">
        <f t="shared" si="108"/>
        <v>UGA_5136</v>
      </c>
      <c r="B1771" t="str">
        <f t="shared" si="109"/>
        <v>UGA_LOG CABIN</v>
      </c>
      <c r="C1771" t="s">
        <v>443</v>
      </c>
      <c r="D1771" s="180" t="s">
        <v>51</v>
      </c>
      <c r="E1771" t="s">
        <v>1875</v>
      </c>
      <c r="F1771" t="s">
        <v>1876</v>
      </c>
      <c r="G1771" s="180">
        <v>144</v>
      </c>
      <c r="H1771">
        <v>1972</v>
      </c>
      <c r="J1771" s="1334" t="s">
        <v>475</v>
      </c>
      <c r="K1771" s="1335" t="s">
        <v>475</v>
      </c>
      <c r="L1771" s="180">
        <v>0</v>
      </c>
      <c r="M1771" t="s">
        <v>4</v>
      </c>
      <c r="N1771" t="str">
        <f t="shared" si="110"/>
        <v>LOG CABIN (5136)</v>
      </c>
      <c r="O1771" t="s">
        <v>52</v>
      </c>
      <c r="P1771" t="str">
        <f t="shared" si="111"/>
        <v>18000_5136</v>
      </c>
      <c r="Q1771" s="180">
        <v>0</v>
      </c>
    </row>
    <row r="1772" spans="1:17">
      <c r="A1772" t="str">
        <f t="shared" si="108"/>
        <v>UGA_5142</v>
      </c>
      <c r="B1772" t="str">
        <f t="shared" si="109"/>
        <v>UGA_STAFF HOUSE 402</v>
      </c>
      <c r="C1772" t="s">
        <v>443</v>
      </c>
      <c r="D1772" s="180" t="s">
        <v>51</v>
      </c>
      <c r="E1772" t="s">
        <v>2452</v>
      </c>
      <c r="F1772" t="s">
        <v>2453</v>
      </c>
      <c r="G1772" s="180">
        <v>1490</v>
      </c>
      <c r="H1772">
        <v>1992</v>
      </c>
      <c r="J1772" s="1334" t="s">
        <v>475</v>
      </c>
      <c r="K1772" s="1335" t="s">
        <v>475</v>
      </c>
      <c r="L1772" s="180">
        <v>0</v>
      </c>
      <c r="M1772" t="s">
        <v>4</v>
      </c>
      <c r="N1772" t="str">
        <f t="shared" si="110"/>
        <v>STAFF HOUSE 402 (5142)</v>
      </c>
      <c r="O1772" t="s">
        <v>52</v>
      </c>
      <c r="P1772" t="str">
        <f t="shared" si="111"/>
        <v>18000_5142</v>
      </c>
      <c r="Q1772" s="180">
        <v>0</v>
      </c>
    </row>
    <row r="1773" spans="1:17">
      <c r="A1773" t="str">
        <f t="shared" si="108"/>
        <v>UGA_5143</v>
      </c>
      <c r="B1773" t="str">
        <f t="shared" si="109"/>
        <v>UGA_STAFF HOUSE 403</v>
      </c>
      <c r="C1773" t="s">
        <v>443</v>
      </c>
      <c r="D1773" s="180" t="s">
        <v>51</v>
      </c>
      <c r="E1773" t="s">
        <v>2052</v>
      </c>
      <c r="F1773" t="s">
        <v>2053</v>
      </c>
      <c r="G1773" s="180">
        <v>1490</v>
      </c>
      <c r="H1773">
        <v>1994</v>
      </c>
      <c r="J1773" s="1334" t="s">
        <v>475</v>
      </c>
      <c r="K1773" s="1335" t="s">
        <v>475</v>
      </c>
      <c r="L1773" s="180">
        <v>0</v>
      </c>
      <c r="M1773" t="s">
        <v>4</v>
      </c>
      <c r="N1773" t="str">
        <f t="shared" si="110"/>
        <v>STAFF HOUSE 403 (5143)</v>
      </c>
      <c r="O1773" t="s">
        <v>52</v>
      </c>
      <c r="P1773" t="str">
        <f t="shared" si="111"/>
        <v>18000_5143</v>
      </c>
      <c r="Q1773" s="180">
        <v>100</v>
      </c>
    </row>
    <row r="1774" spans="1:17">
      <c r="A1774" t="str">
        <f t="shared" si="108"/>
        <v>UGA_5144</v>
      </c>
      <c r="B1774" t="str">
        <f t="shared" si="109"/>
        <v>UGA_STAFF HOUSE 404</v>
      </c>
      <c r="C1774" t="s">
        <v>443</v>
      </c>
      <c r="D1774" s="180" t="s">
        <v>51</v>
      </c>
      <c r="E1774" t="s">
        <v>2698</v>
      </c>
      <c r="F1774" t="s">
        <v>2699</v>
      </c>
      <c r="G1774" s="180">
        <v>1490</v>
      </c>
      <c r="H1774">
        <v>1994</v>
      </c>
      <c r="J1774" s="1334" t="s">
        <v>475</v>
      </c>
      <c r="K1774" s="1335" t="s">
        <v>475</v>
      </c>
      <c r="L1774" s="180">
        <v>0</v>
      </c>
      <c r="M1774" t="s">
        <v>4</v>
      </c>
      <c r="N1774" t="str">
        <f t="shared" si="110"/>
        <v>STAFF HOUSE 404 (5144)</v>
      </c>
      <c r="O1774" t="s">
        <v>52</v>
      </c>
      <c r="P1774" t="str">
        <f t="shared" si="111"/>
        <v>18000_5144</v>
      </c>
      <c r="Q1774" s="180">
        <v>0</v>
      </c>
    </row>
    <row r="1775" spans="1:17">
      <c r="A1775" t="str">
        <f t="shared" si="108"/>
        <v>UGA_5145</v>
      </c>
      <c r="B1775" t="str">
        <f t="shared" si="109"/>
        <v>UGA_PAVILION AREA 4</v>
      </c>
      <c r="C1775" t="s">
        <v>443</v>
      </c>
      <c r="D1775" s="180" t="s">
        <v>51</v>
      </c>
      <c r="E1775" t="s">
        <v>2238</v>
      </c>
      <c r="F1775" t="s">
        <v>2239</v>
      </c>
      <c r="G1775" s="180">
        <v>2100</v>
      </c>
      <c r="H1775">
        <v>1998</v>
      </c>
      <c r="J1775" s="1334" t="s">
        <v>475</v>
      </c>
      <c r="K1775" s="1335" t="s">
        <v>475</v>
      </c>
      <c r="L1775" s="180">
        <v>0</v>
      </c>
      <c r="M1775" t="s">
        <v>4</v>
      </c>
      <c r="N1775" t="str">
        <f t="shared" si="110"/>
        <v>PAVILION AREA 4 (5145)</v>
      </c>
      <c r="O1775" t="s">
        <v>52</v>
      </c>
      <c r="P1775" t="str">
        <f t="shared" si="111"/>
        <v>18000_5145</v>
      </c>
      <c r="Q1775" s="180">
        <v>100</v>
      </c>
    </row>
    <row r="1776" spans="1:17">
      <c r="A1776" t="str">
        <f t="shared" si="108"/>
        <v>UGA_5146</v>
      </c>
      <c r="B1776" t="str">
        <f t="shared" si="109"/>
        <v>UGA_STAFF HSE 423-424</v>
      </c>
      <c r="C1776" t="s">
        <v>443</v>
      </c>
      <c r="D1776" s="180" t="s">
        <v>51</v>
      </c>
      <c r="E1776" t="s">
        <v>4386</v>
      </c>
      <c r="F1776" t="s">
        <v>4387</v>
      </c>
      <c r="G1776" s="180">
        <v>1613</v>
      </c>
      <c r="H1776">
        <v>2003</v>
      </c>
      <c r="J1776" s="1334" t="s">
        <v>475</v>
      </c>
      <c r="K1776" s="1335" t="s">
        <v>475</v>
      </c>
      <c r="L1776" s="180">
        <v>0</v>
      </c>
      <c r="M1776" t="s">
        <v>4</v>
      </c>
      <c r="N1776" t="str">
        <f t="shared" si="110"/>
        <v>STAFF HSE 423-424 (5146)</v>
      </c>
      <c r="O1776" t="s">
        <v>52</v>
      </c>
      <c r="P1776" t="str">
        <f t="shared" si="111"/>
        <v>18000_5146</v>
      </c>
      <c r="Q1776" s="180">
        <v>100</v>
      </c>
    </row>
    <row r="1777" spans="1:17">
      <c r="A1777" t="str">
        <f t="shared" si="108"/>
        <v>UGA_5147</v>
      </c>
      <c r="B1777" t="str">
        <f t="shared" si="109"/>
        <v>UGA_WOODRUFF AQUA IV</v>
      </c>
      <c r="C1777" t="s">
        <v>443</v>
      </c>
      <c r="D1777" s="180" t="s">
        <v>51</v>
      </c>
      <c r="E1777" t="s">
        <v>3988</v>
      </c>
      <c r="F1777" t="s">
        <v>3989</v>
      </c>
      <c r="G1777" s="180">
        <v>2720</v>
      </c>
      <c r="H1777">
        <v>2002</v>
      </c>
      <c r="J1777" s="1334" t="s">
        <v>475</v>
      </c>
      <c r="K1777" s="1335" t="s">
        <v>475</v>
      </c>
      <c r="L1777" s="180">
        <v>0</v>
      </c>
      <c r="M1777" t="s">
        <v>4</v>
      </c>
      <c r="N1777" t="str">
        <f t="shared" si="110"/>
        <v>WOODRUFF AQUA IV (5147)</v>
      </c>
      <c r="O1777" t="s">
        <v>52</v>
      </c>
      <c r="P1777" t="str">
        <f t="shared" si="111"/>
        <v>18000_5147</v>
      </c>
      <c r="Q1777" s="180">
        <v>100</v>
      </c>
    </row>
    <row r="1778" spans="1:17">
      <c r="A1778" t="str">
        <f t="shared" si="108"/>
        <v>UGA_5148</v>
      </c>
      <c r="B1778" t="str">
        <f t="shared" si="109"/>
        <v>UGA_STAFF HOUSE 401</v>
      </c>
      <c r="C1778" t="s">
        <v>443</v>
      </c>
      <c r="D1778" s="180" t="s">
        <v>51</v>
      </c>
      <c r="E1778" t="s">
        <v>1843</v>
      </c>
      <c r="F1778" t="s">
        <v>1844</v>
      </c>
      <c r="G1778" s="180">
        <v>1490</v>
      </c>
      <c r="H1778">
        <v>2003</v>
      </c>
      <c r="J1778" s="1334" t="s">
        <v>475</v>
      </c>
      <c r="K1778" s="1335" t="s">
        <v>475</v>
      </c>
      <c r="L1778" s="180">
        <v>0</v>
      </c>
      <c r="M1778" t="s">
        <v>4</v>
      </c>
      <c r="N1778" t="str">
        <f t="shared" si="110"/>
        <v>STAFF HOUSE 401 (5148)</v>
      </c>
      <c r="O1778" t="s">
        <v>52</v>
      </c>
      <c r="P1778" t="str">
        <f t="shared" si="111"/>
        <v>18000_5148</v>
      </c>
      <c r="Q1778" s="180">
        <v>100</v>
      </c>
    </row>
    <row r="1779" spans="1:17">
      <c r="A1779" t="str">
        <f t="shared" si="108"/>
        <v>UGA_5149</v>
      </c>
      <c r="B1779" t="str">
        <f t="shared" si="109"/>
        <v>UGA_WOODRUFF AQUA II</v>
      </c>
      <c r="C1779" t="s">
        <v>443</v>
      </c>
      <c r="D1779" s="180" t="s">
        <v>51</v>
      </c>
      <c r="E1779" t="s">
        <v>1877</v>
      </c>
      <c r="F1779" t="s">
        <v>1878</v>
      </c>
      <c r="G1779" s="180">
        <v>2720</v>
      </c>
      <c r="H1779">
        <v>2002</v>
      </c>
      <c r="J1779" s="1334" t="s">
        <v>475</v>
      </c>
      <c r="K1779" s="1335" t="s">
        <v>475</v>
      </c>
      <c r="L1779" s="180">
        <v>0</v>
      </c>
      <c r="M1779" t="s">
        <v>4</v>
      </c>
      <c r="N1779" t="str">
        <f t="shared" si="110"/>
        <v>WOODRUFF AQUA II (5149)</v>
      </c>
      <c r="O1779" t="s">
        <v>52</v>
      </c>
      <c r="P1779" t="str">
        <f t="shared" si="111"/>
        <v>18000_5149</v>
      </c>
      <c r="Q1779" s="180">
        <v>100</v>
      </c>
    </row>
    <row r="1780" spans="1:17">
      <c r="A1780" t="str">
        <f t="shared" si="108"/>
        <v>UGA_5150</v>
      </c>
      <c r="B1780" t="str">
        <f t="shared" si="109"/>
        <v>UGA_WATSON-BROWN PAVIL</v>
      </c>
      <c r="C1780" t="s">
        <v>443</v>
      </c>
      <c r="D1780" s="180" t="s">
        <v>51</v>
      </c>
      <c r="E1780" t="s">
        <v>2853</v>
      </c>
      <c r="F1780" t="s">
        <v>2854</v>
      </c>
      <c r="G1780" s="180">
        <v>2427</v>
      </c>
      <c r="H1780">
        <v>2002</v>
      </c>
      <c r="J1780" s="1334" t="s">
        <v>475</v>
      </c>
      <c r="K1780" s="1335" t="s">
        <v>475</v>
      </c>
      <c r="L1780" s="180">
        <v>0</v>
      </c>
      <c r="M1780" t="s">
        <v>4</v>
      </c>
      <c r="N1780" t="str">
        <f t="shared" si="110"/>
        <v>WATSON-BROWN PAVIL (5150)</v>
      </c>
      <c r="O1780" t="s">
        <v>52</v>
      </c>
      <c r="P1780" t="str">
        <f t="shared" si="111"/>
        <v>18000_5150</v>
      </c>
      <c r="Q1780" s="180">
        <v>100</v>
      </c>
    </row>
    <row r="1781" spans="1:17">
      <c r="A1781" t="str">
        <f t="shared" si="108"/>
        <v>UGA_5151</v>
      </c>
      <c r="B1781" t="str">
        <f t="shared" si="109"/>
        <v>UGA_WILDLIFE ECOLOGY</v>
      </c>
      <c r="C1781" t="s">
        <v>443</v>
      </c>
      <c r="D1781" s="180" t="s">
        <v>51</v>
      </c>
      <c r="E1781" t="s">
        <v>3754</v>
      </c>
      <c r="F1781" t="s">
        <v>3755</v>
      </c>
      <c r="G1781" s="180">
        <v>6771</v>
      </c>
      <c r="H1781">
        <v>2002</v>
      </c>
      <c r="J1781" s="1334" t="s">
        <v>475</v>
      </c>
      <c r="K1781" s="1335" t="s">
        <v>475</v>
      </c>
      <c r="L1781" s="180">
        <v>0</v>
      </c>
      <c r="M1781" t="s">
        <v>4</v>
      </c>
      <c r="N1781" t="str">
        <f t="shared" si="110"/>
        <v>WILDLIFE ECOLOGY (5151)</v>
      </c>
      <c r="O1781" t="s">
        <v>52</v>
      </c>
      <c r="P1781" t="str">
        <f t="shared" si="111"/>
        <v>18000_5151</v>
      </c>
      <c r="Q1781" s="180">
        <v>100</v>
      </c>
    </row>
    <row r="1782" spans="1:17">
      <c r="A1782" t="str">
        <f t="shared" si="108"/>
        <v>UGA_5152</v>
      </c>
      <c r="B1782" t="str">
        <f t="shared" si="109"/>
        <v>UGA_PUMP HOUSE AREA 3</v>
      </c>
      <c r="C1782" t="s">
        <v>443</v>
      </c>
      <c r="D1782" s="180" t="s">
        <v>51</v>
      </c>
      <c r="E1782" t="s">
        <v>3727</v>
      </c>
      <c r="F1782" t="s">
        <v>3728</v>
      </c>
      <c r="G1782" s="180">
        <v>100</v>
      </c>
      <c r="H1782">
        <v>2002</v>
      </c>
      <c r="J1782" s="1334" t="s">
        <v>475</v>
      </c>
      <c r="K1782" s="1335" t="s">
        <v>475</v>
      </c>
      <c r="L1782" s="180">
        <v>0</v>
      </c>
      <c r="M1782" t="s">
        <v>4</v>
      </c>
      <c r="N1782" t="str">
        <f t="shared" si="110"/>
        <v>PUMP HOUSE AREA 3 (5152)</v>
      </c>
      <c r="O1782" t="s">
        <v>52</v>
      </c>
      <c r="P1782" t="str">
        <f t="shared" si="111"/>
        <v>18000_5152</v>
      </c>
      <c r="Q1782" s="180">
        <v>100</v>
      </c>
    </row>
    <row r="1783" spans="1:17">
      <c r="A1783" t="str">
        <f t="shared" si="108"/>
        <v>UGA_5153</v>
      </c>
      <c r="B1783" t="str">
        <f t="shared" si="109"/>
        <v>UGA_PUMP HOUSE WAT-BRN</v>
      </c>
      <c r="C1783" t="s">
        <v>443</v>
      </c>
      <c r="D1783" s="180" t="s">
        <v>51</v>
      </c>
      <c r="E1783" t="s">
        <v>4257</v>
      </c>
      <c r="F1783" t="s">
        <v>4258</v>
      </c>
      <c r="G1783" s="180">
        <v>100</v>
      </c>
      <c r="H1783">
        <v>2002</v>
      </c>
      <c r="J1783" s="1334" t="s">
        <v>475</v>
      </c>
      <c r="K1783" s="1335" t="s">
        <v>475</v>
      </c>
      <c r="L1783" s="180">
        <v>0</v>
      </c>
      <c r="M1783" t="s">
        <v>4</v>
      </c>
      <c r="N1783" t="str">
        <f t="shared" si="110"/>
        <v>PUMP HOUSE WAT-BRN (5153)</v>
      </c>
      <c r="O1783" t="s">
        <v>52</v>
      </c>
      <c r="P1783" t="str">
        <f t="shared" si="111"/>
        <v>18000_5153</v>
      </c>
      <c r="Q1783" s="180">
        <v>0</v>
      </c>
    </row>
    <row r="1784" spans="1:17">
      <c r="A1784" t="str">
        <f t="shared" si="108"/>
        <v>UGA_5154</v>
      </c>
      <c r="B1784" t="str">
        <f t="shared" si="109"/>
        <v>UGA_EQUIP STORG SHELT</v>
      </c>
      <c r="C1784" t="s">
        <v>443</v>
      </c>
      <c r="D1784" s="180" t="s">
        <v>51</v>
      </c>
      <c r="E1784" t="s">
        <v>3920</v>
      </c>
      <c r="F1784" t="s">
        <v>3921</v>
      </c>
      <c r="G1784" s="180">
        <v>6400</v>
      </c>
      <c r="H1784">
        <v>2003</v>
      </c>
      <c r="J1784" s="1334" t="s">
        <v>475</v>
      </c>
      <c r="K1784" s="1335" t="s">
        <v>475</v>
      </c>
      <c r="L1784" s="180">
        <v>0</v>
      </c>
      <c r="M1784" t="s">
        <v>4</v>
      </c>
      <c r="N1784" t="str">
        <f t="shared" si="110"/>
        <v>EQUIP STORG SHELT (5154)</v>
      </c>
      <c r="O1784" t="s">
        <v>52</v>
      </c>
      <c r="P1784" t="str">
        <f t="shared" si="111"/>
        <v>18000_5154</v>
      </c>
      <c r="Q1784" s="180">
        <v>0</v>
      </c>
    </row>
    <row r="1785" spans="1:17">
      <c r="A1785" t="str">
        <f t="shared" si="108"/>
        <v>UGA_5155</v>
      </c>
      <c r="B1785" t="str">
        <f t="shared" si="109"/>
        <v>UGA_FOUNDERS HALL STG</v>
      </c>
      <c r="C1785" t="s">
        <v>443</v>
      </c>
      <c r="D1785" s="180" t="s">
        <v>51</v>
      </c>
      <c r="E1785" t="s">
        <v>2647</v>
      </c>
      <c r="F1785" t="s">
        <v>2648</v>
      </c>
      <c r="G1785" s="180">
        <v>144</v>
      </c>
      <c r="H1785">
        <v>2002</v>
      </c>
      <c r="J1785" s="1334" t="s">
        <v>475</v>
      </c>
      <c r="K1785" s="1335" t="s">
        <v>475</v>
      </c>
      <c r="L1785" s="180">
        <v>0</v>
      </c>
      <c r="M1785" t="s">
        <v>4</v>
      </c>
      <c r="N1785" t="str">
        <f t="shared" si="110"/>
        <v>FOUNDERS HALL STG (5155)</v>
      </c>
      <c r="O1785" t="s">
        <v>52</v>
      </c>
      <c r="P1785" t="str">
        <f t="shared" si="111"/>
        <v>18000_5155</v>
      </c>
      <c r="Q1785" s="180">
        <v>0</v>
      </c>
    </row>
    <row r="1786" spans="1:17">
      <c r="A1786" t="str">
        <f t="shared" si="108"/>
        <v>UGA_5156</v>
      </c>
      <c r="B1786" t="str">
        <f t="shared" si="109"/>
        <v>UGA_CABIN PROTOTYPE</v>
      </c>
      <c r="C1786" t="s">
        <v>443</v>
      </c>
      <c r="D1786" s="180" t="s">
        <v>51</v>
      </c>
      <c r="E1786" t="s">
        <v>3285</v>
      </c>
      <c r="F1786" t="s">
        <v>3286</v>
      </c>
      <c r="G1786" s="180">
        <v>3089</v>
      </c>
      <c r="H1786">
        <v>2006</v>
      </c>
      <c r="J1786" s="1334" t="s">
        <v>475</v>
      </c>
      <c r="K1786" s="1335" t="s">
        <v>475</v>
      </c>
      <c r="L1786" s="180">
        <v>0</v>
      </c>
      <c r="M1786" t="s">
        <v>4</v>
      </c>
      <c r="N1786" t="str">
        <f t="shared" si="110"/>
        <v>CABIN PROTOTYPE (5156)</v>
      </c>
      <c r="O1786" t="s">
        <v>52</v>
      </c>
      <c r="P1786" t="str">
        <f t="shared" si="111"/>
        <v>18000_5156</v>
      </c>
      <c r="Q1786" s="180">
        <v>0</v>
      </c>
    </row>
    <row r="1787" spans="1:17">
      <c r="A1787" t="str">
        <f t="shared" si="108"/>
        <v>UGA_5157</v>
      </c>
      <c r="B1787" t="str">
        <f t="shared" si="109"/>
        <v>UGA_SARAH HUFF BATH HS</v>
      </c>
      <c r="C1787" t="s">
        <v>443</v>
      </c>
      <c r="D1787" s="180" t="s">
        <v>51</v>
      </c>
      <c r="E1787" t="s">
        <v>3922</v>
      </c>
      <c r="F1787" t="s">
        <v>3923</v>
      </c>
      <c r="G1787" s="180">
        <v>1482</v>
      </c>
      <c r="H1787">
        <v>2005</v>
      </c>
      <c r="J1787" s="1334" t="s">
        <v>475</v>
      </c>
      <c r="K1787" s="1335" t="s">
        <v>475</v>
      </c>
      <c r="L1787" s="180">
        <v>0</v>
      </c>
      <c r="M1787" t="s">
        <v>4</v>
      </c>
      <c r="N1787" t="str">
        <f t="shared" si="110"/>
        <v>SARAH HUFF BATH HS (5157)</v>
      </c>
      <c r="O1787" t="s">
        <v>52</v>
      </c>
      <c r="P1787" t="str">
        <f t="shared" si="111"/>
        <v>18000_5157</v>
      </c>
      <c r="Q1787" s="180">
        <v>0</v>
      </c>
    </row>
    <row r="1788" spans="1:17">
      <c r="A1788" t="str">
        <f t="shared" si="108"/>
        <v>UGA_5158</v>
      </c>
      <c r="B1788" t="str">
        <f t="shared" si="109"/>
        <v>UGA_MARGARET K. JOHNSON RES</v>
      </c>
      <c r="C1788" t="s">
        <v>443</v>
      </c>
      <c r="D1788" s="180" t="s">
        <v>51</v>
      </c>
      <c r="E1788" t="s">
        <v>2104</v>
      </c>
      <c r="F1788" t="s">
        <v>2105</v>
      </c>
      <c r="G1788" s="180">
        <v>3456</v>
      </c>
      <c r="H1788">
        <v>2010</v>
      </c>
      <c r="J1788" s="1334" t="s">
        <v>475</v>
      </c>
      <c r="K1788" s="1335" t="s">
        <v>475</v>
      </c>
      <c r="L1788" s="180">
        <v>0</v>
      </c>
      <c r="M1788" t="s">
        <v>4</v>
      </c>
      <c r="N1788" t="str">
        <f t="shared" si="110"/>
        <v>MARGARET K. JOHNSON RES (5158)</v>
      </c>
      <c r="O1788" t="s">
        <v>52</v>
      </c>
      <c r="P1788" t="str">
        <f t="shared" si="111"/>
        <v>18000_5158</v>
      </c>
      <c r="Q1788" s="180">
        <v>0</v>
      </c>
    </row>
    <row r="1789" spans="1:17">
      <c r="A1789" t="str">
        <f t="shared" si="108"/>
        <v>UGA_5159</v>
      </c>
      <c r="B1789" t="str">
        <f t="shared" si="109"/>
        <v>UGA_ROCK EAGLE GREENHOUSE</v>
      </c>
      <c r="C1789" t="s">
        <v>443</v>
      </c>
      <c r="D1789" s="180" t="s">
        <v>51</v>
      </c>
      <c r="E1789" t="s">
        <v>2790</v>
      </c>
      <c r="F1789" t="s">
        <v>2791</v>
      </c>
      <c r="G1789" s="180">
        <v>720</v>
      </c>
      <c r="H1789">
        <v>2008</v>
      </c>
      <c r="J1789" s="1334" t="s">
        <v>475</v>
      </c>
      <c r="K1789" s="1335" t="s">
        <v>475</v>
      </c>
      <c r="L1789" s="180">
        <v>0</v>
      </c>
      <c r="M1789" t="s">
        <v>4</v>
      </c>
      <c r="N1789" t="str">
        <f t="shared" si="110"/>
        <v>ROCK EAGLE GREENHOUSE (5159)</v>
      </c>
      <c r="O1789" t="s">
        <v>52</v>
      </c>
      <c r="P1789" t="str">
        <f t="shared" si="111"/>
        <v>18000_5159</v>
      </c>
      <c r="Q1789" s="180">
        <v>100</v>
      </c>
    </row>
    <row r="1790" spans="1:17">
      <c r="A1790" t="str">
        <f t="shared" si="108"/>
        <v>UGA_5160</v>
      </c>
      <c r="B1790" t="str">
        <f t="shared" si="109"/>
        <v>UGA_WATER TREATMENT BL</v>
      </c>
      <c r="C1790" t="s">
        <v>443</v>
      </c>
      <c r="D1790" s="180" t="s">
        <v>51</v>
      </c>
      <c r="E1790" t="s">
        <v>3551</v>
      </c>
      <c r="F1790" t="s">
        <v>3552</v>
      </c>
      <c r="G1790" s="180">
        <v>490</v>
      </c>
      <c r="H1790">
        <v>2011</v>
      </c>
      <c r="J1790" s="1334" t="s">
        <v>475</v>
      </c>
      <c r="K1790" s="1335" t="s">
        <v>475</v>
      </c>
      <c r="L1790" s="180">
        <v>0</v>
      </c>
      <c r="M1790" t="s">
        <v>4</v>
      </c>
      <c r="N1790" t="str">
        <f t="shared" si="110"/>
        <v>WATER TREATMENT BL (5160)</v>
      </c>
      <c r="O1790" t="s">
        <v>52</v>
      </c>
      <c r="P1790" t="str">
        <f t="shared" si="111"/>
        <v>18000_5160</v>
      </c>
      <c r="Q1790" s="180">
        <v>100</v>
      </c>
    </row>
    <row r="1791" spans="1:17">
      <c r="A1791" t="str">
        <f t="shared" si="108"/>
        <v>UGA_5161</v>
      </c>
      <c r="B1791" t="str">
        <f t="shared" si="109"/>
        <v>UGA_CABIN 56</v>
      </c>
      <c r="C1791" t="s">
        <v>443</v>
      </c>
      <c r="D1791" s="180" t="s">
        <v>51</v>
      </c>
      <c r="E1791" t="s">
        <v>2165</v>
      </c>
      <c r="F1791" t="s">
        <v>2166</v>
      </c>
      <c r="G1791" s="180">
        <v>2969</v>
      </c>
      <c r="H1791">
        <v>2013</v>
      </c>
      <c r="J1791" s="1334" t="s">
        <v>475</v>
      </c>
      <c r="K1791" s="1335" t="s">
        <v>475</v>
      </c>
      <c r="L1791" s="180">
        <v>0</v>
      </c>
      <c r="M1791" t="s">
        <v>4</v>
      </c>
      <c r="N1791" t="str">
        <f t="shared" si="110"/>
        <v>CABIN 56 (5161)</v>
      </c>
      <c r="O1791" t="s">
        <v>52</v>
      </c>
      <c r="P1791" t="str">
        <f t="shared" si="111"/>
        <v>18000_5161</v>
      </c>
      <c r="Q1791" s="180">
        <v>100</v>
      </c>
    </row>
    <row r="1792" spans="1:17">
      <c r="A1792" t="str">
        <f t="shared" si="108"/>
        <v>UGA_5162</v>
      </c>
      <c r="B1792" t="str">
        <f t="shared" si="109"/>
        <v>UGA_CABIN 57</v>
      </c>
      <c r="C1792" t="s">
        <v>443</v>
      </c>
      <c r="D1792" s="180" t="s">
        <v>51</v>
      </c>
      <c r="E1792" t="s">
        <v>3468</v>
      </c>
      <c r="F1792" t="s">
        <v>3469</v>
      </c>
      <c r="G1792" s="180">
        <v>2969</v>
      </c>
      <c r="H1792">
        <v>2013</v>
      </c>
      <c r="J1792" s="1334" t="s">
        <v>475</v>
      </c>
      <c r="K1792" s="1335" t="s">
        <v>475</v>
      </c>
      <c r="L1792" s="180">
        <v>0</v>
      </c>
      <c r="M1792" t="s">
        <v>4</v>
      </c>
      <c r="N1792" t="str">
        <f t="shared" si="110"/>
        <v>CABIN 57 (5162)</v>
      </c>
      <c r="O1792" t="s">
        <v>52</v>
      </c>
      <c r="P1792" t="str">
        <f t="shared" si="111"/>
        <v>18000_5162</v>
      </c>
      <c r="Q1792" s="180">
        <v>100</v>
      </c>
    </row>
    <row r="1793" spans="1:17">
      <c r="A1793" t="str">
        <f t="shared" si="108"/>
        <v>UGA_5163</v>
      </c>
      <c r="B1793" t="str">
        <f t="shared" si="109"/>
        <v>UGA_JOHNSON BARN</v>
      </c>
      <c r="C1793" t="s">
        <v>443</v>
      </c>
      <c r="D1793" s="180" t="s">
        <v>51</v>
      </c>
      <c r="E1793" t="s">
        <v>3924</v>
      </c>
      <c r="F1793" t="s">
        <v>3925</v>
      </c>
      <c r="G1793" s="180">
        <v>384</v>
      </c>
      <c r="H1793">
        <v>2010</v>
      </c>
      <c r="J1793" s="1334" t="s">
        <v>475</v>
      </c>
      <c r="K1793" s="1335" t="s">
        <v>475</v>
      </c>
      <c r="L1793" s="180">
        <v>0</v>
      </c>
      <c r="M1793" t="s">
        <v>4</v>
      </c>
      <c r="N1793" t="str">
        <f t="shared" si="110"/>
        <v>JOHNSON BARN (5163)</v>
      </c>
      <c r="O1793" t="s">
        <v>52</v>
      </c>
      <c r="P1793" t="str">
        <f t="shared" si="111"/>
        <v>18000_5163</v>
      </c>
      <c r="Q1793" s="180">
        <v>100</v>
      </c>
    </row>
    <row r="1794" spans="1:17">
      <c r="A1794" t="str">
        <f t="shared" si="108"/>
        <v>UGA_5164</v>
      </c>
      <c r="B1794" t="str">
        <f t="shared" si="109"/>
        <v>UGA_JOHNSON PUMPHS</v>
      </c>
      <c r="C1794" t="s">
        <v>443</v>
      </c>
      <c r="D1794" s="180" t="s">
        <v>51</v>
      </c>
      <c r="E1794" t="s">
        <v>3326</v>
      </c>
      <c r="F1794" t="s">
        <v>3327</v>
      </c>
      <c r="G1794" s="180">
        <v>48</v>
      </c>
      <c r="H1794">
        <v>2010</v>
      </c>
      <c r="J1794" s="1334" t="s">
        <v>475</v>
      </c>
      <c r="K1794" s="1335" t="s">
        <v>475</v>
      </c>
      <c r="L1794" s="180">
        <v>0</v>
      </c>
      <c r="M1794" t="s">
        <v>4</v>
      </c>
      <c r="N1794" t="str">
        <f t="shared" si="110"/>
        <v>JOHNSON PUMPHS (5164)</v>
      </c>
      <c r="O1794" t="s">
        <v>52</v>
      </c>
      <c r="P1794" t="str">
        <f t="shared" si="111"/>
        <v>18000_5164</v>
      </c>
      <c r="Q1794" s="180">
        <v>100</v>
      </c>
    </row>
    <row r="1795" spans="1:17">
      <c r="A1795" t="str">
        <f t="shared" ref="A1795:A1858" si="112">_xlfn.CONCAT(D1795,"_",E1795)</f>
        <v>UGA_5165</v>
      </c>
      <c r="B1795" t="str">
        <f t="shared" ref="B1795:B1858" si="113">_xlfn.CONCAT(D1795,"_",F1795)</f>
        <v>UGA_RED HOUSE</v>
      </c>
      <c r="C1795" t="s">
        <v>443</v>
      </c>
      <c r="D1795" s="180" t="s">
        <v>51</v>
      </c>
      <c r="E1795" t="s">
        <v>4174</v>
      </c>
      <c r="F1795" t="s">
        <v>4175</v>
      </c>
      <c r="G1795" s="180">
        <v>720</v>
      </c>
      <c r="H1795">
        <v>2005</v>
      </c>
      <c r="J1795" s="1334" t="s">
        <v>475</v>
      </c>
      <c r="K1795" s="1335" t="s">
        <v>475</v>
      </c>
      <c r="L1795" s="180">
        <v>0</v>
      </c>
      <c r="M1795" t="s">
        <v>4</v>
      </c>
      <c r="N1795" t="str">
        <f t="shared" ref="N1795:N1858" si="114">_xlfn.CONCAT(F1795," (",E1795,")")</f>
        <v>RED HOUSE (5165)</v>
      </c>
      <c r="O1795" t="s">
        <v>52</v>
      </c>
      <c r="P1795" t="str">
        <f t="shared" ref="P1795:P1858" si="115">_xlfn.CONCAT(C1795,"_",E1795)</f>
        <v>18000_5165</v>
      </c>
      <c r="Q1795" s="180">
        <v>100</v>
      </c>
    </row>
    <row r="1796" spans="1:17">
      <c r="A1796" t="str">
        <f t="shared" si="112"/>
        <v>UGA_5166</v>
      </c>
      <c r="B1796" t="str">
        <f t="shared" si="113"/>
        <v>UGA_PRICE HOUSE</v>
      </c>
      <c r="C1796" t="s">
        <v>443</v>
      </c>
      <c r="D1796" s="180" t="s">
        <v>51</v>
      </c>
      <c r="E1796" t="s">
        <v>2516</v>
      </c>
      <c r="F1796" t="s">
        <v>2517</v>
      </c>
      <c r="G1796" s="180">
        <v>888</v>
      </c>
      <c r="H1796">
        <v>2005</v>
      </c>
      <c r="J1796" s="1334" t="s">
        <v>475</v>
      </c>
      <c r="K1796" s="1335" t="s">
        <v>475</v>
      </c>
      <c r="L1796" s="180">
        <v>0</v>
      </c>
      <c r="M1796" t="s">
        <v>4</v>
      </c>
      <c r="N1796" t="str">
        <f t="shared" si="114"/>
        <v>PRICE HOUSE (5166)</v>
      </c>
      <c r="O1796" t="s">
        <v>52</v>
      </c>
      <c r="P1796" t="str">
        <f t="shared" si="115"/>
        <v>18000_5166</v>
      </c>
      <c r="Q1796" s="180">
        <v>100</v>
      </c>
    </row>
    <row r="1797" spans="1:17">
      <c r="A1797" t="str">
        <f t="shared" si="112"/>
        <v>UGA_5301</v>
      </c>
      <c r="B1797" t="str">
        <f t="shared" si="113"/>
        <v>UGA_CABIN 1</v>
      </c>
      <c r="C1797" t="s">
        <v>443</v>
      </c>
      <c r="D1797" s="180" t="s">
        <v>51</v>
      </c>
      <c r="E1797" t="s">
        <v>2312</v>
      </c>
      <c r="F1797" t="s">
        <v>2313</v>
      </c>
      <c r="G1797" s="180">
        <v>507</v>
      </c>
      <c r="H1797">
        <v>1938</v>
      </c>
      <c r="J1797" s="1334" t="s">
        <v>475</v>
      </c>
      <c r="K1797" s="1335" t="s">
        <v>475</v>
      </c>
      <c r="L1797" s="180">
        <v>0</v>
      </c>
      <c r="M1797" t="s">
        <v>4</v>
      </c>
      <c r="N1797" t="str">
        <f t="shared" si="114"/>
        <v>CABIN 1 (5301)</v>
      </c>
      <c r="O1797" t="s">
        <v>52</v>
      </c>
      <c r="P1797" t="str">
        <f t="shared" si="115"/>
        <v>18000_5301</v>
      </c>
      <c r="Q1797" s="180">
        <v>100</v>
      </c>
    </row>
    <row r="1798" spans="1:17">
      <c r="A1798" t="str">
        <f t="shared" si="112"/>
        <v>UGA_5302</v>
      </c>
      <c r="B1798" t="str">
        <f t="shared" si="113"/>
        <v>UGA_CABIN 2</v>
      </c>
      <c r="C1798" t="s">
        <v>443</v>
      </c>
      <c r="D1798" s="180" t="s">
        <v>51</v>
      </c>
      <c r="E1798" t="s">
        <v>2627</v>
      </c>
      <c r="F1798" t="s">
        <v>2628</v>
      </c>
      <c r="G1798" s="180">
        <v>507</v>
      </c>
      <c r="H1798">
        <v>1938</v>
      </c>
      <c r="J1798" s="1334" t="s">
        <v>475</v>
      </c>
      <c r="K1798" s="1335" t="s">
        <v>475</v>
      </c>
      <c r="L1798" s="180">
        <v>0</v>
      </c>
      <c r="M1798" t="s">
        <v>4</v>
      </c>
      <c r="N1798" t="str">
        <f t="shared" si="114"/>
        <v>CABIN 2 (5302)</v>
      </c>
      <c r="O1798" t="s">
        <v>52</v>
      </c>
      <c r="P1798" t="str">
        <f t="shared" si="115"/>
        <v>18000_5302</v>
      </c>
      <c r="Q1798" s="180">
        <v>100</v>
      </c>
    </row>
    <row r="1799" spans="1:17">
      <c r="A1799" t="str">
        <f t="shared" si="112"/>
        <v>UGA_5303</v>
      </c>
      <c r="B1799" t="str">
        <f t="shared" si="113"/>
        <v>UGA_CABIN 3</v>
      </c>
      <c r="C1799" t="s">
        <v>443</v>
      </c>
      <c r="D1799" s="180" t="s">
        <v>51</v>
      </c>
      <c r="E1799" t="s">
        <v>3419</v>
      </c>
      <c r="F1799" t="s">
        <v>3420</v>
      </c>
      <c r="G1799" s="180">
        <v>507</v>
      </c>
      <c r="H1799">
        <v>1938</v>
      </c>
      <c r="J1799" s="1334" t="s">
        <v>475</v>
      </c>
      <c r="K1799" s="1335" t="s">
        <v>475</v>
      </c>
      <c r="L1799" s="180">
        <v>0</v>
      </c>
      <c r="M1799" t="s">
        <v>4</v>
      </c>
      <c r="N1799" t="str">
        <f t="shared" si="114"/>
        <v>CABIN 3 (5303)</v>
      </c>
      <c r="O1799" t="s">
        <v>52</v>
      </c>
      <c r="P1799" t="str">
        <f t="shared" si="115"/>
        <v>18000_5303</v>
      </c>
      <c r="Q1799" s="180">
        <v>100</v>
      </c>
    </row>
    <row r="1800" spans="1:17">
      <c r="A1800" t="str">
        <f t="shared" si="112"/>
        <v>UGA_5304</v>
      </c>
      <c r="B1800" t="str">
        <f t="shared" si="113"/>
        <v>UGA_CABIN 4</v>
      </c>
      <c r="C1800" t="s">
        <v>443</v>
      </c>
      <c r="D1800" s="180" t="s">
        <v>51</v>
      </c>
      <c r="E1800" t="s">
        <v>2385</v>
      </c>
      <c r="F1800" t="s">
        <v>2386</v>
      </c>
      <c r="G1800" s="180">
        <v>507</v>
      </c>
      <c r="H1800">
        <v>1938</v>
      </c>
      <c r="J1800" s="1334" t="s">
        <v>475</v>
      </c>
      <c r="K1800" s="1335" t="s">
        <v>475</v>
      </c>
      <c r="L1800" s="180">
        <v>0</v>
      </c>
      <c r="M1800" t="s">
        <v>4</v>
      </c>
      <c r="N1800" t="str">
        <f t="shared" si="114"/>
        <v>CABIN 4 (5304)</v>
      </c>
      <c r="O1800" t="s">
        <v>52</v>
      </c>
      <c r="P1800" t="str">
        <f t="shared" si="115"/>
        <v>18000_5304</v>
      </c>
      <c r="Q1800" s="180">
        <v>100</v>
      </c>
    </row>
    <row r="1801" spans="1:17">
      <c r="A1801" t="str">
        <f t="shared" si="112"/>
        <v>UGA_5305</v>
      </c>
      <c r="B1801" t="str">
        <f t="shared" si="113"/>
        <v>UGA_CABIN 5</v>
      </c>
      <c r="C1801" t="s">
        <v>443</v>
      </c>
      <c r="D1801" s="180" t="s">
        <v>51</v>
      </c>
      <c r="E1801" t="s">
        <v>2475</v>
      </c>
      <c r="F1801" t="s">
        <v>2476</v>
      </c>
      <c r="G1801" s="180">
        <v>507</v>
      </c>
      <c r="H1801">
        <v>1938</v>
      </c>
      <c r="J1801" s="1334" t="s">
        <v>475</v>
      </c>
      <c r="K1801" s="1335" t="s">
        <v>475</v>
      </c>
      <c r="L1801" s="180">
        <v>0</v>
      </c>
      <c r="M1801" t="s">
        <v>4</v>
      </c>
      <c r="N1801" t="str">
        <f t="shared" si="114"/>
        <v>CABIN 5 (5305)</v>
      </c>
      <c r="O1801" t="s">
        <v>52</v>
      </c>
      <c r="P1801" t="str">
        <f t="shared" si="115"/>
        <v>18000_5305</v>
      </c>
      <c r="Q1801" s="180">
        <v>100</v>
      </c>
    </row>
    <row r="1802" spans="1:17">
      <c r="A1802" t="str">
        <f t="shared" si="112"/>
        <v>UGA_5306</v>
      </c>
      <c r="B1802" t="str">
        <f t="shared" si="113"/>
        <v>UGA_CABIN 6</v>
      </c>
      <c r="C1802" t="s">
        <v>443</v>
      </c>
      <c r="D1802" s="180" t="s">
        <v>51</v>
      </c>
      <c r="E1802" t="s">
        <v>1916</v>
      </c>
      <c r="F1802" t="s">
        <v>1917</v>
      </c>
      <c r="G1802" s="180">
        <v>507</v>
      </c>
      <c r="H1802">
        <v>1938</v>
      </c>
      <c r="J1802" s="1334" t="s">
        <v>475</v>
      </c>
      <c r="K1802" s="1335" t="s">
        <v>475</v>
      </c>
      <c r="L1802" s="180">
        <v>0</v>
      </c>
      <c r="M1802" t="s">
        <v>4</v>
      </c>
      <c r="N1802" t="str">
        <f t="shared" si="114"/>
        <v>CABIN 6 (5306)</v>
      </c>
      <c r="O1802" t="s">
        <v>52</v>
      </c>
      <c r="P1802" t="str">
        <f t="shared" si="115"/>
        <v>18000_5306</v>
      </c>
      <c r="Q1802" s="180">
        <v>100</v>
      </c>
    </row>
    <row r="1803" spans="1:17">
      <c r="A1803" t="str">
        <f t="shared" si="112"/>
        <v>UGA_5307</v>
      </c>
      <c r="B1803" t="str">
        <f t="shared" si="113"/>
        <v>UGA_CABIN 7</v>
      </c>
      <c r="C1803" t="s">
        <v>443</v>
      </c>
      <c r="D1803" s="180" t="s">
        <v>51</v>
      </c>
      <c r="E1803" t="s">
        <v>2649</v>
      </c>
      <c r="F1803" t="s">
        <v>2650</v>
      </c>
      <c r="G1803" s="180">
        <v>507</v>
      </c>
      <c r="H1803">
        <v>1938</v>
      </c>
      <c r="J1803" s="1334" t="s">
        <v>475</v>
      </c>
      <c r="K1803" s="1335" t="s">
        <v>475</v>
      </c>
      <c r="L1803" s="180">
        <v>0</v>
      </c>
      <c r="M1803" t="s">
        <v>4</v>
      </c>
      <c r="N1803" t="str">
        <f t="shared" si="114"/>
        <v>CABIN 7 (5307)</v>
      </c>
      <c r="O1803" t="s">
        <v>52</v>
      </c>
      <c r="P1803" t="str">
        <f t="shared" si="115"/>
        <v>18000_5307</v>
      </c>
      <c r="Q1803" s="180">
        <v>100</v>
      </c>
    </row>
    <row r="1804" spans="1:17">
      <c r="A1804" t="str">
        <f t="shared" si="112"/>
        <v>UGA_5308</v>
      </c>
      <c r="B1804" t="str">
        <f t="shared" si="113"/>
        <v>UGA_CABIN 8</v>
      </c>
      <c r="C1804" t="s">
        <v>443</v>
      </c>
      <c r="D1804" s="180" t="s">
        <v>51</v>
      </c>
      <c r="E1804" t="s">
        <v>4310</v>
      </c>
      <c r="F1804" t="s">
        <v>4311</v>
      </c>
      <c r="G1804" s="180">
        <v>507</v>
      </c>
      <c r="H1804">
        <v>1938</v>
      </c>
      <c r="J1804" s="1334" t="s">
        <v>475</v>
      </c>
      <c r="K1804" s="1335" t="s">
        <v>475</v>
      </c>
      <c r="L1804" s="180">
        <v>0</v>
      </c>
      <c r="M1804" t="s">
        <v>4</v>
      </c>
      <c r="N1804" t="str">
        <f t="shared" si="114"/>
        <v>CABIN 8 (5308)</v>
      </c>
      <c r="O1804" t="s">
        <v>52</v>
      </c>
      <c r="P1804" t="str">
        <f t="shared" si="115"/>
        <v>18000_5308</v>
      </c>
      <c r="Q1804" s="180">
        <v>100</v>
      </c>
    </row>
    <row r="1805" spans="1:17">
      <c r="A1805" t="str">
        <f t="shared" si="112"/>
        <v>UGA_5309</v>
      </c>
      <c r="B1805" t="str">
        <f t="shared" si="113"/>
        <v>UGA_CABIN 9</v>
      </c>
      <c r="C1805" t="s">
        <v>443</v>
      </c>
      <c r="D1805" s="180" t="s">
        <v>51</v>
      </c>
      <c r="E1805" t="s">
        <v>3287</v>
      </c>
      <c r="F1805" t="s">
        <v>3288</v>
      </c>
      <c r="G1805" s="180">
        <v>507</v>
      </c>
      <c r="H1805">
        <v>1938</v>
      </c>
      <c r="J1805" s="1334" t="s">
        <v>475</v>
      </c>
      <c r="K1805" s="1335" t="s">
        <v>475</v>
      </c>
      <c r="L1805" s="180">
        <v>0</v>
      </c>
      <c r="M1805" t="s">
        <v>4</v>
      </c>
      <c r="N1805" t="str">
        <f t="shared" si="114"/>
        <v>CABIN 9 (5309)</v>
      </c>
      <c r="O1805" t="s">
        <v>52</v>
      </c>
      <c r="P1805" t="str">
        <f t="shared" si="115"/>
        <v>18000_5309</v>
      </c>
      <c r="Q1805" s="180">
        <v>100</v>
      </c>
    </row>
    <row r="1806" spans="1:17">
      <c r="A1806" t="str">
        <f t="shared" si="112"/>
        <v>UGA_5310</v>
      </c>
      <c r="B1806" t="str">
        <f t="shared" si="113"/>
        <v>UGA_CABIN 10</v>
      </c>
      <c r="C1806" t="s">
        <v>443</v>
      </c>
      <c r="D1806" s="180" t="s">
        <v>51</v>
      </c>
      <c r="E1806" t="s">
        <v>3804</v>
      </c>
      <c r="F1806" t="s">
        <v>3805</v>
      </c>
      <c r="G1806" s="180">
        <v>507</v>
      </c>
      <c r="H1806">
        <v>1938</v>
      </c>
      <c r="J1806" s="1334" t="s">
        <v>475</v>
      </c>
      <c r="K1806" s="1335" t="s">
        <v>475</v>
      </c>
      <c r="L1806" s="180">
        <v>0</v>
      </c>
      <c r="M1806" t="s">
        <v>4</v>
      </c>
      <c r="N1806" t="str">
        <f t="shared" si="114"/>
        <v>CABIN 10 (5310)</v>
      </c>
      <c r="O1806" t="s">
        <v>52</v>
      </c>
      <c r="P1806" t="str">
        <f t="shared" si="115"/>
        <v>18000_5310</v>
      </c>
      <c r="Q1806" s="180">
        <v>100</v>
      </c>
    </row>
    <row r="1807" spans="1:17">
      <c r="A1807" t="str">
        <f t="shared" si="112"/>
        <v>UGA_5311</v>
      </c>
      <c r="B1807" t="str">
        <f t="shared" si="113"/>
        <v>UGA_CABIN 11</v>
      </c>
      <c r="C1807" t="s">
        <v>443</v>
      </c>
      <c r="D1807" s="180" t="s">
        <v>51</v>
      </c>
      <c r="E1807" t="s">
        <v>2651</v>
      </c>
      <c r="F1807" t="s">
        <v>2652</v>
      </c>
      <c r="G1807" s="180">
        <v>507</v>
      </c>
      <c r="H1807">
        <v>1938</v>
      </c>
      <c r="J1807" s="1334" t="s">
        <v>475</v>
      </c>
      <c r="K1807" s="1335" t="s">
        <v>475</v>
      </c>
      <c r="L1807" s="180">
        <v>0</v>
      </c>
      <c r="M1807" t="s">
        <v>4</v>
      </c>
      <c r="N1807" t="str">
        <f t="shared" si="114"/>
        <v>CABIN 11 (5311)</v>
      </c>
      <c r="O1807" t="s">
        <v>52</v>
      </c>
      <c r="P1807" t="str">
        <f t="shared" si="115"/>
        <v>18000_5311</v>
      </c>
      <c r="Q1807" s="180">
        <v>100</v>
      </c>
    </row>
    <row r="1808" spans="1:17">
      <c r="A1808" t="str">
        <f t="shared" si="112"/>
        <v>UGA_5312</v>
      </c>
      <c r="B1808" t="str">
        <f t="shared" si="113"/>
        <v>UGA_CABIN 12</v>
      </c>
      <c r="C1808" t="s">
        <v>443</v>
      </c>
      <c r="D1808" s="180" t="s">
        <v>51</v>
      </c>
      <c r="E1808" t="s">
        <v>3806</v>
      </c>
      <c r="F1808" t="s">
        <v>3807</v>
      </c>
      <c r="G1808" s="180">
        <v>507</v>
      </c>
      <c r="H1808">
        <v>1938</v>
      </c>
      <c r="J1808" s="1334" t="s">
        <v>475</v>
      </c>
      <c r="K1808" s="1335" t="s">
        <v>475</v>
      </c>
      <c r="L1808" s="180">
        <v>0</v>
      </c>
      <c r="M1808" t="s">
        <v>4</v>
      </c>
      <c r="N1808" t="str">
        <f t="shared" si="114"/>
        <v>CABIN 12 (5312)</v>
      </c>
      <c r="O1808" t="s">
        <v>52</v>
      </c>
      <c r="P1808" t="str">
        <f t="shared" si="115"/>
        <v>18000_5312</v>
      </c>
      <c r="Q1808" s="180">
        <v>0</v>
      </c>
    </row>
    <row r="1809" spans="1:17">
      <c r="A1809" t="str">
        <f t="shared" si="112"/>
        <v>UGA_5313</v>
      </c>
      <c r="B1809" t="str">
        <f t="shared" si="113"/>
        <v>UGA_CABIN 13</v>
      </c>
      <c r="C1809" t="s">
        <v>443</v>
      </c>
      <c r="D1809" s="180" t="s">
        <v>51</v>
      </c>
      <c r="E1809" t="s">
        <v>4388</v>
      </c>
      <c r="F1809" t="s">
        <v>4389</v>
      </c>
      <c r="G1809" s="180">
        <v>507</v>
      </c>
      <c r="H1809">
        <v>1938</v>
      </c>
      <c r="J1809" s="1334" t="s">
        <v>475</v>
      </c>
      <c r="K1809" s="1335" t="s">
        <v>475</v>
      </c>
      <c r="L1809" s="180">
        <v>0</v>
      </c>
      <c r="M1809" t="s">
        <v>4</v>
      </c>
      <c r="N1809" t="str">
        <f t="shared" si="114"/>
        <v>CABIN 13 (5313)</v>
      </c>
      <c r="O1809" t="s">
        <v>52</v>
      </c>
      <c r="P1809" t="str">
        <f t="shared" si="115"/>
        <v>18000_5313</v>
      </c>
      <c r="Q1809" s="180">
        <v>100</v>
      </c>
    </row>
    <row r="1810" spans="1:17">
      <c r="A1810" t="str">
        <f t="shared" si="112"/>
        <v>UGA_5314</v>
      </c>
      <c r="B1810" t="str">
        <f t="shared" si="113"/>
        <v>UGA_CABIN 14</v>
      </c>
      <c r="C1810" t="s">
        <v>443</v>
      </c>
      <c r="D1810" s="180" t="s">
        <v>51</v>
      </c>
      <c r="E1810" t="s">
        <v>3421</v>
      </c>
      <c r="F1810" t="s">
        <v>3422</v>
      </c>
      <c r="G1810" s="180">
        <v>507</v>
      </c>
      <c r="H1810">
        <v>1938</v>
      </c>
      <c r="J1810" s="1334" t="s">
        <v>475</v>
      </c>
      <c r="K1810" s="1335" t="s">
        <v>475</v>
      </c>
      <c r="L1810" s="180">
        <v>0</v>
      </c>
      <c r="M1810" t="s">
        <v>4</v>
      </c>
      <c r="N1810" t="str">
        <f t="shared" si="114"/>
        <v>CABIN 14 (5314)</v>
      </c>
      <c r="O1810" t="s">
        <v>52</v>
      </c>
      <c r="P1810" t="str">
        <f t="shared" si="115"/>
        <v>18000_5314</v>
      </c>
      <c r="Q1810" s="180">
        <v>0</v>
      </c>
    </row>
    <row r="1811" spans="1:17">
      <c r="A1811" t="str">
        <f t="shared" si="112"/>
        <v>UGA_5315</v>
      </c>
      <c r="B1811" t="str">
        <f t="shared" si="113"/>
        <v>UGA_CABIN 15</v>
      </c>
      <c r="C1811" t="s">
        <v>443</v>
      </c>
      <c r="D1811" s="180" t="s">
        <v>51</v>
      </c>
      <c r="E1811" t="s">
        <v>3757</v>
      </c>
      <c r="F1811" t="s">
        <v>3758</v>
      </c>
      <c r="G1811" s="180">
        <v>507</v>
      </c>
      <c r="H1811">
        <v>1938</v>
      </c>
      <c r="J1811" s="1334" t="s">
        <v>475</v>
      </c>
      <c r="K1811" s="1335" t="s">
        <v>475</v>
      </c>
      <c r="L1811" s="180">
        <v>0</v>
      </c>
      <c r="M1811" t="s">
        <v>4</v>
      </c>
      <c r="N1811" t="str">
        <f t="shared" si="114"/>
        <v>CABIN 15 (5315)</v>
      </c>
      <c r="O1811" t="s">
        <v>52</v>
      </c>
      <c r="P1811" t="str">
        <f t="shared" si="115"/>
        <v>18000_5315</v>
      </c>
      <c r="Q1811" s="180">
        <v>0</v>
      </c>
    </row>
    <row r="1812" spans="1:17">
      <c r="A1812" t="str">
        <f t="shared" si="112"/>
        <v>UGA_5316</v>
      </c>
      <c r="B1812" t="str">
        <f t="shared" si="113"/>
        <v>UGA_CABIN 16</v>
      </c>
      <c r="C1812" t="s">
        <v>443</v>
      </c>
      <c r="D1812" s="180" t="s">
        <v>51</v>
      </c>
      <c r="E1812" t="s">
        <v>2555</v>
      </c>
      <c r="F1812" t="s">
        <v>2556</v>
      </c>
      <c r="G1812" s="180">
        <v>507</v>
      </c>
      <c r="H1812">
        <v>1938</v>
      </c>
      <c r="J1812" s="1334" t="s">
        <v>475</v>
      </c>
      <c r="K1812" s="1335" t="s">
        <v>475</v>
      </c>
      <c r="L1812" s="180">
        <v>0</v>
      </c>
      <c r="M1812" t="s">
        <v>4</v>
      </c>
      <c r="N1812" t="str">
        <f t="shared" si="114"/>
        <v>CABIN 16 (5316)</v>
      </c>
      <c r="O1812" t="s">
        <v>52</v>
      </c>
      <c r="P1812" t="str">
        <f t="shared" si="115"/>
        <v>18000_5316</v>
      </c>
      <c r="Q1812" s="180">
        <v>100</v>
      </c>
    </row>
    <row r="1813" spans="1:17">
      <c r="A1813" t="str">
        <f t="shared" si="112"/>
        <v>UGA_5317</v>
      </c>
      <c r="B1813" t="str">
        <f t="shared" si="113"/>
        <v>UGA_CABIN 17-STAFF HOUSING</v>
      </c>
      <c r="C1813" t="s">
        <v>443</v>
      </c>
      <c r="D1813" s="180" t="s">
        <v>51</v>
      </c>
      <c r="E1813" t="s">
        <v>2167</v>
      </c>
      <c r="F1813" t="s">
        <v>2168</v>
      </c>
      <c r="G1813" s="180">
        <v>507</v>
      </c>
      <c r="H1813">
        <v>1938</v>
      </c>
      <c r="J1813" s="1334" t="s">
        <v>475</v>
      </c>
      <c r="K1813" s="1335" t="s">
        <v>475</v>
      </c>
      <c r="L1813" s="180">
        <v>0</v>
      </c>
      <c r="M1813" t="s">
        <v>4</v>
      </c>
      <c r="N1813" t="str">
        <f t="shared" si="114"/>
        <v>CABIN 17-STAFF HOUSING (5317)</v>
      </c>
      <c r="O1813" t="s">
        <v>52</v>
      </c>
      <c r="P1813" t="str">
        <f t="shared" si="115"/>
        <v>18000_5317</v>
      </c>
      <c r="Q1813" s="180">
        <v>100</v>
      </c>
    </row>
    <row r="1814" spans="1:17">
      <c r="A1814" t="str">
        <f t="shared" si="112"/>
        <v>UGA_5318</v>
      </c>
      <c r="B1814" t="str">
        <f t="shared" si="113"/>
        <v>UGA_DIRECTOR'S RESIDENCE</v>
      </c>
      <c r="C1814" t="s">
        <v>443</v>
      </c>
      <c r="D1814" s="180" t="s">
        <v>51</v>
      </c>
      <c r="E1814" t="s">
        <v>3600</v>
      </c>
      <c r="F1814" t="s">
        <v>3601</v>
      </c>
      <c r="G1814" s="180">
        <v>1968</v>
      </c>
      <c r="H1814">
        <v>1979</v>
      </c>
      <c r="J1814" s="1334" t="s">
        <v>475</v>
      </c>
      <c r="K1814" s="1335" t="s">
        <v>475</v>
      </c>
      <c r="L1814" s="180">
        <v>0</v>
      </c>
      <c r="M1814" t="s">
        <v>4</v>
      </c>
      <c r="N1814" t="str">
        <f t="shared" si="114"/>
        <v>DIRECTOR'S RESIDENCE (5318)</v>
      </c>
      <c r="O1814" t="s">
        <v>52</v>
      </c>
      <c r="P1814" t="str">
        <f t="shared" si="115"/>
        <v>18000_5318</v>
      </c>
      <c r="Q1814" s="180">
        <v>100</v>
      </c>
    </row>
    <row r="1815" spans="1:17">
      <c r="A1815" t="str">
        <f t="shared" si="112"/>
        <v>UGA_5319</v>
      </c>
      <c r="B1815" t="str">
        <f t="shared" si="113"/>
        <v>UGA_CABIN 18-STAFF HOUSING</v>
      </c>
      <c r="C1815" t="s">
        <v>443</v>
      </c>
      <c r="D1815" s="180" t="s">
        <v>51</v>
      </c>
      <c r="E1815" t="s">
        <v>2054</v>
      </c>
      <c r="F1815" t="s">
        <v>2055</v>
      </c>
      <c r="G1815" s="180">
        <v>851</v>
      </c>
      <c r="H1815">
        <v>1938</v>
      </c>
      <c r="J1815" s="1334" t="s">
        <v>475</v>
      </c>
      <c r="K1815" s="1335" t="s">
        <v>475</v>
      </c>
      <c r="L1815" s="180">
        <v>0</v>
      </c>
      <c r="M1815" t="s">
        <v>4</v>
      </c>
      <c r="N1815" t="str">
        <f t="shared" si="114"/>
        <v>CABIN 18-STAFF HOUSING (5319)</v>
      </c>
      <c r="O1815" t="s">
        <v>52</v>
      </c>
      <c r="P1815" t="str">
        <f t="shared" si="115"/>
        <v>18000_5319</v>
      </c>
      <c r="Q1815" s="180">
        <v>100</v>
      </c>
    </row>
    <row r="1816" spans="1:17">
      <c r="A1816" t="str">
        <f t="shared" si="112"/>
        <v>UGA_5320</v>
      </c>
      <c r="B1816" t="str">
        <f t="shared" si="113"/>
        <v>UGA_CABIN 19-PROGRAM DIR'S RES</v>
      </c>
      <c r="C1816" t="s">
        <v>443</v>
      </c>
      <c r="D1816" s="180" t="s">
        <v>51</v>
      </c>
      <c r="E1816" t="s">
        <v>1970</v>
      </c>
      <c r="F1816" t="s">
        <v>1971</v>
      </c>
      <c r="G1816" s="180">
        <v>981</v>
      </c>
      <c r="H1816">
        <v>1938</v>
      </c>
      <c r="J1816" s="1334" t="s">
        <v>475</v>
      </c>
      <c r="K1816" s="1335" t="s">
        <v>475</v>
      </c>
      <c r="L1816" s="180">
        <v>0</v>
      </c>
      <c r="M1816" t="s">
        <v>4</v>
      </c>
      <c r="N1816" t="str">
        <f t="shared" si="114"/>
        <v>CABIN 19-PROGRAM DIR'S RES (5320)</v>
      </c>
      <c r="O1816" t="s">
        <v>52</v>
      </c>
      <c r="P1816" t="str">
        <f t="shared" si="115"/>
        <v>18000_5320</v>
      </c>
      <c r="Q1816" s="180">
        <v>100</v>
      </c>
    </row>
    <row r="1817" spans="1:17">
      <c r="A1817" t="str">
        <f t="shared" si="112"/>
        <v>UGA_5321</v>
      </c>
      <c r="B1817" t="str">
        <f t="shared" si="113"/>
        <v>UGA_DINING HALL W 4H</v>
      </c>
      <c r="C1817" t="s">
        <v>443</v>
      </c>
      <c r="D1817" s="180" t="s">
        <v>51</v>
      </c>
      <c r="E1817" t="s">
        <v>2454</v>
      </c>
      <c r="F1817" t="s">
        <v>2455</v>
      </c>
      <c r="G1817" s="180">
        <v>2570</v>
      </c>
      <c r="H1817">
        <v>1938</v>
      </c>
      <c r="J1817" s="1334" t="s">
        <v>475</v>
      </c>
      <c r="K1817" s="1335" t="s">
        <v>475</v>
      </c>
      <c r="L1817" s="180">
        <v>0</v>
      </c>
      <c r="M1817" t="s">
        <v>4</v>
      </c>
      <c r="N1817" t="str">
        <f t="shared" si="114"/>
        <v>DINING HALL W 4H (5321)</v>
      </c>
      <c r="O1817" t="s">
        <v>52</v>
      </c>
      <c r="P1817" t="str">
        <f t="shared" si="115"/>
        <v>18000_5321</v>
      </c>
      <c r="Q1817" s="180">
        <v>100</v>
      </c>
    </row>
    <row r="1818" spans="1:17">
      <c r="A1818" t="str">
        <f t="shared" si="112"/>
        <v>UGA_5322</v>
      </c>
      <c r="B1818" t="str">
        <f t="shared" si="113"/>
        <v>UGA_RECREATION HALL</v>
      </c>
      <c r="C1818" t="s">
        <v>443</v>
      </c>
      <c r="D1818" s="180" t="s">
        <v>51</v>
      </c>
      <c r="E1818" t="s">
        <v>2456</v>
      </c>
      <c r="F1818" t="s">
        <v>1846</v>
      </c>
      <c r="G1818" s="180">
        <v>2320</v>
      </c>
      <c r="H1818">
        <v>1963</v>
      </c>
      <c r="J1818" s="1334" t="s">
        <v>475</v>
      </c>
      <c r="K1818" s="1335" t="s">
        <v>475</v>
      </c>
      <c r="L1818" s="180">
        <v>0</v>
      </c>
      <c r="M1818" t="s">
        <v>4</v>
      </c>
      <c r="N1818" t="str">
        <f t="shared" si="114"/>
        <v>RECREATION HALL (5322)</v>
      </c>
      <c r="O1818" t="s">
        <v>52</v>
      </c>
      <c r="P1818" t="str">
        <f t="shared" si="115"/>
        <v>18000_5322</v>
      </c>
      <c r="Q1818" s="180">
        <v>100</v>
      </c>
    </row>
    <row r="1819" spans="1:17">
      <c r="A1819" t="str">
        <f t="shared" si="112"/>
        <v>UGA_5323</v>
      </c>
      <c r="B1819" t="str">
        <f t="shared" si="113"/>
        <v>UGA_CANTEEN BUILDING</v>
      </c>
      <c r="C1819" t="s">
        <v>443</v>
      </c>
      <c r="D1819" s="180" t="s">
        <v>51</v>
      </c>
      <c r="E1819" t="s">
        <v>2457</v>
      </c>
      <c r="F1819" t="s">
        <v>2458</v>
      </c>
      <c r="G1819" s="180">
        <v>412</v>
      </c>
      <c r="H1819">
        <v>1978</v>
      </c>
      <c r="J1819" s="1334" t="s">
        <v>475</v>
      </c>
      <c r="K1819" s="1335" t="s">
        <v>475</v>
      </c>
      <c r="L1819" s="180">
        <v>0</v>
      </c>
      <c r="M1819" t="s">
        <v>4</v>
      </c>
      <c r="N1819" t="str">
        <f t="shared" si="114"/>
        <v>CANTEEN BUILDING (5323)</v>
      </c>
      <c r="O1819" t="s">
        <v>52</v>
      </c>
      <c r="P1819" t="str">
        <f t="shared" si="115"/>
        <v>18000_5323</v>
      </c>
      <c r="Q1819" s="180">
        <v>100</v>
      </c>
    </row>
    <row r="1820" spans="1:17">
      <c r="A1820" t="str">
        <f t="shared" si="112"/>
        <v>UGA_5324</v>
      </c>
      <c r="B1820" t="str">
        <f t="shared" si="113"/>
        <v>UGA_OFFICE</v>
      </c>
      <c r="C1820" t="s">
        <v>443</v>
      </c>
      <c r="D1820" s="180" t="s">
        <v>51</v>
      </c>
      <c r="E1820" t="s">
        <v>4390</v>
      </c>
      <c r="F1820" t="s">
        <v>4391</v>
      </c>
      <c r="G1820" s="180">
        <v>2046</v>
      </c>
      <c r="H1820">
        <v>1938</v>
      </c>
      <c r="J1820" s="1334" t="s">
        <v>475</v>
      </c>
      <c r="K1820" s="1335" t="s">
        <v>1520</v>
      </c>
      <c r="L1820" s="180">
        <v>0</v>
      </c>
      <c r="M1820" t="s">
        <v>4</v>
      </c>
      <c r="N1820" t="str">
        <f t="shared" si="114"/>
        <v>OFFICE (5324)</v>
      </c>
      <c r="O1820" t="s">
        <v>52</v>
      </c>
      <c r="P1820" t="str">
        <f t="shared" si="115"/>
        <v>18000_5324</v>
      </c>
      <c r="Q1820" s="180">
        <v>100</v>
      </c>
    </row>
    <row r="1821" spans="1:17">
      <c r="A1821" t="str">
        <f t="shared" si="112"/>
        <v>UGA_5325</v>
      </c>
      <c r="B1821" t="str">
        <f t="shared" si="113"/>
        <v>UGA_PUMP HOUSE</v>
      </c>
      <c r="C1821" t="s">
        <v>443</v>
      </c>
      <c r="D1821" s="180" t="s">
        <v>51</v>
      </c>
      <c r="E1821" t="s">
        <v>2653</v>
      </c>
      <c r="F1821" t="s">
        <v>1503</v>
      </c>
      <c r="G1821" s="180">
        <v>105</v>
      </c>
      <c r="H1821">
        <v>1972</v>
      </c>
      <c r="J1821" s="1334" t="s">
        <v>475</v>
      </c>
      <c r="K1821" s="1335" t="s">
        <v>475</v>
      </c>
      <c r="L1821" s="180">
        <v>0</v>
      </c>
      <c r="M1821" t="s">
        <v>4</v>
      </c>
      <c r="N1821" t="str">
        <f t="shared" si="114"/>
        <v>PUMP HOUSE (5325)</v>
      </c>
      <c r="O1821" t="s">
        <v>52</v>
      </c>
      <c r="P1821" t="str">
        <f t="shared" si="115"/>
        <v>18000_5325</v>
      </c>
      <c r="Q1821" s="180">
        <v>100</v>
      </c>
    </row>
    <row r="1822" spans="1:17">
      <c r="A1822" t="str">
        <f t="shared" si="112"/>
        <v>UGA_5326</v>
      </c>
      <c r="B1822" t="str">
        <f t="shared" si="113"/>
        <v>UGA_PAVILION 4</v>
      </c>
      <c r="C1822" t="s">
        <v>443</v>
      </c>
      <c r="D1822" s="180" t="s">
        <v>51</v>
      </c>
      <c r="E1822" t="s">
        <v>3942</v>
      </c>
      <c r="F1822" t="s">
        <v>3943</v>
      </c>
      <c r="G1822" s="180">
        <v>1558</v>
      </c>
      <c r="H1822">
        <v>1963</v>
      </c>
      <c r="J1822" s="1334" t="s">
        <v>475</v>
      </c>
      <c r="K1822" s="1335" t="s">
        <v>475</v>
      </c>
      <c r="L1822" s="180">
        <v>0</v>
      </c>
      <c r="M1822" t="s">
        <v>4</v>
      </c>
      <c r="N1822" t="str">
        <f t="shared" si="114"/>
        <v>PAVILION 4 (5326)</v>
      </c>
      <c r="O1822" t="s">
        <v>52</v>
      </c>
      <c r="P1822" t="str">
        <f t="shared" si="115"/>
        <v>18000_5326</v>
      </c>
      <c r="Q1822" s="180">
        <v>100</v>
      </c>
    </row>
    <row r="1823" spans="1:17">
      <c r="A1823" t="str">
        <f t="shared" si="112"/>
        <v>UGA_5327</v>
      </c>
      <c r="B1823" t="str">
        <f t="shared" si="113"/>
        <v>UGA_PAVILION 1</v>
      </c>
      <c r="C1823" t="s">
        <v>443</v>
      </c>
      <c r="D1823" s="180" t="s">
        <v>51</v>
      </c>
      <c r="E1823" t="s">
        <v>3090</v>
      </c>
      <c r="F1823" t="s">
        <v>3091</v>
      </c>
      <c r="G1823" s="180">
        <v>256</v>
      </c>
      <c r="H1823">
        <v>1963</v>
      </c>
      <c r="J1823" s="1334" t="s">
        <v>475</v>
      </c>
      <c r="K1823" s="1335" t="s">
        <v>475</v>
      </c>
      <c r="L1823" s="180">
        <v>0</v>
      </c>
      <c r="M1823" t="s">
        <v>4</v>
      </c>
      <c r="N1823" t="str">
        <f t="shared" si="114"/>
        <v>PAVILION 1 (5327)</v>
      </c>
      <c r="O1823" t="s">
        <v>52</v>
      </c>
      <c r="P1823" t="str">
        <f t="shared" si="115"/>
        <v>18000_5327</v>
      </c>
      <c r="Q1823" s="180">
        <v>100</v>
      </c>
    </row>
    <row r="1824" spans="1:17">
      <c r="A1824" t="str">
        <f t="shared" si="112"/>
        <v>UGA_5328</v>
      </c>
      <c r="B1824" t="str">
        <f t="shared" si="113"/>
        <v>UGA_PAVILION 2</v>
      </c>
      <c r="C1824" t="s">
        <v>443</v>
      </c>
      <c r="D1824" s="180" t="s">
        <v>51</v>
      </c>
      <c r="E1824" t="s">
        <v>2277</v>
      </c>
      <c r="F1824" t="s">
        <v>2278</v>
      </c>
      <c r="G1824" s="180">
        <v>256</v>
      </c>
      <c r="H1824">
        <v>1963</v>
      </c>
      <c r="J1824" s="1334" t="s">
        <v>475</v>
      </c>
      <c r="K1824" s="1335" t="s">
        <v>475</v>
      </c>
      <c r="L1824" s="180">
        <v>0</v>
      </c>
      <c r="M1824" t="s">
        <v>4</v>
      </c>
      <c r="N1824" t="str">
        <f t="shared" si="114"/>
        <v>PAVILION 2 (5328)</v>
      </c>
      <c r="O1824" t="s">
        <v>52</v>
      </c>
      <c r="P1824" t="str">
        <f t="shared" si="115"/>
        <v>18000_5328</v>
      </c>
      <c r="Q1824" s="180">
        <v>100</v>
      </c>
    </row>
    <row r="1825" spans="1:17">
      <c r="A1825" t="str">
        <f t="shared" si="112"/>
        <v>UGA_5329</v>
      </c>
      <c r="B1825" t="str">
        <f t="shared" si="113"/>
        <v>UGA_PAVILION 3</v>
      </c>
      <c r="C1825" t="s">
        <v>443</v>
      </c>
      <c r="D1825" s="180" t="s">
        <v>51</v>
      </c>
      <c r="E1825" t="s">
        <v>4312</v>
      </c>
      <c r="F1825" t="s">
        <v>4313</v>
      </c>
      <c r="G1825" s="180">
        <v>256</v>
      </c>
      <c r="H1825">
        <v>1963</v>
      </c>
      <c r="J1825" s="1334" t="s">
        <v>475</v>
      </c>
      <c r="K1825" s="1335" t="s">
        <v>475</v>
      </c>
      <c r="L1825" s="180">
        <v>0</v>
      </c>
      <c r="M1825" t="s">
        <v>4</v>
      </c>
      <c r="N1825" t="str">
        <f t="shared" si="114"/>
        <v>PAVILION 3 (5329)</v>
      </c>
      <c r="O1825" t="s">
        <v>52</v>
      </c>
      <c r="P1825" t="str">
        <f t="shared" si="115"/>
        <v>18000_5329</v>
      </c>
      <c r="Q1825" s="180">
        <v>100</v>
      </c>
    </row>
    <row r="1826" spans="1:17">
      <c r="A1826" t="str">
        <f t="shared" si="112"/>
        <v>UGA_5330</v>
      </c>
      <c r="B1826" t="str">
        <f t="shared" si="113"/>
        <v>UGA_MAINTENANCE SHOP</v>
      </c>
      <c r="C1826" t="s">
        <v>443</v>
      </c>
      <c r="D1826" s="180" t="s">
        <v>51</v>
      </c>
      <c r="E1826" t="s">
        <v>2518</v>
      </c>
      <c r="F1826" t="s">
        <v>2519</v>
      </c>
      <c r="G1826" s="180">
        <v>960</v>
      </c>
      <c r="H1826">
        <v>1975</v>
      </c>
      <c r="J1826" s="1334" t="s">
        <v>475</v>
      </c>
      <c r="K1826" s="1335" t="s">
        <v>475</v>
      </c>
      <c r="L1826" s="180">
        <v>0</v>
      </c>
      <c r="M1826" t="s">
        <v>4</v>
      </c>
      <c r="N1826" t="str">
        <f t="shared" si="114"/>
        <v>MAINTENANCE SHOP (5330)</v>
      </c>
      <c r="O1826" t="s">
        <v>52</v>
      </c>
      <c r="P1826" t="str">
        <f t="shared" si="115"/>
        <v>18000_5330</v>
      </c>
      <c r="Q1826" s="180">
        <v>100</v>
      </c>
    </row>
    <row r="1827" spans="1:17">
      <c r="A1827" t="str">
        <f t="shared" si="112"/>
        <v>UGA_5331</v>
      </c>
      <c r="B1827" t="str">
        <f t="shared" si="113"/>
        <v>UGA_GIRLS BATH HOUSE</v>
      </c>
      <c r="C1827" t="s">
        <v>443</v>
      </c>
      <c r="D1827" s="180" t="s">
        <v>51</v>
      </c>
      <c r="E1827" t="s">
        <v>2459</v>
      </c>
      <c r="F1827" t="s">
        <v>2460</v>
      </c>
      <c r="G1827" s="180">
        <v>720</v>
      </c>
      <c r="H1827">
        <v>1938</v>
      </c>
      <c r="J1827" s="1334" t="s">
        <v>475</v>
      </c>
      <c r="K1827" s="1335" t="s">
        <v>475</v>
      </c>
      <c r="L1827" s="180">
        <v>0</v>
      </c>
      <c r="M1827" t="s">
        <v>4</v>
      </c>
      <c r="N1827" t="str">
        <f t="shared" si="114"/>
        <v>GIRLS BATH HOUSE (5331)</v>
      </c>
      <c r="O1827" t="s">
        <v>52</v>
      </c>
      <c r="P1827" t="str">
        <f t="shared" si="115"/>
        <v>18000_5331</v>
      </c>
      <c r="Q1827" s="180">
        <v>100</v>
      </c>
    </row>
    <row r="1828" spans="1:17">
      <c r="A1828" t="str">
        <f t="shared" si="112"/>
        <v>UGA_5332</v>
      </c>
      <c r="B1828" t="str">
        <f t="shared" si="113"/>
        <v>UGA_BOYS BATH HOUSE</v>
      </c>
      <c r="C1828" t="s">
        <v>443</v>
      </c>
      <c r="D1828" s="180" t="s">
        <v>51</v>
      </c>
      <c r="E1828" t="s">
        <v>1504</v>
      </c>
      <c r="F1828" t="s">
        <v>1505</v>
      </c>
      <c r="G1828" s="180">
        <v>488</v>
      </c>
      <c r="H1828">
        <v>1968</v>
      </c>
      <c r="J1828" s="1334" t="s">
        <v>475</v>
      </c>
      <c r="K1828" s="1335" t="s">
        <v>475</v>
      </c>
      <c r="L1828" s="180">
        <v>0</v>
      </c>
      <c r="M1828" t="s">
        <v>4</v>
      </c>
      <c r="N1828" t="str">
        <f t="shared" si="114"/>
        <v>BOYS BATH HOUSE (5332)</v>
      </c>
      <c r="O1828" t="s">
        <v>52</v>
      </c>
      <c r="P1828" t="str">
        <f t="shared" si="115"/>
        <v>18000_5332</v>
      </c>
      <c r="Q1828" s="180">
        <v>100</v>
      </c>
    </row>
    <row r="1829" spans="1:17">
      <c r="A1829" t="str">
        <f t="shared" si="112"/>
        <v>UGA_5334</v>
      </c>
      <c r="B1829" t="str">
        <f t="shared" si="113"/>
        <v>UGA_UTILITY SHED</v>
      </c>
      <c r="C1829" t="s">
        <v>443</v>
      </c>
      <c r="D1829" s="180" t="s">
        <v>51</v>
      </c>
      <c r="E1829" t="s">
        <v>1476</v>
      </c>
      <c r="F1829" t="s">
        <v>1477</v>
      </c>
      <c r="G1829" s="180">
        <v>192</v>
      </c>
      <c r="H1829">
        <v>2015</v>
      </c>
      <c r="J1829" s="1334" t="s">
        <v>475</v>
      </c>
      <c r="K1829" s="1335" t="s">
        <v>475</v>
      </c>
      <c r="L1829" s="180">
        <v>0</v>
      </c>
      <c r="M1829" t="s">
        <v>4</v>
      </c>
      <c r="N1829" t="str">
        <f t="shared" si="114"/>
        <v>UTILITY SHED (5334)</v>
      </c>
      <c r="O1829" t="s">
        <v>52</v>
      </c>
      <c r="P1829" t="str">
        <f t="shared" si="115"/>
        <v>18000_5334</v>
      </c>
      <c r="Q1829" s="180">
        <v>100</v>
      </c>
    </row>
    <row r="1830" spans="1:17">
      <c r="A1830" t="str">
        <f t="shared" si="112"/>
        <v>UGA_5652</v>
      </c>
      <c r="B1830" t="str">
        <f t="shared" si="113"/>
        <v>UGA_THE HOLE</v>
      </c>
      <c r="C1830" t="s">
        <v>443</v>
      </c>
      <c r="D1830" s="180" t="s">
        <v>51</v>
      </c>
      <c r="E1830" t="s">
        <v>3759</v>
      </c>
      <c r="F1830" t="s">
        <v>3760</v>
      </c>
      <c r="G1830" s="180">
        <v>445</v>
      </c>
      <c r="H1830">
        <v>1951</v>
      </c>
      <c r="J1830" s="1334" t="s">
        <v>475</v>
      </c>
      <c r="K1830" s="1335" t="s">
        <v>1520</v>
      </c>
      <c r="L1830" s="180">
        <v>0</v>
      </c>
      <c r="M1830" t="s">
        <v>4</v>
      </c>
      <c r="N1830" t="str">
        <f t="shared" si="114"/>
        <v>THE HOLE (5652)</v>
      </c>
      <c r="O1830" t="s">
        <v>52</v>
      </c>
      <c r="P1830" t="str">
        <f t="shared" si="115"/>
        <v>18000_5652</v>
      </c>
      <c r="Q1830" s="180">
        <v>0</v>
      </c>
    </row>
    <row r="1831" spans="1:17">
      <c r="A1831" t="str">
        <f t="shared" si="112"/>
        <v>UGA_5653</v>
      </c>
      <c r="B1831" t="str">
        <f t="shared" si="113"/>
        <v>UGA_DORMITORY #2</v>
      </c>
      <c r="C1831" t="s">
        <v>443</v>
      </c>
      <c r="D1831" s="180" t="s">
        <v>51</v>
      </c>
      <c r="E1831" t="s">
        <v>2855</v>
      </c>
      <c r="F1831" t="s">
        <v>2856</v>
      </c>
      <c r="G1831" s="180">
        <v>948</v>
      </c>
      <c r="H1831">
        <v>1951</v>
      </c>
      <c r="J1831" s="1334" t="s">
        <v>475</v>
      </c>
      <c r="K1831" s="1335" t="s">
        <v>1520</v>
      </c>
      <c r="L1831" s="180">
        <v>0</v>
      </c>
      <c r="M1831" t="s">
        <v>4</v>
      </c>
      <c r="N1831" t="str">
        <f t="shared" si="114"/>
        <v>DORMITORY #2 (5653)</v>
      </c>
      <c r="O1831" t="s">
        <v>52</v>
      </c>
      <c r="P1831" t="str">
        <f t="shared" si="115"/>
        <v>18000_5653</v>
      </c>
      <c r="Q1831" s="180">
        <v>0</v>
      </c>
    </row>
    <row r="1832" spans="1:17">
      <c r="A1832" t="str">
        <f t="shared" si="112"/>
        <v>UGA_5654</v>
      </c>
      <c r="B1832" t="str">
        <f t="shared" si="113"/>
        <v>UGA_BRTN-4H DRMS 3A&amp;3B</v>
      </c>
      <c r="C1832" t="s">
        <v>443</v>
      </c>
      <c r="D1832" s="180" t="s">
        <v>51</v>
      </c>
      <c r="E1832" t="s">
        <v>3871</v>
      </c>
      <c r="F1832" t="s">
        <v>3872</v>
      </c>
      <c r="G1832" s="180">
        <v>989</v>
      </c>
      <c r="H1832">
        <v>1951</v>
      </c>
      <c r="J1832" s="1334" t="s">
        <v>475</v>
      </c>
      <c r="K1832" s="1335" t="s">
        <v>1520</v>
      </c>
      <c r="L1832" s="180">
        <v>0</v>
      </c>
      <c r="M1832" t="s">
        <v>4</v>
      </c>
      <c r="N1832" t="str">
        <f t="shared" si="114"/>
        <v>BRTN-4H DRMS 3A&amp;3B (5654)</v>
      </c>
      <c r="O1832" t="s">
        <v>52</v>
      </c>
      <c r="P1832" t="str">
        <f t="shared" si="115"/>
        <v>18000_5654</v>
      </c>
      <c r="Q1832" s="180">
        <v>0</v>
      </c>
    </row>
    <row r="1833" spans="1:17">
      <c r="A1833" t="str">
        <f t="shared" si="112"/>
        <v>UGA_5655</v>
      </c>
      <c r="B1833" t="str">
        <f t="shared" si="113"/>
        <v>UGA_BILTMORE - OFF/STF</v>
      </c>
      <c r="C1833" t="s">
        <v>443</v>
      </c>
      <c r="D1833" s="180" t="s">
        <v>51</v>
      </c>
      <c r="E1833" t="s">
        <v>3470</v>
      </c>
      <c r="F1833" t="s">
        <v>3471</v>
      </c>
      <c r="G1833" s="180">
        <v>987</v>
      </c>
      <c r="H1833">
        <v>1951</v>
      </c>
      <c r="J1833" s="1334" t="s">
        <v>475</v>
      </c>
      <c r="K1833" s="1335" t="s">
        <v>1520</v>
      </c>
      <c r="L1833" s="180">
        <v>0</v>
      </c>
      <c r="M1833" t="s">
        <v>4</v>
      </c>
      <c r="N1833" t="str">
        <f t="shared" si="114"/>
        <v>BILTMORE - OFF/STF (5655)</v>
      </c>
      <c r="O1833" t="s">
        <v>52</v>
      </c>
      <c r="P1833" t="str">
        <f t="shared" si="115"/>
        <v>18000_5655</v>
      </c>
      <c r="Q1833" s="180">
        <v>0</v>
      </c>
    </row>
    <row r="1834" spans="1:17">
      <c r="A1834" t="str">
        <f t="shared" si="112"/>
        <v>UGA_5656</v>
      </c>
      <c r="B1834" t="str">
        <f t="shared" si="113"/>
        <v>UGA_BRTN-4H DORMS 4&amp;5</v>
      </c>
      <c r="C1834" t="s">
        <v>443</v>
      </c>
      <c r="D1834" s="180" t="s">
        <v>51</v>
      </c>
      <c r="E1834" t="s">
        <v>1616</v>
      </c>
      <c r="F1834" t="s">
        <v>1617</v>
      </c>
      <c r="G1834" s="180">
        <v>2136</v>
      </c>
      <c r="H1834">
        <v>1951</v>
      </c>
      <c r="J1834" s="1334" t="s">
        <v>475</v>
      </c>
      <c r="K1834" s="1335" t="s">
        <v>486</v>
      </c>
      <c r="L1834" s="180">
        <v>0</v>
      </c>
      <c r="M1834" t="s">
        <v>4</v>
      </c>
      <c r="N1834" t="str">
        <f t="shared" si="114"/>
        <v>BRTN-4H DORMS 4&amp;5 (5656)</v>
      </c>
      <c r="O1834" t="s">
        <v>52</v>
      </c>
      <c r="P1834" t="str">
        <f t="shared" si="115"/>
        <v>18000_5656</v>
      </c>
      <c r="Q1834" s="180">
        <v>0</v>
      </c>
    </row>
    <row r="1835" spans="1:17">
      <c r="A1835" t="str">
        <f t="shared" si="112"/>
        <v>UGA_5658</v>
      </c>
      <c r="B1835" t="str">
        <f t="shared" si="113"/>
        <v>UGA_BRTN-4H DORMS 6&amp;7</v>
      </c>
      <c r="C1835" t="s">
        <v>443</v>
      </c>
      <c r="D1835" s="180" t="s">
        <v>51</v>
      </c>
      <c r="E1835" t="s">
        <v>3328</v>
      </c>
      <c r="F1835" t="s">
        <v>3329</v>
      </c>
      <c r="G1835" s="180">
        <v>1549</v>
      </c>
      <c r="H1835">
        <v>1951</v>
      </c>
      <c r="J1835" s="1334" t="s">
        <v>475</v>
      </c>
      <c r="K1835" s="1335" t="s">
        <v>486</v>
      </c>
      <c r="L1835" s="180">
        <v>0</v>
      </c>
      <c r="M1835" t="s">
        <v>4</v>
      </c>
      <c r="N1835" t="str">
        <f t="shared" si="114"/>
        <v>BRTN-4H DORMS 6&amp;7 (5658)</v>
      </c>
      <c r="O1835" t="s">
        <v>52</v>
      </c>
      <c r="P1835" t="str">
        <f t="shared" si="115"/>
        <v>18000_5658</v>
      </c>
      <c r="Q1835" s="180">
        <v>0</v>
      </c>
    </row>
    <row r="1836" spans="1:17">
      <c r="A1836" t="str">
        <f t="shared" si="112"/>
        <v>UGA_5660</v>
      </c>
      <c r="B1836" t="str">
        <f t="shared" si="113"/>
        <v>UGA_DORMITORY #1</v>
      </c>
      <c r="C1836" t="s">
        <v>443</v>
      </c>
      <c r="D1836" s="180" t="s">
        <v>51</v>
      </c>
      <c r="E1836" t="s">
        <v>3761</v>
      </c>
      <c r="F1836" t="s">
        <v>3762</v>
      </c>
      <c r="G1836" s="180">
        <v>1157</v>
      </c>
      <c r="H1836">
        <v>1951</v>
      </c>
      <c r="J1836" s="1334" t="s">
        <v>475</v>
      </c>
      <c r="K1836" s="1335" t="s">
        <v>1520</v>
      </c>
      <c r="L1836" s="180">
        <v>0</v>
      </c>
      <c r="M1836" t="s">
        <v>4</v>
      </c>
      <c r="N1836" t="str">
        <f t="shared" si="114"/>
        <v>DORMITORY #1 (5660)</v>
      </c>
      <c r="O1836" t="s">
        <v>52</v>
      </c>
      <c r="P1836" t="str">
        <f t="shared" si="115"/>
        <v>18000_5660</v>
      </c>
      <c r="Q1836" s="180">
        <v>0</v>
      </c>
    </row>
    <row r="1837" spans="1:17">
      <c r="A1837" t="str">
        <f t="shared" si="112"/>
        <v>UGA_5662</v>
      </c>
      <c r="B1837" t="str">
        <f t="shared" si="113"/>
        <v>UGA_BURTN 4H DINING HL</v>
      </c>
      <c r="C1837" t="s">
        <v>443</v>
      </c>
      <c r="D1837" s="180" t="s">
        <v>51</v>
      </c>
      <c r="E1837" t="s">
        <v>4259</v>
      </c>
      <c r="F1837" t="s">
        <v>4260</v>
      </c>
      <c r="G1837" s="180">
        <v>4175</v>
      </c>
      <c r="H1837">
        <v>1951</v>
      </c>
      <c r="J1837" s="1334" t="s">
        <v>475</v>
      </c>
      <c r="K1837" s="1335" t="s">
        <v>475</v>
      </c>
      <c r="L1837" s="180">
        <v>0</v>
      </c>
      <c r="M1837" t="s">
        <v>4</v>
      </c>
      <c r="N1837" t="str">
        <f t="shared" si="114"/>
        <v>BURTN 4H DINING HL (5662)</v>
      </c>
      <c r="O1837" t="s">
        <v>52</v>
      </c>
      <c r="P1837" t="str">
        <f t="shared" si="115"/>
        <v>18000_5662</v>
      </c>
      <c r="Q1837" s="180">
        <v>0</v>
      </c>
    </row>
    <row r="1838" spans="1:17">
      <c r="A1838" t="str">
        <f t="shared" si="112"/>
        <v>UGA_5663</v>
      </c>
      <c r="B1838" t="str">
        <f t="shared" si="113"/>
        <v>UGA_STAFF LOUNGE</v>
      </c>
      <c r="C1838" t="s">
        <v>443</v>
      </c>
      <c r="D1838" s="180" t="s">
        <v>51</v>
      </c>
      <c r="E1838" t="s">
        <v>3944</v>
      </c>
      <c r="F1838" t="s">
        <v>3945</v>
      </c>
      <c r="G1838" s="180">
        <v>305</v>
      </c>
      <c r="H1838">
        <v>1951</v>
      </c>
      <c r="J1838" s="1334" t="s">
        <v>475</v>
      </c>
      <c r="K1838" s="1335" t="s">
        <v>1520</v>
      </c>
      <c r="L1838" s="180">
        <v>0</v>
      </c>
      <c r="M1838" t="s">
        <v>4</v>
      </c>
      <c r="N1838" t="str">
        <f t="shared" si="114"/>
        <v>STAFF LOUNGE (5663)</v>
      </c>
      <c r="O1838" t="s">
        <v>52</v>
      </c>
      <c r="P1838" t="str">
        <f t="shared" si="115"/>
        <v>18000_5663</v>
      </c>
      <c r="Q1838" s="180">
        <v>0</v>
      </c>
    </row>
    <row r="1839" spans="1:17">
      <c r="A1839" t="str">
        <f t="shared" si="112"/>
        <v>UGA_5664</v>
      </c>
      <c r="B1839" t="str">
        <f t="shared" si="113"/>
        <v>UGA_BURTON-4H REC HALL</v>
      </c>
      <c r="C1839" t="s">
        <v>443</v>
      </c>
      <c r="D1839" s="180" t="s">
        <v>51</v>
      </c>
      <c r="E1839" t="s">
        <v>4333</v>
      </c>
      <c r="F1839" t="s">
        <v>4334</v>
      </c>
      <c r="G1839" s="180">
        <v>2460</v>
      </c>
      <c r="H1839">
        <v>1951</v>
      </c>
      <c r="J1839" s="1334" t="s">
        <v>475</v>
      </c>
      <c r="K1839" s="1335" t="s">
        <v>486</v>
      </c>
      <c r="L1839" s="180">
        <v>0</v>
      </c>
      <c r="M1839" t="s">
        <v>4</v>
      </c>
      <c r="N1839" t="str">
        <f t="shared" si="114"/>
        <v>BURTON-4H REC HALL (5664)</v>
      </c>
      <c r="O1839" t="s">
        <v>52</v>
      </c>
      <c r="P1839" t="str">
        <f t="shared" si="115"/>
        <v>18000_5664</v>
      </c>
      <c r="Q1839" s="180">
        <v>0</v>
      </c>
    </row>
    <row r="1840" spans="1:17">
      <c r="A1840" t="str">
        <f t="shared" si="112"/>
        <v>UGA_5665</v>
      </c>
      <c r="B1840" t="str">
        <f t="shared" si="113"/>
        <v>UGA_BRTN-4H PROG COORD</v>
      </c>
      <c r="C1840" t="s">
        <v>443</v>
      </c>
      <c r="D1840" s="180" t="s">
        <v>51</v>
      </c>
      <c r="E1840" t="s">
        <v>3472</v>
      </c>
      <c r="F1840" t="s">
        <v>3473</v>
      </c>
      <c r="G1840" s="180">
        <v>790</v>
      </c>
      <c r="H1840">
        <v>1951</v>
      </c>
      <c r="J1840" s="1334" t="s">
        <v>475</v>
      </c>
      <c r="K1840" s="1335" t="s">
        <v>481</v>
      </c>
      <c r="L1840" s="180">
        <v>0</v>
      </c>
      <c r="M1840" t="s">
        <v>4</v>
      </c>
      <c r="N1840" t="str">
        <f t="shared" si="114"/>
        <v>BRTN-4H PROG COORD (5665)</v>
      </c>
      <c r="O1840" t="s">
        <v>52</v>
      </c>
      <c r="P1840" t="str">
        <f t="shared" si="115"/>
        <v>18000_5665</v>
      </c>
      <c r="Q1840" s="180">
        <v>0</v>
      </c>
    </row>
    <row r="1841" spans="1:17">
      <c r="A1841" t="str">
        <f t="shared" si="112"/>
        <v>UGA_5667</v>
      </c>
      <c r="B1841" t="str">
        <f t="shared" si="113"/>
        <v>UGA_BRTN 4H CAMP MANAG</v>
      </c>
      <c r="C1841" t="s">
        <v>443</v>
      </c>
      <c r="D1841" s="180" t="s">
        <v>51</v>
      </c>
      <c r="E1841" t="s">
        <v>2279</v>
      </c>
      <c r="F1841" t="s">
        <v>2280</v>
      </c>
      <c r="G1841" s="180">
        <v>1358</v>
      </c>
      <c r="H1841">
        <v>1951</v>
      </c>
      <c r="J1841" s="1334" t="s">
        <v>475</v>
      </c>
      <c r="K1841" s="1335" t="s">
        <v>1520</v>
      </c>
      <c r="L1841" s="180">
        <v>0</v>
      </c>
      <c r="M1841" t="s">
        <v>4</v>
      </c>
      <c r="N1841" t="str">
        <f t="shared" si="114"/>
        <v>BRTN 4H CAMP MANAG (5667)</v>
      </c>
      <c r="O1841" t="s">
        <v>52</v>
      </c>
      <c r="P1841" t="str">
        <f t="shared" si="115"/>
        <v>18000_5667</v>
      </c>
      <c r="Q1841" s="180">
        <v>0</v>
      </c>
    </row>
    <row r="1842" spans="1:17">
      <c r="A1842" t="str">
        <f t="shared" si="112"/>
        <v>UGA_5668</v>
      </c>
      <c r="B1842" t="str">
        <f t="shared" si="113"/>
        <v>UGA_A-FRAME PAVILION</v>
      </c>
      <c r="C1842" t="s">
        <v>443</v>
      </c>
      <c r="D1842" s="180" t="s">
        <v>51</v>
      </c>
      <c r="E1842" t="s">
        <v>2557</v>
      </c>
      <c r="F1842" t="s">
        <v>2558</v>
      </c>
      <c r="G1842" s="180">
        <v>1593</v>
      </c>
      <c r="H1842">
        <v>1981</v>
      </c>
      <c r="J1842" s="1334" t="s">
        <v>475</v>
      </c>
      <c r="K1842" s="1335" t="s">
        <v>475</v>
      </c>
      <c r="L1842" s="180">
        <v>0</v>
      </c>
      <c r="M1842" t="s">
        <v>4</v>
      </c>
      <c r="N1842" t="str">
        <f t="shared" si="114"/>
        <v>A-FRAME PAVILION (5668)</v>
      </c>
      <c r="O1842" t="s">
        <v>52</v>
      </c>
      <c r="P1842" t="str">
        <f t="shared" si="115"/>
        <v>18000_5668</v>
      </c>
      <c r="Q1842" s="180">
        <v>0</v>
      </c>
    </row>
    <row r="1843" spans="1:17">
      <c r="A1843" t="str">
        <f t="shared" si="112"/>
        <v>UGA_5670</v>
      </c>
      <c r="B1843" t="str">
        <f t="shared" si="113"/>
        <v>UGA_BURTON-4H GAZEBO</v>
      </c>
      <c r="C1843" t="s">
        <v>443</v>
      </c>
      <c r="D1843" s="180" t="s">
        <v>51</v>
      </c>
      <c r="E1843" t="s">
        <v>2477</v>
      </c>
      <c r="F1843" t="s">
        <v>2478</v>
      </c>
      <c r="G1843" s="180">
        <v>119</v>
      </c>
      <c r="H1843">
        <v>1986</v>
      </c>
      <c r="J1843" s="1334" t="s">
        <v>475</v>
      </c>
      <c r="K1843" s="1335" t="s">
        <v>475</v>
      </c>
      <c r="L1843" s="180">
        <v>0</v>
      </c>
      <c r="M1843" t="s">
        <v>4</v>
      </c>
      <c r="N1843" t="str">
        <f t="shared" si="114"/>
        <v>BURTON-4H GAZEBO (5670)</v>
      </c>
      <c r="O1843" t="s">
        <v>52</v>
      </c>
      <c r="P1843" t="str">
        <f t="shared" si="115"/>
        <v>18000_5670</v>
      </c>
      <c r="Q1843" s="180">
        <v>0</v>
      </c>
    </row>
    <row r="1844" spans="1:17">
      <c r="A1844" t="str">
        <f t="shared" si="112"/>
        <v>UGA_5672</v>
      </c>
      <c r="B1844" t="str">
        <f t="shared" si="113"/>
        <v>UGA_BRTN-4H MAINT SHOP</v>
      </c>
      <c r="C1844" t="s">
        <v>443</v>
      </c>
      <c r="D1844" s="180" t="s">
        <v>51</v>
      </c>
      <c r="E1844" t="s">
        <v>1879</v>
      </c>
      <c r="F1844" t="s">
        <v>1880</v>
      </c>
      <c r="G1844" s="180">
        <v>408</v>
      </c>
      <c r="H1844">
        <v>2000</v>
      </c>
      <c r="J1844" s="1334" t="s">
        <v>475</v>
      </c>
      <c r="K1844" s="1335" t="s">
        <v>475</v>
      </c>
      <c r="L1844" s="180">
        <v>0</v>
      </c>
      <c r="M1844" t="s">
        <v>4</v>
      </c>
      <c r="N1844" t="str">
        <f t="shared" si="114"/>
        <v>BRTN-4H MAINT SHOP (5672)</v>
      </c>
      <c r="O1844" t="s">
        <v>52</v>
      </c>
      <c r="P1844" t="str">
        <f t="shared" si="115"/>
        <v>18000_5672</v>
      </c>
      <c r="Q1844" s="180">
        <v>0</v>
      </c>
    </row>
    <row r="1845" spans="1:17">
      <c r="A1845" t="str">
        <f t="shared" si="112"/>
        <v>UGA_5673</v>
      </c>
      <c r="B1845" t="str">
        <f t="shared" si="113"/>
        <v>UGA_BURTON- STAFF DORM</v>
      </c>
      <c r="C1845" t="s">
        <v>443</v>
      </c>
      <c r="D1845" s="180" t="s">
        <v>51</v>
      </c>
      <c r="E1845" t="s">
        <v>3990</v>
      </c>
      <c r="F1845" t="s">
        <v>3991</v>
      </c>
      <c r="G1845" s="180">
        <v>5487</v>
      </c>
      <c r="H1845">
        <v>2009</v>
      </c>
      <c r="J1845" s="1334" t="s">
        <v>475</v>
      </c>
      <c r="K1845" s="1335" t="s">
        <v>475</v>
      </c>
      <c r="L1845" s="180">
        <v>0</v>
      </c>
      <c r="M1845" t="s">
        <v>4</v>
      </c>
      <c r="N1845" t="str">
        <f t="shared" si="114"/>
        <v>BURTON- STAFF DORM (5673)</v>
      </c>
      <c r="O1845" t="s">
        <v>52</v>
      </c>
      <c r="P1845" t="str">
        <f t="shared" si="115"/>
        <v>18000_5673</v>
      </c>
      <c r="Q1845" s="180">
        <v>0</v>
      </c>
    </row>
    <row r="1846" spans="1:17">
      <c r="A1846" t="str">
        <f t="shared" si="112"/>
        <v>UGA_5695</v>
      </c>
      <c r="B1846" t="str">
        <f t="shared" si="113"/>
        <v>UGA_ROCK HAWK TOWER</v>
      </c>
      <c r="C1846" t="s">
        <v>443</v>
      </c>
      <c r="D1846" s="180" t="s">
        <v>51</v>
      </c>
      <c r="E1846" t="s">
        <v>3330</v>
      </c>
      <c r="F1846" t="s">
        <v>3331</v>
      </c>
      <c r="G1846" s="180">
        <v>1439</v>
      </c>
      <c r="H1846">
        <v>2009</v>
      </c>
      <c r="J1846" s="1334" t="s">
        <v>475</v>
      </c>
      <c r="K1846" s="1335" t="s">
        <v>475</v>
      </c>
      <c r="L1846" s="180">
        <v>0</v>
      </c>
      <c r="M1846" t="s">
        <v>4</v>
      </c>
      <c r="N1846" t="str">
        <f t="shared" si="114"/>
        <v>ROCK HAWK TOWER (5695)</v>
      </c>
      <c r="O1846" t="s">
        <v>52</v>
      </c>
      <c r="P1846" t="str">
        <f t="shared" si="115"/>
        <v>18000_5695</v>
      </c>
      <c r="Q1846" s="180">
        <v>0</v>
      </c>
    </row>
    <row r="1847" spans="1:17">
      <c r="A1847" t="str">
        <f t="shared" si="112"/>
        <v>UGA_5706</v>
      </c>
      <c r="B1847" t="str">
        <f t="shared" si="113"/>
        <v>UGA_MAIN OFFICE BLDG</v>
      </c>
      <c r="C1847" t="s">
        <v>443</v>
      </c>
      <c r="D1847" s="180" t="s">
        <v>51</v>
      </c>
      <c r="E1847" t="s">
        <v>3946</v>
      </c>
      <c r="F1847" t="s">
        <v>3947</v>
      </c>
      <c r="G1847" s="180">
        <v>1945</v>
      </c>
      <c r="H1847">
        <v>1957</v>
      </c>
      <c r="J1847" s="1334" t="s">
        <v>475</v>
      </c>
      <c r="K1847" s="1335" t="s">
        <v>486</v>
      </c>
      <c r="L1847" s="180">
        <v>0</v>
      </c>
      <c r="M1847" t="s">
        <v>4</v>
      </c>
      <c r="N1847" t="str">
        <f t="shared" si="114"/>
        <v>MAIN OFFICE BLDG (5706)</v>
      </c>
      <c r="O1847" t="s">
        <v>52</v>
      </c>
      <c r="P1847" t="str">
        <f t="shared" si="115"/>
        <v>18000_5706</v>
      </c>
      <c r="Q1847" s="180">
        <v>0</v>
      </c>
    </row>
    <row r="1848" spans="1:17">
      <c r="A1848" t="str">
        <f t="shared" si="112"/>
        <v>UGA_5707</v>
      </c>
      <c r="B1848" t="str">
        <f t="shared" si="113"/>
        <v>UGA_GREENHOUSE 1</v>
      </c>
      <c r="C1848" t="s">
        <v>443</v>
      </c>
      <c r="D1848" s="180" t="s">
        <v>51</v>
      </c>
      <c r="E1848" t="s">
        <v>4176</v>
      </c>
      <c r="F1848" t="s">
        <v>4177</v>
      </c>
      <c r="G1848" s="180">
        <v>1632</v>
      </c>
      <c r="H1848">
        <v>1957</v>
      </c>
      <c r="J1848" s="1334" t="s">
        <v>475</v>
      </c>
      <c r="K1848" s="1335" t="s">
        <v>475</v>
      </c>
      <c r="L1848" s="180">
        <v>0</v>
      </c>
      <c r="M1848" t="s">
        <v>4</v>
      </c>
      <c r="N1848" t="str">
        <f t="shared" si="114"/>
        <v>GREENHOUSE 1 (5707)</v>
      </c>
      <c r="O1848" t="s">
        <v>52</v>
      </c>
      <c r="P1848" t="str">
        <f t="shared" si="115"/>
        <v>18000_5707</v>
      </c>
      <c r="Q1848" s="180">
        <v>0</v>
      </c>
    </row>
    <row r="1849" spans="1:17">
      <c r="A1849" t="str">
        <f t="shared" si="112"/>
        <v>UGA_5708</v>
      </c>
      <c r="B1849" t="str">
        <f t="shared" si="113"/>
        <v>UGA_GREENHOUSE 2</v>
      </c>
      <c r="C1849" t="s">
        <v>443</v>
      </c>
      <c r="D1849" s="180" t="s">
        <v>51</v>
      </c>
      <c r="E1849" t="s">
        <v>2479</v>
      </c>
      <c r="F1849" t="s">
        <v>2480</v>
      </c>
      <c r="G1849" s="180">
        <v>1301</v>
      </c>
      <c r="H1849">
        <v>1957</v>
      </c>
      <c r="J1849" s="1334" t="s">
        <v>475</v>
      </c>
      <c r="K1849" s="1335" t="s">
        <v>486</v>
      </c>
      <c r="L1849" s="180">
        <v>0</v>
      </c>
      <c r="M1849" t="s">
        <v>4</v>
      </c>
      <c r="N1849" t="str">
        <f t="shared" si="114"/>
        <v>GREENHOUSE 2 (5708)</v>
      </c>
      <c r="O1849" t="s">
        <v>52</v>
      </c>
      <c r="P1849" t="str">
        <f t="shared" si="115"/>
        <v>18000_5708</v>
      </c>
      <c r="Q1849" s="180">
        <v>0</v>
      </c>
    </row>
    <row r="1850" spans="1:17">
      <c r="A1850" t="str">
        <f t="shared" si="112"/>
        <v>UGA_5709</v>
      </c>
      <c r="B1850" t="str">
        <f t="shared" si="113"/>
        <v>UGA_GREENHOUSE 3</v>
      </c>
      <c r="C1850" t="s">
        <v>443</v>
      </c>
      <c r="D1850" s="180" t="s">
        <v>51</v>
      </c>
      <c r="E1850" t="s">
        <v>2834</v>
      </c>
      <c r="F1850" t="s">
        <v>2392</v>
      </c>
      <c r="G1850" s="180">
        <v>1754</v>
      </c>
      <c r="H1850">
        <v>1957</v>
      </c>
      <c r="J1850" s="1334" t="s">
        <v>475</v>
      </c>
      <c r="K1850" s="1335" t="s">
        <v>475</v>
      </c>
      <c r="L1850" s="180">
        <v>0</v>
      </c>
      <c r="M1850" t="s">
        <v>4</v>
      </c>
      <c r="N1850" t="str">
        <f t="shared" si="114"/>
        <v>GREENHOUSE 3 (5709)</v>
      </c>
      <c r="O1850" t="s">
        <v>52</v>
      </c>
      <c r="P1850" t="str">
        <f t="shared" si="115"/>
        <v>18000_5709</v>
      </c>
      <c r="Q1850" s="180">
        <v>0</v>
      </c>
    </row>
    <row r="1851" spans="1:17">
      <c r="A1851" t="str">
        <f t="shared" si="112"/>
        <v>UGA_5710</v>
      </c>
      <c r="B1851" t="str">
        <f t="shared" si="113"/>
        <v>UGA_BRIDAL COTTAGE</v>
      </c>
      <c r="C1851" t="s">
        <v>443</v>
      </c>
      <c r="D1851" s="180" t="s">
        <v>51</v>
      </c>
      <c r="E1851" t="s">
        <v>4027</v>
      </c>
      <c r="F1851" t="s">
        <v>4028</v>
      </c>
      <c r="G1851" s="180">
        <v>358</v>
      </c>
      <c r="H1851">
        <v>1957</v>
      </c>
      <c r="J1851" s="1334" t="s">
        <v>475</v>
      </c>
      <c r="K1851" s="1335" t="s">
        <v>1520</v>
      </c>
      <c r="L1851" s="180">
        <v>0</v>
      </c>
      <c r="M1851" t="s">
        <v>4</v>
      </c>
      <c r="N1851" t="str">
        <f t="shared" si="114"/>
        <v>BRIDAL COTTAGE (5710)</v>
      </c>
      <c r="O1851" t="s">
        <v>52</v>
      </c>
      <c r="P1851" t="str">
        <f t="shared" si="115"/>
        <v>18000_5710</v>
      </c>
      <c r="Q1851" s="180">
        <v>0</v>
      </c>
    </row>
    <row r="1852" spans="1:17">
      <c r="A1852" t="str">
        <f t="shared" si="112"/>
        <v>UGA_5711</v>
      </c>
      <c r="B1852" t="str">
        <f t="shared" si="113"/>
        <v>UGA_CONFERENCE CENTER</v>
      </c>
      <c r="C1852" t="s">
        <v>443</v>
      </c>
      <c r="D1852" s="180" t="s">
        <v>51</v>
      </c>
      <c r="E1852" t="s">
        <v>2559</v>
      </c>
      <c r="F1852" t="s">
        <v>2560</v>
      </c>
      <c r="G1852" s="180">
        <v>3090</v>
      </c>
      <c r="H1852">
        <v>1957</v>
      </c>
      <c r="J1852" s="1334" t="s">
        <v>475</v>
      </c>
      <c r="K1852" s="1335" t="s">
        <v>475</v>
      </c>
      <c r="L1852" s="180">
        <v>0</v>
      </c>
      <c r="M1852" t="s">
        <v>4</v>
      </c>
      <c r="N1852" t="str">
        <f t="shared" si="114"/>
        <v>CONFERENCE CENTER (5711)</v>
      </c>
      <c r="O1852" t="s">
        <v>52</v>
      </c>
      <c r="P1852" t="str">
        <f t="shared" si="115"/>
        <v>18000_5711</v>
      </c>
      <c r="Q1852" s="180">
        <v>0</v>
      </c>
    </row>
    <row r="1853" spans="1:17">
      <c r="A1853" t="str">
        <f t="shared" si="112"/>
        <v>UGA_5712</v>
      </c>
      <c r="B1853" t="str">
        <f t="shared" si="113"/>
        <v>UGA_WASH HOUSE</v>
      </c>
      <c r="C1853" t="s">
        <v>443</v>
      </c>
      <c r="D1853" s="180" t="s">
        <v>51</v>
      </c>
      <c r="E1853" t="s">
        <v>4392</v>
      </c>
      <c r="F1853" t="s">
        <v>4393</v>
      </c>
      <c r="G1853" s="180">
        <v>337</v>
      </c>
      <c r="H1853">
        <v>1957</v>
      </c>
      <c r="J1853" s="1334" t="s">
        <v>475</v>
      </c>
      <c r="K1853" s="1335" t="s">
        <v>1520</v>
      </c>
      <c r="L1853" s="180">
        <v>0</v>
      </c>
      <c r="M1853" t="s">
        <v>4</v>
      </c>
      <c r="N1853" t="str">
        <f t="shared" si="114"/>
        <v>WASH HOUSE (5712)</v>
      </c>
      <c r="O1853" t="s">
        <v>52</v>
      </c>
      <c r="P1853" t="str">
        <f t="shared" si="115"/>
        <v>18000_5712</v>
      </c>
      <c r="Q1853" s="180">
        <v>0</v>
      </c>
    </row>
    <row r="1854" spans="1:17">
      <c r="A1854" t="str">
        <f t="shared" si="112"/>
        <v>UGA_5714</v>
      </c>
      <c r="B1854" t="str">
        <f t="shared" si="113"/>
        <v>UGA_MULTI PURPOSE BLDG</v>
      </c>
      <c r="C1854" t="s">
        <v>443</v>
      </c>
      <c r="D1854" s="180" t="s">
        <v>51</v>
      </c>
      <c r="E1854" t="s">
        <v>2481</v>
      </c>
      <c r="F1854" t="s">
        <v>2482</v>
      </c>
      <c r="G1854" s="180">
        <v>2698</v>
      </c>
      <c r="H1854">
        <v>1957</v>
      </c>
      <c r="J1854" s="1334" t="s">
        <v>475</v>
      </c>
      <c r="K1854" s="1335" t="s">
        <v>1520</v>
      </c>
      <c r="L1854" s="180">
        <v>0</v>
      </c>
      <c r="M1854" t="s">
        <v>4</v>
      </c>
      <c r="N1854" t="str">
        <f t="shared" si="114"/>
        <v>MULTI PURPOSE BLDG (5714)</v>
      </c>
      <c r="O1854" t="s">
        <v>52</v>
      </c>
      <c r="P1854" t="str">
        <f t="shared" si="115"/>
        <v>18000_5714</v>
      </c>
      <c r="Q1854" s="180">
        <v>0</v>
      </c>
    </row>
    <row r="1855" spans="1:17">
      <c r="A1855" t="str">
        <f t="shared" si="112"/>
        <v>UGA_5715</v>
      </c>
      <c r="B1855" t="str">
        <f t="shared" si="113"/>
        <v>UGA_EQUIP STG AND LATH</v>
      </c>
      <c r="C1855" t="s">
        <v>443</v>
      </c>
      <c r="D1855" s="180" t="s">
        <v>51</v>
      </c>
      <c r="E1855" t="s">
        <v>3423</v>
      </c>
      <c r="F1855" t="s">
        <v>3424</v>
      </c>
      <c r="G1855" s="180">
        <v>882</v>
      </c>
      <c r="H1855">
        <v>1957</v>
      </c>
      <c r="J1855" s="1334" t="s">
        <v>475</v>
      </c>
      <c r="K1855" s="1335" t="s">
        <v>486</v>
      </c>
      <c r="L1855" s="180">
        <v>0</v>
      </c>
      <c r="M1855" t="s">
        <v>4</v>
      </c>
      <c r="N1855" t="str">
        <f t="shared" si="114"/>
        <v>EQUIP STG AND LATH (5715)</v>
      </c>
      <c r="O1855" t="s">
        <v>52</v>
      </c>
      <c r="P1855" t="str">
        <f t="shared" si="115"/>
        <v>18000_5715</v>
      </c>
      <c r="Q1855" s="180">
        <v>0</v>
      </c>
    </row>
    <row r="1856" spans="1:17">
      <c r="A1856" t="str">
        <f t="shared" si="112"/>
        <v>UGA_5718</v>
      </c>
      <c r="B1856" t="str">
        <f t="shared" si="113"/>
        <v>UGA_ANNEX - INSTR CNTR</v>
      </c>
      <c r="C1856" t="s">
        <v>443</v>
      </c>
      <c r="D1856" s="180" t="s">
        <v>51</v>
      </c>
      <c r="E1856" t="s">
        <v>2940</v>
      </c>
      <c r="F1856" t="s">
        <v>2941</v>
      </c>
      <c r="G1856" s="180">
        <v>3468</v>
      </c>
      <c r="H1856">
        <v>1957</v>
      </c>
      <c r="J1856" s="1334" t="s">
        <v>475</v>
      </c>
      <c r="K1856" s="1335" t="s">
        <v>486</v>
      </c>
      <c r="L1856" s="180">
        <v>0</v>
      </c>
      <c r="M1856" t="s">
        <v>4</v>
      </c>
      <c r="N1856" t="str">
        <f t="shared" si="114"/>
        <v>ANNEX - INSTR CNTR (5718)</v>
      </c>
      <c r="O1856" t="s">
        <v>52</v>
      </c>
      <c r="P1856" t="str">
        <f t="shared" si="115"/>
        <v>18000_5718</v>
      </c>
      <c r="Q1856" s="180">
        <v>0</v>
      </c>
    </row>
    <row r="1857" spans="1:17">
      <c r="A1857" t="str">
        <f t="shared" si="112"/>
        <v>UGA_5719</v>
      </c>
      <c r="B1857" t="str">
        <f t="shared" si="113"/>
        <v>UGA_CANE GRINDING SHED</v>
      </c>
      <c r="C1857" t="s">
        <v>443</v>
      </c>
      <c r="D1857" s="180" t="s">
        <v>51</v>
      </c>
      <c r="E1857" t="s">
        <v>1746</v>
      </c>
      <c r="F1857" t="s">
        <v>1747</v>
      </c>
      <c r="G1857" s="180">
        <v>715</v>
      </c>
      <c r="H1857">
        <v>1957</v>
      </c>
      <c r="J1857" s="1334" t="s">
        <v>475</v>
      </c>
      <c r="K1857" s="1335" t="s">
        <v>1520</v>
      </c>
      <c r="L1857" s="180">
        <v>0</v>
      </c>
      <c r="M1857" t="s">
        <v>4</v>
      </c>
      <c r="N1857" t="str">
        <f t="shared" si="114"/>
        <v>CANE GRINDING SHED (5719)</v>
      </c>
      <c r="O1857" t="s">
        <v>52</v>
      </c>
      <c r="P1857" t="str">
        <f t="shared" si="115"/>
        <v>18000_5719</v>
      </c>
      <c r="Q1857" s="180">
        <v>0</v>
      </c>
    </row>
    <row r="1858" spans="1:17">
      <c r="A1858" t="str">
        <f t="shared" si="112"/>
        <v>UGA_5720</v>
      </c>
      <c r="B1858" t="str">
        <f t="shared" si="113"/>
        <v>UGA_STORAGE POD</v>
      </c>
      <c r="C1858" t="s">
        <v>443</v>
      </c>
      <c r="D1858" s="180" t="s">
        <v>51</v>
      </c>
      <c r="E1858" t="s">
        <v>2240</v>
      </c>
      <c r="F1858" t="s">
        <v>2241</v>
      </c>
      <c r="G1858" s="180">
        <v>154</v>
      </c>
      <c r="H1858">
        <v>1957</v>
      </c>
      <c r="J1858" s="1334" t="s">
        <v>475</v>
      </c>
      <c r="K1858" s="1335" t="s">
        <v>475</v>
      </c>
      <c r="L1858" s="180">
        <v>0</v>
      </c>
      <c r="M1858" t="s">
        <v>4</v>
      </c>
      <c r="N1858" t="str">
        <f t="shared" si="114"/>
        <v>STORAGE POD (5720)</v>
      </c>
      <c r="O1858" t="s">
        <v>52</v>
      </c>
      <c r="P1858" t="str">
        <f t="shared" si="115"/>
        <v>18000_5720</v>
      </c>
      <c r="Q1858" s="180">
        <v>0</v>
      </c>
    </row>
    <row r="1859" spans="1:17">
      <c r="A1859" t="str">
        <f t="shared" ref="A1859:A1922" si="116">_xlfn.CONCAT(D1859,"_",E1859)</f>
        <v>UGA_5723</v>
      </c>
      <c r="B1859" t="str">
        <f t="shared" ref="B1859:B1922" si="117">_xlfn.CONCAT(D1859,"_",F1859)</f>
        <v>UGA_POWER HOUSE</v>
      </c>
      <c r="C1859" t="s">
        <v>443</v>
      </c>
      <c r="D1859" s="180" t="s">
        <v>51</v>
      </c>
      <c r="E1859" t="s">
        <v>2654</v>
      </c>
      <c r="F1859" t="s">
        <v>2655</v>
      </c>
      <c r="G1859" s="180">
        <v>151</v>
      </c>
      <c r="H1859">
        <v>1957</v>
      </c>
      <c r="J1859" s="1334" t="s">
        <v>475</v>
      </c>
      <c r="K1859" s="1335" t="s">
        <v>475</v>
      </c>
      <c r="L1859" s="180">
        <v>0</v>
      </c>
      <c r="M1859" t="s">
        <v>4</v>
      </c>
      <c r="N1859" t="str">
        <f t="shared" ref="N1859:N1922" si="118">_xlfn.CONCAT(F1859," (",E1859,")")</f>
        <v>POWER HOUSE (5723)</v>
      </c>
      <c r="O1859" t="s">
        <v>52</v>
      </c>
      <c r="P1859" t="str">
        <f t="shared" ref="P1859:P1922" si="119">_xlfn.CONCAT(C1859,"_",E1859)</f>
        <v>18000_5723</v>
      </c>
      <c r="Q1859" s="180">
        <v>0</v>
      </c>
    </row>
    <row r="1860" spans="1:17">
      <c r="A1860" t="str">
        <f t="shared" si="116"/>
        <v>UGA_5724</v>
      </c>
      <c r="B1860" t="str">
        <f t="shared" si="117"/>
        <v>UGA_PAVILION</v>
      </c>
      <c r="C1860" t="s">
        <v>443</v>
      </c>
      <c r="D1860" s="180" t="s">
        <v>51</v>
      </c>
      <c r="E1860" t="s">
        <v>1510</v>
      </c>
      <c r="F1860" t="s">
        <v>1511</v>
      </c>
      <c r="G1860" s="180">
        <v>7107</v>
      </c>
      <c r="H1860">
        <v>1994</v>
      </c>
      <c r="J1860" s="1334" t="s">
        <v>475</v>
      </c>
      <c r="K1860" s="1335" t="s">
        <v>475</v>
      </c>
      <c r="L1860" s="180">
        <v>0</v>
      </c>
      <c r="M1860" t="s">
        <v>4</v>
      </c>
      <c r="N1860" t="str">
        <f t="shared" si="118"/>
        <v>PAVILION (5724)</v>
      </c>
      <c r="O1860" t="s">
        <v>52</v>
      </c>
      <c r="P1860" t="str">
        <f t="shared" si="119"/>
        <v>18000_5724</v>
      </c>
      <c r="Q1860" s="180">
        <v>0</v>
      </c>
    </row>
    <row r="1861" spans="1:17">
      <c r="A1861" t="str">
        <f t="shared" si="116"/>
        <v>UGA_5749</v>
      </c>
      <c r="B1861" t="str">
        <f t="shared" si="117"/>
        <v>UGA_MAINT SHOP BMBOO F</v>
      </c>
      <c r="C1861" t="s">
        <v>443</v>
      </c>
      <c r="D1861" s="180" t="s">
        <v>51</v>
      </c>
      <c r="E1861" t="s">
        <v>3332</v>
      </c>
      <c r="F1861" t="s">
        <v>3333</v>
      </c>
      <c r="G1861" s="180">
        <v>1811</v>
      </c>
      <c r="H1861">
        <v>1997</v>
      </c>
      <c r="J1861" s="1334" t="s">
        <v>475</v>
      </c>
      <c r="K1861" s="1335" t="s">
        <v>475</v>
      </c>
      <c r="L1861" s="180">
        <v>0</v>
      </c>
      <c r="M1861" t="s">
        <v>4</v>
      </c>
      <c r="N1861" t="str">
        <f t="shared" si="118"/>
        <v>MAINT SHOP BMBOO F (5749)</v>
      </c>
      <c r="O1861" t="s">
        <v>52</v>
      </c>
      <c r="P1861" t="str">
        <f t="shared" si="119"/>
        <v>18000_5749</v>
      </c>
      <c r="Q1861" s="180">
        <v>0</v>
      </c>
    </row>
    <row r="1862" spans="1:17">
      <c r="A1862" t="str">
        <f t="shared" si="116"/>
        <v>UGA_5750</v>
      </c>
      <c r="B1862" t="str">
        <f t="shared" si="117"/>
        <v>UGA_GAZEBO BAMBOO FRM</v>
      </c>
      <c r="C1862" t="s">
        <v>443</v>
      </c>
      <c r="D1862" s="180" t="s">
        <v>51</v>
      </c>
      <c r="E1862" t="s">
        <v>1782</v>
      </c>
      <c r="F1862" t="s">
        <v>1783</v>
      </c>
      <c r="G1862" s="180">
        <v>110</v>
      </c>
      <c r="H1862">
        <v>2000</v>
      </c>
      <c r="J1862" s="1334" t="s">
        <v>475</v>
      </c>
      <c r="K1862" s="1335" t="s">
        <v>475</v>
      </c>
      <c r="L1862" s="180">
        <v>0</v>
      </c>
      <c r="M1862" t="s">
        <v>4</v>
      </c>
      <c r="N1862" t="str">
        <f t="shared" si="118"/>
        <v>GAZEBO BAMBOO FRM (5750)</v>
      </c>
      <c r="O1862" t="s">
        <v>52</v>
      </c>
      <c r="P1862" t="str">
        <f t="shared" si="119"/>
        <v>18000_5750</v>
      </c>
      <c r="Q1862" s="180">
        <v>0</v>
      </c>
    </row>
    <row r="1863" spans="1:17">
      <c r="A1863" t="str">
        <f t="shared" si="116"/>
        <v>UGA_5751</v>
      </c>
      <c r="B1863" t="str">
        <f t="shared" si="117"/>
        <v>UGA_POND AREA COVD STG</v>
      </c>
      <c r="C1863" t="s">
        <v>443</v>
      </c>
      <c r="D1863" s="180" t="s">
        <v>51</v>
      </c>
      <c r="E1863" t="s">
        <v>2520</v>
      </c>
      <c r="F1863" t="s">
        <v>2521</v>
      </c>
      <c r="G1863" s="180">
        <v>857</v>
      </c>
      <c r="H1863">
        <v>1997</v>
      </c>
      <c r="J1863" s="1334" t="s">
        <v>475</v>
      </c>
      <c r="K1863" s="1335" t="s">
        <v>475</v>
      </c>
      <c r="L1863" s="180">
        <v>0</v>
      </c>
      <c r="M1863" t="s">
        <v>4</v>
      </c>
      <c r="N1863" t="str">
        <f t="shared" si="118"/>
        <v>POND AREA COVD STG (5751)</v>
      </c>
      <c r="O1863" t="s">
        <v>52</v>
      </c>
      <c r="P1863" t="str">
        <f t="shared" si="119"/>
        <v>18000_5751</v>
      </c>
      <c r="Q1863" s="180">
        <v>0</v>
      </c>
    </row>
    <row r="1864" spans="1:17">
      <c r="A1864" t="str">
        <f t="shared" si="116"/>
        <v>UGA_5753</v>
      </c>
      <c r="B1864" t="str">
        <f t="shared" si="117"/>
        <v>UGA_POND, GRN ROOF STG</v>
      </c>
      <c r="C1864" t="s">
        <v>443</v>
      </c>
      <c r="D1864" s="180" t="s">
        <v>51</v>
      </c>
      <c r="E1864" t="s">
        <v>1512</v>
      </c>
      <c r="F1864" t="s">
        <v>1513</v>
      </c>
      <c r="G1864" s="180">
        <v>800</v>
      </c>
      <c r="H1864">
        <v>2008</v>
      </c>
      <c r="J1864" s="1334" t="s">
        <v>475</v>
      </c>
      <c r="K1864" s="1335" t="s">
        <v>475</v>
      </c>
      <c r="L1864" s="180">
        <v>0</v>
      </c>
      <c r="M1864" t="s">
        <v>4</v>
      </c>
      <c r="N1864" t="str">
        <f t="shared" si="118"/>
        <v>POND, GRN ROOF STG (5753)</v>
      </c>
      <c r="O1864" t="s">
        <v>52</v>
      </c>
      <c r="P1864" t="str">
        <f t="shared" si="119"/>
        <v>18000_5753</v>
      </c>
      <c r="Q1864" s="180">
        <v>0</v>
      </c>
    </row>
    <row r="1865" spans="1:17">
      <c r="A1865" t="str">
        <f t="shared" si="116"/>
        <v>UGA_5754</v>
      </c>
      <c r="B1865" t="str">
        <f t="shared" si="117"/>
        <v>UGA_BAMBOO FM WELL # 2</v>
      </c>
      <c r="C1865" t="s">
        <v>443</v>
      </c>
      <c r="D1865" s="180" t="s">
        <v>51</v>
      </c>
      <c r="E1865" t="s">
        <v>3602</v>
      </c>
      <c r="F1865" t="s">
        <v>3603</v>
      </c>
      <c r="G1865" s="180">
        <v>144</v>
      </c>
      <c r="H1865">
        <v>2011</v>
      </c>
      <c r="J1865" s="1334" t="s">
        <v>475</v>
      </c>
      <c r="K1865" s="1335" t="s">
        <v>475</v>
      </c>
      <c r="L1865" s="180">
        <v>0</v>
      </c>
      <c r="M1865" t="s">
        <v>4</v>
      </c>
      <c r="N1865" t="str">
        <f t="shared" si="118"/>
        <v>BAMBOO FM WELL # 2 (5754)</v>
      </c>
      <c r="O1865" t="s">
        <v>52</v>
      </c>
      <c r="P1865" t="str">
        <f t="shared" si="119"/>
        <v>18000_5754</v>
      </c>
      <c r="Q1865" s="180">
        <v>0</v>
      </c>
    </row>
    <row r="1866" spans="1:17">
      <c r="A1866" t="str">
        <f t="shared" si="116"/>
        <v>UGA_5755</v>
      </c>
      <c r="B1866" t="str">
        <f t="shared" si="117"/>
        <v>UGA_ANDREWS V&amp;E CENTER</v>
      </c>
      <c r="C1866" t="s">
        <v>443</v>
      </c>
      <c r="D1866" s="180" t="s">
        <v>51</v>
      </c>
      <c r="E1866" t="s">
        <v>3763</v>
      </c>
      <c r="F1866" t="s">
        <v>3764</v>
      </c>
      <c r="G1866" s="180">
        <v>11156</v>
      </c>
      <c r="H1866">
        <v>2014</v>
      </c>
      <c r="J1866" s="1334" t="s">
        <v>475</v>
      </c>
      <c r="K1866" s="1335" t="s">
        <v>901</v>
      </c>
      <c r="L1866" s="180">
        <v>0</v>
      </c>
      <c r="M1866" t="s">
        <v>4</v>
      </c>
      <c r="N1866" t="str">
        <f t="shared" si="118"/>
        <v>ANDREWS V&amp;E CENTER (5755)</v>
      </c>
      <c r="O1866" t="s">
        <v>52</v>
      </c>
      <c r="P1866" t="str">
        <f t="shared" si="119"/>
        <v>18000_5755</v>
      </c>
      <c r="Q1866" s="180">
        <v>0</v>
      </c>
    </row>
    <row r="1867" spans="1:17">
      <c r="A1867" t="str">
        <f t="shared" si="116"/>
        <v>UGA_5756</v>
      </c>
      <c r="B1867" t="str">
        <f t="shared" si="117"/>
        <v>UGA_STORAGE BLDG</v>
      </c>
      <c r="C1867" t="s">
        <v>443</v>
      </c>
      <c r="D1867" s="180" t="s">
        <v>51</v>
      </c>
      <c r="E1867" t="s">
        <v>2314</v>
      </c>
      <c r="F1867" t="s">
        <v>2315</v>
      </c>
      <c r="G1867" s="180">
        <v>480</v>
      </c>
      <c r="H1867">
        <v>2013</v>
      </c>
      <c r="J1867" s="1334" t="s">
        <v>475</v>
      </c>
      <c r="K1867" s="1335" t="s">
        <v>475</v>
      </c>
      <c r="L1867" s="180">
        <v>0</v>
      </c>
      <c r="M1867" t="s">
        <v>4</v>
      </c>
      <c r="N1867" t="str">
        <f t="shared" si="118"/>
        <v>STORAGE BLDG (5756)</v>
      </c>
      <c r="O1867" t="s">
        <v>52</v>
      </c>
      <c r="P1867" t="str">
        <f t="shared" si="119"/>
        <v>18000_5756</v>
      </c>
      <c r="Q1867" s="180">
        <v>0</v>
      </c>
    </row>
    <row r="1868" spans="1:17">
      <c r="A1868" t="str">
        <f t="shared" si="116"/>
        <v>UGA_5757</v>
      </c>
      <c r="B1868" t="str">
        <f t="shared" si="117"/>
        <v>UGA_BAMBOO MAZE OB TWR</v>
      </c>
      <c r="C1868" t="s">
        <v>443</v>
      </c>
      <c r="D1868" s="180" t="s">
        <v>51</v>
      </c>
      <c r="E1868" t="s">
        <v>2898</v>
      </c>
      <c r="F1868" t="s">
        <v>2899</v>
      </c>
      <c r="G1868" s="180">
        <v>1199</v>
      </c>
      <c r="H1868">
        <v>2012</v>
      </c>
      <c r="J1868" s="1334" t="s">
        <v>475</v>
      </c>
      <c r="K1868" s="1335" t="s">
        <v>475</v>
      </c>
      <c r="L1868" s="180">
        <v>0</v>
      </c>
      <c r="M1868" t="s">
        <v>4</v>
      </c>
      <c r="N1868" t="str">
        <f t="shared" si="118"/>
        <v>BAMBOO MAZE OB TWR (5757)</v>
      </c>
      <c r="O1868" t="s">
        <v>52</v>
      </c>
      <c r="P1868" t="str">
        <f t="shared" si="119"/>
        <v>18000_5757</v>
      </c>
      <c r="Q1868" s="180">
        <v>0</v>
      </c>
    </row>
    <row r="1869" spans="1:17">
      <c r="A1869" t="str">
        <f t="shared" si="116"/>
        <v>UGA_5759</v>
      </c>
      <c r="B1869" t="str">
        <f t="shared" si="117"/>
        <v>UGA_MULCH SHED</v>
      </c>
      <c r="C1869" t="s">
        <v>443</v>
      </c>
      <c r="D1869" s="180" t="s">
        <v>51</v>
      </c>
      <c r="E1869" t="s">
        <v>3013</v>
      </c>
      <c r="F1869" t="s">
        <v>3014</v>
      </c>
      <c r="G1869" s="180">
        <v>721</v>
      </c>
      <c r="H1869">
        <v>2013</v>
      </c>
      <c r="J1869" s="1334" t="s">
        <v>475</v>
      </c>
      <c r="K1869" s="1335" t="s">
        <v>475</v>
      </c>
      <c r="L1869" s="180">
        <v>0</v>
      </c>
      <c r="M1869" t="s">
        <v>4</v>
      </c>
      <c r="N1869" t="str">
        <f t="shared" si="118"/>
        <v>MULCH SHED (5759)</v>
      </c>
      <c r="O1869" t="s">
        <v>52</v>
      </c>
      <c r="P1869" t="str">
        <f t="shared" si="119"/>
        <v>18000_5759</v>
      </c>
      <c r="Q1869" s="180">
        <v>0</v>
      </c>
    </row>
    <row r="1870" spans="1:17">
      <c r="A1870" t="str">
        <f t="shared" si="116"/>
        <v>UGA_5760</v>
      </c>
      <c r="B1870" t="str">
        <f t="shared" si="117"/>
        <v>UGA_HANDI HOUSE STRG</v>
      </c>
      <c r="C1870" t="s">
        <v>443</v>
      </c>
      <c r="D1870" s="180" t="s">
        <v>51</v>
      </c>
      <c r="E1870" t="s">
        <v>4394</v>
      </c>
      <c r="F1870" t="s">
        <v>4395</v>
      </c>
      <c r="G1870" s="180">
        <v>375</v>
      </c>
      <c r="H1870">
        <v>2015</v>
      </c>
      <c r="J1870" s="1334" t="s">
        <v>475</v>
      </c>
      <c r="K1870" s="1335" t="s">
        <v>475</v>
      </c>
      <c r="L1870" s="180">
        <v>0</v>
      </c>
      <c r="M1870" t="s">
        <v>4</v>
      </c>
      <c r="N1870" t="str">
        <f t="shared" si="118"/>
        <v>HANDI HOUSE STRG (5760)</v>
      </c>
      <c r="O1870" t="s">
        <v>52</v>
      </c>
      <c r="P1870" t="str">
        <f t="shared" si="119"/>
        <v>18000_5760</v>
      </c>
      <c r="Q1870" s="180">
        <v>0</v>
      </c>
    </row>
    <row r="1871" spans="1:17">
      <c r="A1871" t="str">
        <f t="shared" si="116"/>
        <v>UGA_5761</v>
      </c>
      <c r="B1871" t="str">
        <f t="shared" si="117"/>
        <v>UGA_GAZEBO #2-FRIENDS</v>
      </c>
      <c r="C1871" t="s">
        <v>443</v>
      </c>
      <c r="D1871" s="180" t="s">
        <v>51</v>
      </c>
      <c r="E1871" t="s">
        <v>1618</v>
      </c>
      <c r="F1871" t="s">
        <v>1619</v>
      </c>
      <c r="G1871" s="180">
        <v>136</v>
      </c>
      <c r="H1871">
        <v>2002</v>
      </c>
      <c r="J1871" s="1334" t="s">
        <v>475</v>
      </c>
      <c r="K1871" s="1335" t="s">
        <v>475</v>
      </c>
      <c r="L1871" s="180">
        <v>0</v>
      </c>
      <c r="M1871" t="s">
        <v>4</v>
      </c>
      <c r="N1871" t="str">
        <f t="shared" si="118"/>
        <v>GAZEBO #2-FRIENDS (5761)</v>
      </c>
      <c r="O1871" t="s">
        <v>52</v>
      </c>
      <c r="P1871" t="str">
        <f t="shared" si="119"/>
        <v>18000_5761</v>
      </c>
      <c r="Q1871" s="180">
        <v>0</v>
      </c>
    </row>
    <row r="1872" spans="1:17">
      <c r="A1872" t="str">
        <f t="shared" si="116"/>
        <v>UGA_5762</v>
      </c>
      <c r="B1872" t="str">
        <f t="shared" si="117"/>
        <v>UGA_CHAIR HOUSE</v>
      </c>
      <c r="C1872" t="s">
        <v>443</v>
      </c>
      <c r="D1872" s="180" t="s">
        <v>51</v>
      </c>
      <c r="E1872" t="s">
        <v>3474</v>
      </c>
      <c r="F1872" t="s">
        <v>3475</v>
      </c>
      <c r="G1872" s="180">
        <v>140</v>
      </c>
      <c r="H1872">
        <v>2016</v>
      </c>
      <c r="J1872" s="1334" t="s">
        <v>475</v>
      </c>
      <c r="K1872" s="1335" t="s">
        <v>475</v>
      </c>
      <c r="L1872" s="180">
        <v>0</v>
      </c>
      <c r="M1872" t="s">
        <v>4</v>
      </c>
      <c r="N1872" t="str">
        <f t="shared" si="118"/>
        <v>CHAIR HOUSE (5762)</v>
      </c>
      <c r="O1872" t="s">
        <v>52</v>
      </c>
      <c r="P1872" t="str">
        <f t="shared" si="119"/>
        <v>18000_5762</v>
      </c>
      <c r="Q1872" s="180">
        <v>0</v>
      </c>
    </row>
    <row r="1873" spans="1:17">
      <c r="A1873" t="str">
        <f t="shared" si="116"/>
        <v>UGA_5764</v>
      </c>
      <c r="B1873" t="str">
        <f t="shared" si="117"/>
        <v>UGA_UGA EXPO BUILDING</v>
      </c>
      <c r="C1873" t="s">
        <v>443</v>
      </c>
      <c r="D1873" s="180" t="s">
        <v>51</v>
      </c>
      <c r="E1873" t="s">
        <v>3427</v>
      </c>
      <c r="F1873" t="s">
        <v>3428</v>
      </c>
      <c r="G1873" s="180">
        <v>4000</v>
      </c>
      <c r="H1873">
        <v>2003</v>
      </c>
      <c r="J1873" s="1334" t="s">
        <v>475</v>
      </c>
      <c r="K1873" s="1335" t="s">
        <v>475</v>
      </c>
      <c r="L1873" s="180">
        <v>0</v>
      </c>
      <c r="M1873" t="s">
        <v>4</v>
      </c>
      <c r="N1873" t="str">
        <f t="shared" si="118"/>
        <v>UGA EXPO BUILDING (5764)</v>
      </c>
      <c r="O1873" t="s">
        <v>52</v>
      </c>
      <c r="P1873" t="str">
        <f t="shared" si="119"/>
        <v>18000_5764</v>
      </c>
      <c r="Q1873" s="180">
        <v>0</v>
      </c>
    </row>
    <row r="1874" spans="1:17">
      <c r="A1874" t="str">
        <f t="shared" si="116"/>
        <v>UGA_5850</v>
      </c>
      <c r="B1874" t="str">
        <f t="shared" si="117"/>
        <v>UGA_4-H OFFICE</v>
      </c>
      <c r="C1874" t="s">
        <v>443</v>
      </c>
      <c r="D1874" s="180" t="s">
        <v>51</v>
      </c>
      <c r="E1874" t="s">
        <v>1784</v>
      </c>
      <c r="F1874" t="s">
        <v>1785</v>
      </c>
      <c r="G1874" s="180">
        <v>1348</v>
      </c>
      <c r="H1874">
        <v>1966</v>
      </c>
      <c r="J1874" s="1334" t="s">
        <v>475</v>
      </c>
      <c r="K1874" s="1335" t="s">
        <v>475</v>
      </c>
      <c r="L1874" s="180">
        <v>0</v>
      </c>
      <c r="M1874" t="s">
        <v>4</v>
      </c>
      <c r="N1874" t="str">
        <f t="shared" si="118"/>
        <v>4-H OFFICE (5850)</v>
      </c>
      <c r="O1874" t="s">
        <v>52</v>
      </c>
      <c r="P1874" t="str">
        <f t="shared" si="119"/>
        <v>18000_5850</v>
      </c>
      <c r="Q1874" s="180">
        <v>0</v>
      </c>
    </row>
    <row r="1875" spans="1:17">
      <c r="A1875" t="str">
        <f t="shared" si="116"/>
        <v>UGA_5851</v>
      </c>
      <c r="B1875" t="str">
        <f t="shared" si="117"/>
        <v>UGA_DIRECTOR WELL HOUSE</v>
      </c>
      <c r="C1875" t="s">
        <v>443</v>
      </c>
      <c r="D1875" s="180" t="s">
        <v>51</v>
      </c>
      <c r="E1875" t="s">
        <v>3092</v>
      </c>
      <c r="F1875" t="s">
        <v>3093</v>
      </c>
      <c r="G1875" s="180">
        <v>36</v>
      </c>
      <c r="H1875">
        <v>1966</v>
      </c>
      <c r="J1875" s="1334" t="s">
        <v>475</v>
      </c>
      <c r="K1875" s="1335" t="s">
        <v>475</v>
      </c>
      <c r="L1875" s="180">
        <v>0</v>
      </c>
      <c r="M1875" t="s">
        <v>4</v>
      </c>
      <c r="N1875" t="str">
        <f t="shared" si="118"/>
        <v>DIRECTOR WELL HOUSE (5851)</v>
      </c>
      <c r="O1875" t="s">
        <v>52</v>
      </c>
      <c r="P1875" t="str">
        <f t="shared" si="119"/>
        <v>18000_5851</v>
      </c>
      <c r="Q1875" s="180">
        <v>100</v>
      </c>
    </row>
    <row r="1876" spans="1:17">
      <c r="A1876" t="str">
        <f t="shared" si="116"/>
        <v>UGA_5852</v>
      </c>
      <c r="B1876" t="str">
        <f t="shared" si="117"/>
        <v>UGA_DIRECTOR'S HOUSE</v>
      </c>
      <c r="C1876" t="s">
        <v>443</v>
      </c>
      <c r="D1876" s="180" t="s">
        <v>51</v>
      </c>
      <c r="E1876" t="s">
        <v>3400</v>
      </c>
      <c r="F1876" t="s">
        <v>3401</v>
      </c>
      <c r="G1876" s="180">
        <v>2442</v>
      </c>
      <c r="H1876">
        <v>1996</v>
      </c>
      <c r="J1876" s="1334" t="s">
        <v>475</v>
      </c>
      <c r="K1876" s="1335" t="s">
        <v>475</v>
      </c>
      <c r="L1876" s="180">
        <v>0</v>
      </c>
      <c r="M1876" t="s">
        <v>4</v>
      </c>
      <c r="N1876" t="str">
        <f t="shared" si="118"/>
        <v>DIRECTOR'S HOUSE (5852)</v>
      </c>
      <c r="O1876" t="s">
        <v>52</v>
      </c>
      <c r="P1876" t="str">
        <f t="shared" si="119"/>
        <v>18000_5852</v>
      </c>
      <c r="Q1876" s="180">
        <v>100</v>
      </c>
    </row>
    <row r="1877" spans="1:17">
      <c r="A1877" t="str">
        <f t="shared" si="116"/>
        <v>UGA_5853</v>
      </c>
      <c r="B1877" t="str">
        <f t="shared" si="117"/>
        <v>UGA_PAVILION # 2 POND</v>
      </c>
      <c r="C1877" t="s">
        <v>443</v>
      </c>
      <c r="D1877" s="180" t="s">
        <v>51</v>
      </c>
      <c r="E1877" t="s">
        <v>2056</v>
      </c>
      <c r="F1877" t="s">
        <v>2057</v>
      </c>
      <c r="G1877" s="180">
        <v>1450</v>
      </c>
      <c r="H1877">
        <v>1966</v>
      </c>
      <c r="J1877" s="1334" t="s">
        <v>475</v>
      </c>
      <c r="K1877" s="1335" t="s">
        <v>475</v>
      </c>
      <c r="L1877" s="180">
        <v>0</v>
      </c>
      <c r="M1877" t="s">
        <v>4</v>
      </c>
      <c r="N1877" t="str">
        <f t="shared" si="118"/>
        <v>PAVILION # 2 POND (5853)</v>
      </c>
      <c r="O1877" t="s">
        <v>52</v>
      </c>
      <c r="P1877" t="str">
        <f t="shared" si="119"/>
        <v>18000_5853</v>
      </c>
      <c r="Q1877" s="180">
        <v>100</v>
      </c>
    </row>
    <row r="1878" spans="1:17">
      <c r="A1878" t="str">
        <f t="shared" si="116"/>
        <v>UGA_5854</v>
      </c>
      <c r="B1878" t="str">
        <f t="shared" si="117"/>
        <v>UGA_AMPHITHEATER</v>
      </c>
      <c r="C1878" t="s">
        <v>443</v>
      </c>
      <c r="D1878" s="180" t="s">
        <v>51</v>
      </c>
      <c r="E1878" t="s">
        <v>1748</v>
      </c>
      <c r="F1878" t="s">
        <v>1749</v>
      </c>
      <c r="G1878" s="180">
        <v>1860</v>
      </c>
      <c r="H1878">
        <v>2003</v>
      </c>
      <c r="J1878" s="1334" t="s">
        <v>475</v>
      </c>
      <c r="K1878" s="1335" t="s">
        <v>475</v>
      </c>
      <c r="L1878" s="180">
        <v>0</v>
      </c>
      <c r="M1878" t="s">
        <v>4</v>
      </c>
      <c r="N1878" t="str">
        <f t="shared" si="118"/>
        <v>AMPHITHEATER (5854)</v>
      </c>
      <c r="O1878" t="s">
        <v>52</v>
      </c>
      <c r="P1878" t="str">
        <f t="shared" si="119"/>
        <v>18000_5854</v>
      </c>
      <c r="Q1878" s="180">
        <v>0</v>
      </c>
    </row>
    <row r="1879" spans="1:17">
      <c r="A1879" t="str">
        <f t="shared" si="116"/>
        <v>UGA_5855</v>
      </c>
      <c r="B1879" t="str">
        <f t="shared" si="117"/>
        <v>UGA_DORM 1 &amp; 2</v>
      </c>
      <c r="C1879" t="s">
        <v>443</v>
      </c>
      <c r="D1879" s="180" t="s">
        <v>51</v>
      </c>
      <c r="E1879" t="s">
        <v>4335</v>
      </c>
      <c r="F1879" t="s">
        <v>4336</v>
      </c>
      <c r="G1879" s="180">
        <v>3044</v>
      </c>
      <c r="H1879">
        <v>1965</v>
      </c>
      <c r="J1879" s="1334" t="s">
        <v>475</v>
      </c>
      <c r="K1879" s="1335" t="s">
        <v>475</v>
      </c>
      <c r="L1879" s="180">
        <v>0</v>
      </c>
      <c r="M1879" t="s">
        <v>4</v>
      </c>
      <c r="N1879" t="str">
        <f t="shared" si="118"/>
        <v>DORM 1 &amp; 2 (5855)</v>
      </c>
      <c r="O1879" t="s">
        <v>52</v>
      </c>
      <c r="P1879" t="str">
        <f t="shared" si="119"/>
        <v>18000_5855</v>
      </c>
      <c r="Q1879" s="180">
        <v>0</v>
      </c>
    </row>
    <row r="1880" spans="1:17">
      <c r="A1880" t="str">
        <f t="shared" si="116"/>
        <v>UGA_5856</v>
      </c>
      <c r="B1880" t="str">
        <f t="shared" si="117"/>
        <v>UGA_DINING HALL</v>
      </c>
      <c r="C1880" t="s">
        <v>443</v>
      </c>
      <c r="D1880" s="180" t="s">
        <v>51</v>
      </c>
      <c r="E1880" t="s">
        <v>1478</v>
      </c>
      <c r="F1880" t="s">
        <v>1479</v>
      </c>
      <c r="G1880" s="180">
        <v>5896</v>
      </c>
      <c r="H1880">
        <v>1964</v>
      </c>
      <c r="J1880" s="1334" t="s">
        <v>475</v>
      </c>
      <c r="K1880" s="1335" t="s">
        <v>475</v>
      </c>
      <c r="L1880" s="180">
        <v>0</v>
      </c>
      <c r="M1880" t="s">
        <v>4</v>
      </c>
      <c r="N1880" t="str">
        <f t="shared" si="118"/>
        <v>DINING HALL (5856)</v>
      </c>
      <c r="O1880" t="s">
        <v>52</v>
      </c>
      <c r="P1880" t="str">
        <f t="shared" si="119"/>
        <v>18000_5856</v>
      </c>
      <c r="Q1880" s="180">
        <v>0</v>
      </c>
    </row>
    <row r="1881" spans="1:17">
      <c r="A1881" t="str">
        <f t="shared" si="116"/>
        <v>UGA_5857</v>
      </c>
      <c r="B1881" t="str">
        <f t="shared" si="117"/>
        <v>UGA_RECREATION HALL</v>
      </c>
      <c r="C1881" t="s">
        <v>443</v>
      </c>
      <c r="D1881" s="180" t="s">
        <v>51</v>
      </c>
      <c r="E1881" t="s">
        <v>1845</v>
      </c>
      <c r="F1881" t="s">
        <v>1846</v>
      </c>
      <c r="G1881" s="180">
        <v>2171</v>
      </c>
      <c r="H1881">
        <v>1971</v>
      </c>
      <c r="J1881" s="1334" t="s">
        <v>475</v>
      </c>
      <c r="K1881" s="1335" t="s">
        <v>475</v>
      </c>
      <c r="L1881" s="180">
        <v>0</v>
      </c>
      <c r="M1881" t="s">
        <v>4</v>
      </c>
      <c r="N1881" t="str">
        <f t="shared" si="118"/>
        <v>RECREATION HALL (5857)</v>
      </c>
      <c r="O1881" t="s">
        <v>52</v>
      </c>
      <c r="P1881" t="str">
        <f t="shared" si="119"/>
        <v>18000_5857</v>
      </c>
      <c r="Q1881" s="180">
        <v>0</v>
      </c>
    </row>
    <row r="1882" spans="1:17">
      <c r="A1882" t="str">
        <f t="shared" si="116"/>
        <v>UGA_5858</v>
      </c>
      <c r="B1882" t="str">
        <f t="shared" si="117"/>
        <v>UGA_CHAPEL</v>
      </c>
      <c r="C1882" t="s">
        <v>443</v>
      </c>
      <c r="D1882" s="180" t="s">
        <v>51</v>
      </c>
      <c r="E1882" t="s">
        <v>4029</v>
      </c>
      <c r="F1882" t="s">
        <v>2396</v>
      </c>
      <c r="G1882" s="180">
        <v>1590</v>
      </c>
      <c r="H1882">
        <v>1969</v>
      </c>
      <c r="J1882" s="1334" t="s">
        <v>475</v>
      </c>
      <c r="K1882" s="1335" t="s">
        <v>475</v>
      </c>
      <c r="L1882" s="180">
        <v>0</v>
      </c>
      <c r="M1882" t="s">
        <v>4</v>
      </c>
      <c r="N1882" t="str">
        <f t="shared" si="118"/>
        <v>CHAPEL (5858)</v>
      </c>
      <c r="O1882" t="s">
        <v>52</v>
      </c>
      <c r="P1882" t="str">
        <f t="shared" si="119"/>
        <v>18000_5858</v>
      </c>
      <c r="Q1882" s="180">
        <v>0</v>
      </c>
    </row>
    <row r="1883" spans="1:17">
      <c r="A1883" t="str">
        <f t="shared" si="116"/>
        <v>UGA_5859</v>
      </c>
      <c r="B1883" t="str">
        <f t="shared" si="117"/>
        <v>UGA_SCHOOLHOUSE</v>
      </c>
      <c r="C1883" t="s">
        <v>443</v>
      </c>
      <c r="D1883" s="180" t="s">
        <v>51</v>
      </c>
      <c r="E1883" t="s">
        <v>2700</v>
      </c>
      <c r="F1883" t="s">
        <v>2701</v>
      </c>
      <c r="G1883" s="180">
        <v>3728</v>
      </c>
      <c r="H1883">
        <v>2014</v>
      </c>
      <c r="J1883" s="1334" t="s">
        <v>475</v>
      </c>
      <c r="K1883" s="1335" t="s">
        <v>475</v>
      </c>
      <c r="L1883" s="180">
        <v>0</v>
      </c>
      <c r="M1883" t="s">
        <v>4</v>
      </c>
      <c r="N1883" t="str">
        <f t="shared" si="118"/>
        <v>SCHOOLHOUSE (5859)</v>
      </c>
      <c r="O1883" t="s">
        <v>52</v>
      </c>
      <c r="P1883" t="str">
        <f t="shared" si="119"/>
        <v>18000_5859</v>
      </c>
      <c r="Q1883" s="180">
        <v>0</v>
      </c>
    </row>
    <row r="1884" spans="1:17">
      <c r="A1884" t="str">
        <f t="shared" si="116"/>
        <v>UGA_5860</v>
      </c>
      <c r="B1884" t="str">
        <f t="shared" si="117"/>
        <v>UGA_ROWAN GUEST CABIN</v>
      </c>
      <c r="C1884" t="s">
        <v>443</v>
      </c>
      <c r="D1884" s="180" t="s">
        <v>51</v>
      </c>
      <c r="E1884" t="s">
        <v>2900</v>
      </c>
      <c r="F1884" t="s">
        <v>2901</v>
      </c>
      <c r="G1884" s="180">
        <v>1998</v>
      </c>
      <c r="H1884">
        <v>1999</v>
      </c>
      <c r="J1884" s="1334" t="s">
        <v>475</v>
      </c>
      <c r="K1884" s="1335" t="s">
        <v>475</v>
      </c>
      <c r="L1884" s="180">
        <v>0</v>
      </c>
      <c r="M1884" t="s">
        <v>4</v>
      </c>
      <c r="N1884" t="str">
        <f t="shared" si="118"/>
        <v>ROWAN GUEST CABIN (5860)</v>
      </c>
      <c r="O1884" t="s">
        <v>52</v>
      </c>
      <c r="P1884" t="str">
        <f t="shared" si="119"/>
        <v>18000_5860</v>
      </c>
      <c r="Q1884" s="180">
        <v>0</v>
      </c>
    </row>
    <row r="1885" spans="1:17">
      <c r="A1885" t="str">
        <f t="shared" si="116"/>
        <v>UGA_5861</v>
      </c>
      <c r="B1885" t="str">
        <f t="shared" si="117"/>
        <v>UGA_HERPETOLOGY LAB</v>
      </c>
      <c r="C1885" t="s">
        <v>443</v>
      </c>
      <c r="D1885" s="180" t="s">
        <v>51</v>
      </c>
      <c r="E1885" t="s">
        <v>3429</v>
      </c>
      <c r="F1885" t="s">
        <v>3430</v>
      </c>
      <c r="G1885" s="180">
        <v>1152</v>
      </c>
      <c r="H1885">
        <v>2004</v>
      </c>
      <c r="J1885" s="1334" t="s">
        <v>475</v>
      </c>
      <c r="K1885" s="1335" t="s">
        <v>475</v>
      </c>
      <c r="L1885" s="180">
        <v>0</v>
      </c>
      <c r="M1885" t="s">
        <v>4</v>
      </c>
      <c r="N1885" t="str">
        <f t="shared" si="118"/>
        <v>HERPETOLOGY LAB (5861)</v>
      </c>
      <c r="O1885" t="s">
        <v>52</v>
      </c>
      <c r="P1885" t="str">
        <f t="shared" si="119"/>
        <v>18000_5861</v>
      </c>
      <c r="Q1885" s="180">
        <v>0</v>
      </c>
    </row>
    <row r="1886" spans="1:17">
      <c r="A1886" t="str">
        <f t="shared" si="116"/>
        <v>UGA_5862</v>
      </c>
      <c r="B1886" t="str">
        <f t="shared" si="117"/>
        <v>UGA_DORM 3 &amp; 4</v>
      </c>
      <c r="C1886" t="s">
        <v>443</v>
      </c>
      <c r="D1886" s="180" t="s">
        <v>51</v>
      </c>
      <c r="E1886" t="s">
        <v>2658</v>
      </c>
      <c r="F1886" t="s">
        <v>2659</v>
      </c>
      <c r="G1886" s="180">
        <v>3044</v>
      </c>
      <c r="H1886">
        <v>1966</v>
      </c>
      <c r="J1886" s="1334" t="s">
        <v>475</v>
      </c>
      <c r="K1886" s="1335" t="s">
        <v>475</v>
      </c>
      <c r="L1886" s="180">
        <v>0</v>
      </c>
      <c r="M1886" t="s">
        <v>4</v>
      </c>
      <c r="N1886" t="str">
        <f t="shared" si="118"/>
        <v>DORM 3 &amp; 4 (5862)</v>
      </c>
      <c r="O1886" t="s">
        <v>52</v>
      </c>
      <c r="P1886" t="str">
        <f t="shared" si="119"/>
        <v>18000_5862</v>
      </c>
      <c r="Q1886" s="180">
        <v>0</v>
      </c>
    </row>
    <row r="1887" spans="1:17">
      <c r="A1887" t="str">
        <f t="shared" si="116"/>
        <v>UGA_5863</v>
      </c>
      <c r="B1887" t="str">
        <f t="shared" si="117"/>
        <v>UGA_PAVILION # 1</v>
      </c>
      <c r="C1887" t="s">
        <v>443</v>
      </c>
      <c r="D1887" s="180" t="s">
        <v>51</v>
      </c>
      <c r="E1887" t="s">
        <v>3015</v>
      </c>
      <c r="F1887" t="s">
        <v>3016</v>
      </c>
      <c r="G1887" s="180">
        <v>1920</v>
      </c>
      <c r="H1887">
        <v>1970</v>
      </c>
      <c r="J1887" s="1334" t="s">
        <v>475</v>
      </c>
      <c r="K1887" s="1335" t="s">
        <v>475</v>
      </c>
      <c r="L1887" s="180">
        <v>0</v>
      </c>
      <c r="M1887" t="s">
        <v>4</v>
      </c>
      <c r="N1887" t="str">
        <f t="shared" si="118"/>
        <v>PAVILION # 1 (5863)</v>
      </c>
      <c r="O1887" t="s">
        <v>52</v>
      </c>
      <c r="P1887" t="str">
        <f t="shared" si="119"/>
        <v>18000_5863</v>
      </c>
      <c r="Q1887" s="180">
        <v>0</v>
      </c>
    </row>
    <row r="1888" spans="1:17">
      <c r="A1888" t="str">
        <f t="shared" si="116"/>
        <v>UGA_5864</v>
      </c>
      <c r="B1888" t="str">
        <f t="shared" si="117"/>
        <v>UGA_KITCHEN KUTIES - STAFF BL</v>
      </c>
      <c r="C1888" t="s">
        <v>443</v>
      </c>
      <c r="D1888" s="180" t="s">
        <v>51</v>
      </c>
      <c r="E1888" t="s">
        <v>3017</v>
      </c>
      <c r="F1888" t="s">
        <v>3018</v>
      </c>
      <c r="G1888" s="180">
        <v>2052</v>
      </c>
      <c r="H1888">
        <v>1974</v>
      </c>
      <c r="J1888" s="1334" t="s">
        <v>475</v>
      </c>
      <c r="K1888" s="1335" t="s">
        <v>475</v>
      </c>
      <c r="L1888" s="180">
        <v>0</v>
      </c>
      <c r="M1888" t="s">
        <v>4</v>
      </c>
      <c r="N1888" t="str">
        <f t="shared" si="118"/>
        <v>KITCHEN KUTIES - STAFF BL (5864)</v>
      </c>
      <c r="O1888" t="s">
        <v>52</v>
      </c>
      <c r="P1888" t="str">
        <f t="shared" si="119"/>
        <v>18000_5864</v>
      </c>
      <c r="Q1888" s="180">
        <v>0</v>
      </c>
    </row>
    <row r="1889" spans="1:17">
      <c r="A1889" t="str">
        <f t="shared" si="116"/>
        <v>UGA_5865</v>
      </c>
      <c r="B1889" t="str">
        <f t="shared" si="117"/>
        <v>UGA_CANTEEN</v>
      </c>
      <c r="C1889" t="s">
        <v>443</v>
      </c>
      <c r="D1889" s="180" t="s">
        <v>51</v>
      </c>
      <c r="E1889" t="s">
        <v>2058</v>
      </c>
      <c r="F1889" t="s">
        <v>2059</v>
      </c>
      <c r="G1889" s="180">
        <v>380</v>
      </c>
      <c r="H1889">
        <v>2012</v>
      </c>
      <c r="J1889" s="1334" t="s">
        <v>475</v>
      </c>
      <c r="K1889" s="1335" t="s">
        <v>475</v>
      </c>
      <c r="L1889" s="180">
        <v>0</v>
      </c>
      <c r="M1889" t="s">
        <v>4</v>
      </c>
      <c r="N1889" t="str">
        <f t="shared" si="118"/>
        <v>CANTEEN (5865)</v>
      </c>
      <c r="O1889" t="s">
        <v>52</v>
      </c>
      <c r="P1889" t="str">
        <f t="shared" si="119"/>
        <v>18000_5865</v>
      </c>
      <c r="Q1889" s="180">
        <v>0</v>
      </c>
    </row>
    <row r="1890" spans="1:17">
      <c r="A1890" t="str">
        <f t="shared" si="116"/>
        <v>UGA_5866</v>
      </c>
      <c r="B1890" t="str">
        <f t="shared" si="117"/>
        <v>UGA_WHITE HOUSE</v>
      </c>
      <c r="C1890" t="s">
        <v>443</v>
      </c>
      <c r="D1890" s="180" t="s">
        <v>51</v>
      </c>
      <c r="E1890" t="s">
        <v>3808</v>
      </c>
      <c r="F1890" t="s">
        <v>3809</v>
      </c>
      <c r="G1890" s="180">
        <v>2800</v>
      </c>
      <c r="H1890">
        <v>1976</v>
      </c>
      <c r="J1890" s="1334" t="s">
        <v>475</v>
      </c>
      <c r="K1890" s="1335" t="s">
        <v>475</v>
      </c>
      <c r="L1890" s="180">
        <v>0</v>
      </c>
      <c r="M1890" t="s">
        <v>4</v>
      </c>
      <c r="N1890" t="str">
        <f t="shared" si="118"/>
        <v>WHITE HOUSE (5866)</v>
      </c>
      <c r="O1890" t="s">
        <v>52</v>
      </c>
      <c r="P1890" t="str">
        <f t="shared" si="119"/>
        <v>18000_5866</v>
      </c>
      <c r="Q1890" s="180">
        <v>0</v>
      </c>
    </row>
    <row r="1891" spans="1:17">
      <c r="A1891" t="str">
        <f t="shared" si="116"/>
        <v>UGA_5867</v>
      </c>
      <c r="B1891" t="str">
        <f t="shared" si="117"/>
        <v>UGA_SMITH GUEST CABIN</v>
      </c>
      <c r="C1891" t="s">
        <v>443</v>
      </c>
      <c r="D1891" s="180" t="s">
        <v>51</v>
      </c>
      <c r="E1891" t="s">
        <v>2942</v>
      </c>
      <c r="F1891" t="s">
        <v>2943</v>
      </c>
      <c r="G1891" s="180">
        <v>1998</v>
      </c>
      <c r="H1891">
        <v>1988</v>
      </c>
      <c r="J1891" s="1334" t="s">
        <v>475</v>
      </c>
      <c r="K1891" s="1335" t="s">
        <v>475</v>
      </c>
      <c r="L1891" s="180">
        <v>0</v>
      </c>
      <c r="M1891" t="s">
        <v>4</v>
      </c>
      <c r="N1891" t="str">
        <f t="shared" si="118"/>
        <v>SMITH GUEST CABIN (5867)</v>
      </c>
      <c r="O1891" t="s">
        <v>52</v>
      </c>
      <c r="P1891" t="str">
        <f t="shared" si="119"/>
        <v>18000_5867</v>
      </c>
      <c r="Q1891" s="180">
        <v>0</v>
      </c>
    </row>
    <row r="1892" spans="1:17">
      <c r="A1892" t="str">
        <f t="shared" si="116"/>
        <v>UGA_5868</v>
      </c>
      <c r="B1892" t="str">
        <f t="shared" si="117"/>
        <v>UGA_GYMNASIUM</v>
      </c>
      <c r="C1892" t="s">
        <v>443</v>
      </c>
      <c r="D1892" s="180" t="s">
        <v>51</v>
      </c>
      <c r="E1892" t="s">
        <v>3663</v>
      </c>
      <c r="F1892" t="s">
        <v>3664</v>
      </c>
      <c r="G1892" s="180">
        <v>10080</v>
      </c>
      <c r="H1892">
        <v>1996</v>
      </c>
      <c r="J1892" s="1334" t="s">
        <v>475</v>
      </c>
      <c r="K1892" s="1335" t="s">
        <v>475</v>
      </c>
      <c r="L1892" s="180">
        <v>0</v>
      </c>
      <c r="M1892" t="s">
        <v>4</v>
      </c>
      <c r="N1892" t="str">
        <f t="shared" si="118"/>
        <v>GYMNASIUM (5868)</v>
      </c>
      <c r="O1892" t="s">
        <v>52</v>
      </c>
      <c r="P1892" t="str">
        <f t="shared" si="119"/>
        <v>18000_5868</v>
      </c>
      <c r="Q1892" s="180">
        <v>0</v>
      </c>
    </row>
    <row r="1893" spans="1:17">
      <c r="A1893" t="str">
        <f t="shared" si="116"/>
        <v>UGA_5869</v>
      </c>
      <c r="B1893" t="str">
        <f t="shared" si="117"/>
        <v>UGA_MAIN WELL HOUSE</v>
      </c>
      <c r="C1893" t="s">
        <v>443</v>
      </c>
      <c r="D1893" s="180" t="s">
        <v>51</v>
      </c>
      <c r="E1893" t="s">
        <v>3094</v>
      </c>
      <c r="F1893" t="s">
        <v>3095</v>
      </c>
      <c r="G1893" s="180">
        <v>96</v>
      </c>
      <c r="H1893">
        <v>2015</v>
      </c>
      <c r="J1893" s="1334" t="s">
        <v>475</v>
      </c>
      <c r="K1893" s="1335" t="s">
        <v>475</v>
      </c>
      <c r="L1893" s="180">
        <v>0</v>
      </c>
      <c r="M1893" t="s">
        <v>4</v>
      </c>
      <c r="N1893" t="str">
        <f t="shared" si="118"/>
        <v>MAIN WELL HOUSE (5869)</v>
      </c>
      <c r="O1893" t="s">
        <v>52</v>
      </c>
      <c r="P1893" t="str">
        <f t="shared" si="119"/>
        <v>18000_5869</v>
      </c>
      <c r="Q1893" s="180">
        <v>0</v>
      </c>
    </row>
    <row r="1894" spans="1:17">
      <c r="A1894" t="str">
        <f t="shared" si="116"/>
        <v>UGA_5870</v>
      </c>
      <c r="B1894" t="str">
        <f t="shared" si="117"/>
        <v>UGA_FORTSON FARM</v>
      </c>
      <c r="C1894" t="s">
        <v>443</v>
      </c>
      <c r="D1894" s="180" t="s">
        <v>51</v>
      </c>
      <c r="E1894" t="s">
        <v>2630</v>
      </c>
      <c r="F1894" t="s">
        <v>2631</v>
      </c>
      <c r="G1894" s="180">
        <v>132</v>
      </c>
      <c r="H1894">
        <v>2015</v>
      </c>
      <c r="J1894" s="1334" t="s">
        <v>475</v>
      </c>
      <c r="K1894" s="1335" t="s">
        <v>475</v>
      </c>
      <c r="L1894" s="180">
        <v>0</v>
      </c>
      <c r="M1894" t="s">
        <v>4</v>
      </c>
      <c r="N1894" t="str">
        <f t="shared" si="118"/>
        <v>FORTSON FARM (5870)</v>
      </c>
      <c r="O1894" t="s">
        <v>52</v>
      </c>
      <c r="P1894" t="str">
        <f t="shared" si="119"/>
        <v>18000_5870</v>
      </c>
      <c r="Q1894" s="180">
        <v>0</v>
      </c>
    </row>
    <row r="1895" spans="1:17">
      <c r="A1895" t="str">
        <f t="shared" si="116"/>
        <v>UGA_5871</v>
      </c>
      <c r="B1895" t="str">
        <f t="shared" si="117"/>
        <v>UGA_CAMPFIRE PAVILION</v>
      </c>
      <c r="C1895" t="s">
        <v>443</v>
      </c>
      <c r="D1895" s="180" t="s">
        <v>51</v>
      </c>
      <c r="E1895" t="s">
        <v>1881</v>
      </c>
      <c r="F1895" t="s">
        <v>1882</v>
      </c>
      <c r="G1895" s="180">
        <v>342</v>
      </c>
      <c r="H1895">
        <v>2015</v>
      </c>
      <c r="J1895" s="1334" t="s">
        <v>475</v>
      </c>
      <c r="K1895" s="1335" t="s">
        <v>475</v>
      </c>
      <c r="L1895" s="180">
        <v>0</v>
      </c>
      <c r="M1895" t="s">
        <v>4</v>
      </c>
      <c r="N1895" t="str">
        <f t="shared" si="118"/>
        <v>CAMPFIRE PAVILION (5871)</v>
      </c>
      <c r="O1895" t="s">
        <v>52</v>
      </c>
      <c r="P1895" t="str">
        <f t="shared" si="119"/>
        <v>18000_5871</v>
      </c>
      <c r="Q1895" s="180">
        <v>0</v>
      </c>
    </row>
    <row r="1896" spans="1:17">
      <c r="A1896" t="str">
        <f t="shared" si="116"/>
        <v>UGA_5872</v>
      </c>
      <c r="B1896" t="str">
        <f t="shared" si="117"/>
        <v>UGA_STAFF BLDG #3</v>
      </c>
      <c r="C1896" t="s">
        <v>443</v>
      </c>
      <c r="D1896" s="180" t="s">
        <v>51</v>
      </c>
      <c r="E1896" t="s">
        <v>3096</v>
      </c>
      <c r="F1896" t="s">
        <v>3097</v>
      </c>
      <c r="G1896" s="180">
        <v>240</v>
      </c>
      <c r="H1896">
        <v>2015</v>
      </c>
      <c r="J1896" s="1334" t="s">
        <v>475</v>
      </c>
      <c r="K1896" s="1335" t="s">
        <v>475</v>
      </c>
      <c r="L1896" s="180">
        <v>0</v>
      </c>
      <c r="M1896" t="s">
        <v>4</v>
      </c>
      <c r="N1896" t="str">
        <f t="shared" si="118"/>
        <v>STAFF BLDG #3 (5872)</v>
      </c>
      <c r="O1896" t="s">
        <v>52</v>
      </c>
      <c r="P1896" t="str">
        <f t="shared" si="119"/>
        <v>18000_5872</v>
      </c>
      <c r="Q1896" s="180">
        <v>100</v>
      </c>
    </row>
    <row r="1897" spans="1:17">
      <c r="A1897" t="str">
        <f t="shared" si="116"/>
        <v>UGA_5877</v>
      </c>
      <c r="B1897" t="str">
        <f t="shared" si="117"/>
        <v>UGA_STAFF BLDG # 1</v>
      </c>
      <c r="C1897" t="s">
        <v>443</v>
      </c>
      <c r="D1897" s="180" t="s">
        <v>51</v>
      </c>
      <c r="E1897" t="s">
        <v>2944</v>
      </c>
      <c r="F1897" t="s">
        <v>2945</v>
      </c>
      <c r="G1897" s="180">
        <v>252</v>
      </c>
      <c r="H1897">
        <v>2015</v>
      </c>
      <c r="J1897" s="1334" t="s">
        <v>475</v>
      </c>
      <c r="K1897" s="1335" t="s">
        <v>475</v>
      </c>
      <c r="L1897" s="180">
        <v>0</v>
      </c>
      <c r="M1897" t="s">
        <v>4</v>
      </c>
      <c r="N1897" t="str">
        <f t="shared" si="118"/>
        <v>STAFF BLDG # 1 (5877)</v>
      </c>
      <c r="O1897" t="s">
        <v>52</v>
      </c>
      <c r="P1897" t="str">
        <f t="shared" si="119"/>
        <v>18000_5877</v>
      </c>
      <c r="Q1897" s="180">
        <v>100</v>
      </c>
    </row>
    <row r="1898" spans="1:17">
      <c r="A1898" t="str">
        <f t="shared" si="116"/>
        <v>UGA_5879</v>
      </c>
      <c r="B1898" t="str">
        <f t="shared" si="117"/>
        <v>UGA_ROPES STRG SHED</v>
      </c>
      <c r="C1898" t="s">
        <v>443</v>
      </c>
      <c r="D1898" s="180" t="s">
        <v>51</v>
      </c>
      <c r="E1898" t="s">
        <v>4120</v>
      </c>
      <c r="F1898" t="s">
        <v>4121</v>
      </c>
      <c r="G1898" s="180">
        <v>120</v>
      </c>
      <c r="H1898">
        <v>2015</v>
      </c>
      <c r="J1898" s="1334" t="s">
        <v>475</v>
      </c>
      <c r="K1898" s="1335" t="s">
        <v>475</v>
      </c>
      <c r="L1898" s="180">
        <v>0</v>
      </c>
      <c r="M1898" t="s">
        <v>4</v>
      </c>
      <c r="N1898" t="str">
        <f t="shared" si="118"/>
        <v>ROPES STRG SHED (5879)</v>
      </c>
      <c r="O1898" t="s">
        <v>52</v>
      </c>
      <c r="P1898" t="str">
        <f t="shared" si="119"/>
        <v>18000_5879</v>
      </c>
      <c r="Q1898" s="180">
        <v>0</v>
      </c>
    </row>
    <row r="1899" spans="1:17">
      <c r="A1899" t="str">
        <f t="shared" si="116"/>
        <v>UGA_5900</v>
      </c>
      <c r="B1899" t="str">
        <f t="shared" si="117"/>
        <v>UGA_LANG FRM:FIELD EQP</v>
      </c>
      <c r="C1899" t="s">
        <v>443</v>
      </c>
      <c r="D1899" s="180" t="s">
        <v>51</v>
      </c>
      <c r="E1899" t="s">
        <v>3334</v>
      </c>
      <c r="F1899" t="s">
        <v>3335</v>
      </c>
      <c r="G1899" s="180">
        <v>6000</v>
      </c>
      <c r="H1899">
        <v>1994</v>
      </c>
      <c r="J1899" s="1334" t="s">
        <v>475</v>
      </c>
      <c r="K1899" s="1335" t="s">
        <v>475</v>
      </c>
      <c r="L1899" s="180">
        <v>0</v>
      </c>
      <c r="M1899" t="s">
        <v>67</v>
      </c>
      <c r="N1899" t="str">
        <f t="shared" si="118"/>
        <v>LANG FRM:FIELD EQP (5900)</v>
      </c>
      <c r="O1899" t="s">
        <v>52</v>
      </c>
      <c r="P1899" t="str">
        <f t="shared" si="119"/>
        <v>18000_5900</v>
      </c>
      <c r="Q1899" s="180">
        <v>0</v>
      </c>
    </row>
    <row r="1900" spans="1:17">
      <c r="A1900" t="str">
        <f t="shared" si="116"/>
        <v>UGA_5901</v>
      </c>
      <c r="B1900" t="str">
        <f t="shared" si="117"/>
        <v>UGA_LANG FRM: SHOP-OFF</v>
      </c>
      <c r="C1900" t="s">
        <v>443</v>
      </c>
      <c r="D1900" s="180" t="s">
        <v>51</v>
      </c>
      <c r="E1900" t="s">
        <v>2902</v>
      </c>
      <c r="F1900" t="s">
        <v>2903</v>
      </c>
      <c r="G1900" s="180">
        <v>8000</v>
      </c>
      <c r="H1900">
        <v>1996</v>
      </c>
      <c r="J1900" s="1334" t="s">
        <v>475</v>
      </c>
      <c r="K1900" s="1335" t="s">
        <v>475</v>
      </c>
      <c r="L1900" s="180">
        <v>0</v>
      </c>
      <c r="M1900" t="s">
        <v>67</v>
      </c>
      <c r="N1900" t="str">
        <f t="shared" si="118"/>
        <v>LANG FRM: SHOP-OFF (5901)</v>
      </c>
      <c r="O1900" t="s">
        <v>52</v>
      </c>
      <c r="P1900" t="str">
        <f t="shared" si="119"/>
        <v>18000_5901</v>
      </c>
      <c r="Q1900" s="180">
        <v>100</v>
      </c>
    </row>
    <row r="1901" spans="1:17">
      <c r="A1901" t="str">
        <f t="shared" si="116"/>
        <v>UGA_5902</v>
      </c>
      <c r="B1901" t="str">
        <f t="shared" si="117"/>
        <v>UGA_LANG FRM:METAL BLD</v>
      </c>
      <c r="C1901" t="s">
        <v>443</v>
      </c>
      <c r="D1901" s="180" t="s">
        <v>51</v>
      </c>
      <c r="E1901" t="s">
        <v>1883</v>
      </c>
      <c r="F1901" t="s">
        <v>1884</v>
      </c>
      <c r="G1901" s="180">
        <v>6000</v>
      </c>
      <c r="H1901">
        <v>1997</v>
      </c>
      <c r="J1901" s="1334" t="s">
        <v>475</v>
      </c>
      <c r="K1901" s="1335" t="s">
        <v>475</v>
      </c>
      <c r="L1901" s="180">
        <v>0</v>
      </c>
      <c r="M1901" t="s">
        <v>67</v>
      </c>
      <c r="N1901" t="str">
        <f t="shared" si="118"/>
        <v>LANG FRM:METAL BLD (5902)</v>
      </c>
      <c r="O1901" t="s">
        <v>52</v>
      </c>
      <c r="P1901" t="str">
        <f t="shared" si="119"/>
        <v>18000_5902</v>
      </c>
      <c r="Q1901" s="180">
        <v>100</v>
      </c>
    </row>
    <row r="1902" spans="1:17">
      <c r="A1902" t="str">
        <f t="shared" si="116"/>
        <v>UGA_5910</v>
      </c>
      <c r="B1902" t="str">
        <f t="shared" si="117"/>
        <v>UGA_HAMPTN FRM:MULTI P</v>
      </c>
      <c r="C1902" t="s">
        <v>443</v>
      </c>
      <c r="D1902" s="180" t="s">
        <v>51</v>
      </c>
      <c r="E1902" t="s">
        <v>3873</v>
      </c>
      <c r="F1902" t="s">
        <v>3874</v>
      </c>
      <c r="G1902" s="180">
        <v>4648</v>
      </c>
      <c r="H1902">
        <v>1999</v>
      </c>
      <c r="J1902" s="1334" t="s">
        <v>475</v>
      </c>
      <c r="K1902" s="1335" t="s">
        <v>475</v>
      </c>
      <c r="L1902" s="180">
        <v>0</v>
      </c>
      <c r="M1902" t="s">
        <v>4</v>
      </c>
      <c r="N1902" t="str">
        <f t="shared" si="118"/>
        <v>HAMPTN FRM:MULTI P (5910)</v>
      </c>
      <c r="O1902" t="s">
        <v>52</v>
      </c>
      <c r="P1902" t="str">
        <f t="shared" si="119"/>
        <v>18000_5910</v>
      </c>
      <c r="Q1902" s="180">
        <v>100</v>
      </c>
    </row>
    <row r="1903" spans="1:17">
      <c r="A1903" t="str">
        <f t="shared" si="116"/>
        <v>UGA_5911</v>
      </c>
      <c r="B1903" t="str">
        <f t="shared" si="117"/>
        <v>UGA_HAMPTN FRM:BULL FC</v>
      </c>
      <c r="C1903" t="s">
        <v>443</v>
      </c>
      <c r="D1903" s="180" t="s">
        <v>51</v>
      </c>
      <c r="E1903" t="s">
        <v>2561</v>
      </c>
      <c r="F1903" t="s">
        <v>2562</v>
      </c>
      <c r="G1903" s="180">
        <v>6000</v>
      </c>
      <c r="H1903">
        <v>1995</v>
      </c>
      <c r="J1903" s="1334" t="s">
        <v>475</v>
      </c>
      <c r="K1903" s="1335" t="s">
        <v>475</v>
      </c>
      <c r="L1903" s="180">
        <v>0</v>
      </c>
      <c r="M1903" t="s">
        <v>4</v>
      </c>
      <c r="N1903" t="str">
        <f t="shared" si="118"/>
        <v>HAMPTN FRM:BULL FC (5911)</v>
      </c>
      <c r="O1903" t="s">
        <v>52</v>
      </c>
      <c r="P1903" t="str">
        <f t="shared" si="119"/>
        <v>18000_5911</v>
      </c>
      <c r="Q1903" s="180">
        <v>100</v>
      </c>
    </row>
    <row r="1904" spans="1:17">
      <c r="A1904" t="str">
        <f t="shared" si="116"/>
        <v>UGA_5913</v>
      </c>
      <c r="B1904" t="str">
        <f t="shared" si="117"/>
        <v>UGA_HAMPTN FRM:COM BRN</v>
      </c>
      <c r="C1904" t="s">
        <v>443</v>
      </c>
      <c r="D1904" s="180" t="s">
        <v>51</v>
      </c>
      <c r="E1904" t="s">
        <v>4443</v>
      </c>
      <c r="F1904" t="s">
        <v>4444</v>
      </c>
      <c r="G1904" s="180">
        <v>2000</v>
      </c>
      <c r="H1904">
        <v>1999</v>
      </c>
      <c r="J1904" s="1334" t="s">
        <v>475</v>
      </c>
      <c r="K1904" s="1335" t="s">
        <v>475</v>
      </c>
      <c r="L1904" s="180">
        <v>0</v>
      </c>
      <c r="M1904" t="s">
        <v>4</v>
      </c>
      <c r="N1904" t="str">
        <f t="shared" si="118"/>
        <v>HAMPTN FRM:COM BRN (5913)</v>
      </c>
      <c r="O1904" t="s">
        <v>52</v>
      </c>
      <c r="P1904" t="str">
        <f t="shared" si="119"/>
        <v>18000_5913</v>
      </c>
      <c r="Q1904" s="180">
        <v>0</v>
      </c>
    </row>
    <row r="1905" spans="1:17">
      <c r="A1905" t="str">
        <f t="shared" si="116"/>
        <v>UGA_5914</v>
      </c>
      <c r="B1905" t="str">
        <f t="shared" si="117"/>
        <v>UGA_HAMPTN FRM:RES II</v>
      </c>
      <c r="C1905" t="s">
        <v>443</v>
      </c>
      <c r="D1905" s="180" t="s">
        <v>51</v>
      </c>
      <c r="E1905" t="s">
        <v>3336</v>
      </c>
      <c r="F1905" t="s">
        <v>3337</v>
      </c>
      <c r="G1905" s="180">
        <v>2128</v>
      </c>
      <c r="H1905">
        <v>2002</v>
      </c>
      <c r="J1905" s="1334" t="s">
        <v>475</v>
      </c>
      <c r="K1905" s="1335" t="s">
        <v>475</v>
      </c>
      <c r="L1905" s="180">
        <v>0</v>
      </c>
      <c r="M1905" t="s">
        <v>4</v>
      </c>
      <c r="N1905" t="str">
        <f t="shared" si="118"/>
        <v>HAMPTN FRM:RES II (5914)</v>
      </c>
      <c r="O1905" t="s">
        <v>52</v>
      </c>
      <c r="P1905" t="str">
        <f t="shared" si="119"/>
        <v>18000_5914</v>
      </c>
      <c r="Q1905" s="180">
        <v>100</v>
      </c>
    </row>
    <row r="1906" spans="1:17">
      <c r="A1906" t="str">
        <f t="shared" si="116"/>
        <v>UGA_5974</v>
      </c>
      <c r="B1906" t="str">
        <f t="shared" si="117"/>
        <v>UGA_BLUEBERRY GH</v>
      </c>
      <c r="C1906" t="s">
        <v>443</v>
      </c>
      <c r="D1906" s="180" t="s">
        <v>51</v>
      </c>
      <c r="E1906" t="s">
        <v>4445</v>
      </c>
      <c r="F1906" t="s">
        <v>4446</v>
      </c>
      <c r="G1906" s="180">
        <v>384</v>
      </c>
      <c r="H1906">
        <v>2014</v>
      </c>
      <c r="J1906" s="1334" t="s">
        <v>475</v>
      </c>
      <c r="K1906" s="1335" t="s">
        <v>475</v>
      </c>
      <c r="L1906" s="180">
        <v>0</v>
      </c>
      <c r="M1906" t="s">
        <v>4</v>
      </c>
      <c r="N1906" t="str">
        <f t="shared" si="118"/>
        <v>BLUEBERRY GH (5974)</v>
      </c>
      <c r="O1906" t="s">
        <v>52</v>
      </c>
      <c r="P1906" t="str">
        <f t="shared" si="119"/>
        <v>18000_5974</v>
      </c>
      <c r="Q1906" s="180">
        <v>0</v>
      </c>
    </row>
    <row r="1907" spans="1:17">
      <c r="A1907" t="str">
        <f t="shared" si="116"/>
        <v>UGA_5976</v>
      </c>
      <c r="B1907" t="str">
        <f t="shared" si="117"/>
        <v>UGA_BLUEBERRY EQ SHLTR</v>
      </c>
      <c r="C1907" t="s">
        <v>443</v>
      </c>
      <c r="D1907" s="180" t="s">
        <v>51</v>
      </c>
      <c r="E1907" t="s">
        <v>3948</v>
      </c>
      <c r="F1907" t="s">
        <v>3949</v>
      </c>
      <c r="G1907" s="180">
        <v>4571</v>
      </c>
      <c r="H1907">
        <v>2008</v>
      </c>
      <c r="J1907" s="1334" t="s">
        <v>475</v>
      </c>
      <c r="K1907" s="1335" t="s">
        <v>475</v>
      </c>
      <c r="L1907" s="180">
        <v>0</v>
      </c>
      <c r="M1907" t="s">
        <v>4</v>
      </c>
      <c r="N1907" t="str">
        <f t="shared" si="118"/>
        <v>BLUEBERRY EQ SHLTR (5976)</v>
      </c>
      <c r="O1907" t="s">
        <v>52</v>
      </c>
      <c r="P1907" t="str">
        <f t="shared" si="119"/>
        <v>18000_5976</v>
      </c>
      <c r="Q1907" s="180">
        <v>0</v>
      </c>
    </row>
    <row r="1908" spans="1:17">
      <c r="A1908" t="str">
        <f t="shared" si="116"/>
        <v>UGA_5988</v>
      </c>
      <c r="B1908" t="str">
        <f t="shared" si="117"/>
        <v>UGA_VOVR RES WELL HS</v>
      </c>
      <c r="C1908" t="s">
        <v>443</v>
      </c>
      <c r="D1908" s="180" t="s">
        <v>51</v>
      </c>
      <c r="E1908" t="s">
        <v>2522</v>
      </c>
      <c r="F1908" t="s">
        <v>2523</v>
      </c>
      <c r="G1908" s="180">
        <v>80</v>
      </c>
      <c r="H1908">
        <v>1954</v>
      </c>
      <c r="J1908" s="1334" t="s">
        <v>475</v>
      </c>
      <c r="K1908" s="1335" t="s">
        <v>475</v>
      </c>
      <c r="L1908" s="180">
        <v>0</v>
      </c>
      <c r="M1908" t="s">
        <v>4</v>
      </c>
      <c r="N1908" t="str">
        <f t="shared" si="118"/>
        <v>VOVR RES WELL HS (5988)</v>
      </c>
      <c r="O1908" t="s">
        <v>52</v>
      </c>
      <c r="P1908" t="str">
        <f t="shared" si="119"/>
        <v>18000_5988</v>
      </c>
      <c r="Q1908" s="180">
        <v>0</v>
      </c>
    </row>
    <row r="1909" spans="1:17">
      <c r="A1909" t="str">
        <f t="shared" si="116"/>
        <v>UGA_5989</v>
      </c>
      <c r="B1909" t="str">
        <f t="shared" si="117"/>
        <v>UGA_VOVR FARM WELL HS</v>
      </c>
      <c r="C1909" t="s">
        <v>443</v>
      </c>
      <c r="D1909" s="180" t="s">
        <v>51</v>
      </c>
      <c r="E1909" t="s">
        <v>4337</v>
      </c>
      <c r="F1909" t="s">
        <v>4338</v>
      </c>
      <c r="G1909" s="180">
        <v>84</v>
      </c>
      <c r="H1909">
        <v>1954</v>
      </c>
      <c r="J1909" s="1334" t="s">
        <v>475</v>
      </c>
      <c r="K1909" s="1335" t="s">
        <v>475</v>
      </c>
      <c r="L1909" s="180">
        <v>0</v>
      </c>
      <c r="M1909" t="s">
        <v>4</v>
      </c>
      <c r="N1909" t="str">
        <f t="shared" si="118"/>
        <v>VOVR FARM WELL HS (5989)</v>
      </c>
      <c r="O1909" t="s">
        <v>52</v>
      </c>
      <c r="P1909" t="str">
        <f t="shared" si="119"/>
        <v>18000_5989</v>
      </c>
      <c r="Q1909" s="180">
        <v>100</v>
      </c>
    </row>
    <row r="1910" spans="1:17">
      <c r="A1910" t="str">
        <f t="shared" si="116"/>
        <v>UGA_5990</v>
      </c>
      <c r="B1910" t="str">
        <f t="shared" si="117"/>
        <v>UGA_VOVR DWELLING I</v>
      </c>
      <c r="C1910" t="s">
        <v>443</v>
      </c>
      <c r="D1910" s="180" t="s">
        <v>51</v>
      </c>
      <c r="E1910" t="s">
        <v>1972</v>
      </c>
      <c r="F1910" t="s">
        <v>1973</v>
      </c>
      <c r="G1910" s="180">
        <v>2818</v>
      </c>
      <c r="H1910">
        <v>1954</v>
      </c>
      <c r="J1910" s="1334" t="s">
        <v>475</v>
      </c>
      <c r="K1910" s="1335" t="s">
        <v>475</v>
      </c>
      <c r="L1910" s="180">
        <v>0</v>
      </c>
      <c r="M1910" t="s">
        <v>4</v>
      </c>
      <c r="N1910" t="str">
        <f t="shared" si="118"/>
        <v>VOVR DWELLING I (5990)</v>
      </c>
      <c r="O1910" t="s">
        <v>52</v>
      </c>
      <c r="P1910" t="str">
        <f t="shared" si="119"/>
        <v>18000_5990</v>
      </c>
      <c r="Q1910" s="180">
        <v>100</v>
      </c>
    </row>
    <row r="1911" spans="1:17">
      <c r="A1911" t="str">
        <f t="shared" si="116"/>
        <v>UGA_5991</v>
      </c>
      <c r="B1911" t="str">
        <f t="shared" si="117"/>
        <v>UGA_VOVR DWELLING 2</v>
      </c>
      <c r="C1911" t="s">
        <v>443</v>
      </c>
      <c r="D1911" s="180" t="s">
        <v>51</v>
      </c>
      <c r="E1911" t="s">
        <v>2792</v>
      </c>
      <c r="F1911" t="s">
        <v>2793</v>
      </c>
      <c r="G1911" s="180">
        <v>1607</v>
      </c>
      <c r="H1911">
        <v>1954</v>
      </c>
      <c r="J1911" s="1334" t="s">
        <v>475</v>
      </c>
      <c r="K1911" s="1335" t="s">
        <v>475</v>
      </c>
      <c r="L1911" s="180">
        <v>0</v>
      </c>
      <c r="M1911" t="s">
        <v>4</v>
      </c>
      <c r="N1911" t="str">
        <f t="shared" si="118"/>
        <v>VOVR DWELLING 2 (5991)</v>
      </c>
      <c r="O1911" t="s">
        <v>52</v>
      </c>
      <c r="P1911" t="str">
        <f t="shared" si="119"/>
        <v>18000_5991</v>
      </c>
      <c r="Q1911" s="180">
        <v>100</v>
      </c>
    </row>
    <row r="1912" spans="1:17">
      <c r="A1912" t="str">
        <f t="shared" si="116"/>
        <v>UGA_5992</v>
      </c>
      <c r="B1912" t="str">
        <f t="shared" si="117"/>
        <v>UGA_VOVRC HEADQUARTERS</v>
      </c>
      <c r="C1912" t="s">
        <v>443</v>
      </c>
      <c r="D1912" s="180" t="s">
        <v>51</v>
      </c>
      <c r="E1912" t="s">
        <v>4030</v>
      </c>
      <c r="F1912" t="s">
        <v>4031</v>
      </c>
      <c r="G1912" s="180">
        <v>3791</v>
      </c>
      <c r="H1912">
        <v>2008</v>
      </c>
      <c r="J1912" s="1334" t="s">
        <v>475</v>
      </c>
      <c r="K1912" s="1335" t="s">
        <v>475</v>
      </c>
      <c r="L1912" s="180">
        <v>0</v>
      </c>
      <c r="M1912" t="s">
        <v>4</v>
      </c>
      <c r="N1912" t="str">
        <f t="shared" si="118"/>
        <v>VOVRC HEADQUARTERS (5992)</v>
      </c>
      <c r="O1912" t="s">
        <v>52</v>
      </c>
      <c r="P1912" t="str">
        <f t="shared" si="119"/>
        <v>18000_5992</v>
      </c>
      <c r="Q1912" s="180">
        <v>0</v>
      </c>
    </row>
    <row r="1913" spans="1:17">
      <c r="A1913" t="str">
        <f t="shared" si="116"/>
        <v>UGA_5993</v>
      </c>
      <c r="B1913" t="str">
        <f t="shared" si="117"/>
        <v>UGA_VOVR PROCESSING</v>
      </c>
      <c r="C1913" t="s">
        <v>443</v>
      </c>
      <c r="D1913" s="180" t="s">
        <v>51</v>
      </c>
      <c r="E1913" t="s">
        <v>3196</v>
      </c>
      <c r="F1913" t="s">
        <v>3197</v>
      </c>
      <c r="G1913" s="180">
        <v>5461</v>
      </c>
      <c r="H1913">
        <v>2002</v>
      </c>
      <c r="J1913" s="1334" t="s">
        <v>475</v>
      </c>
      <c r="K1913" s="1335" t="s">
        <v>475</v>
      </c>
      <c r="L1913" s="180">
        <v>0</v>
      </c>
      <c r="M1913" t="s">
        <v>4</v>
      </c>
      <c r="N1913" t="str">
        <f t="shared" si="118"/>
        <v>VOVR PROCESSING (5993)</v>
      </c>
      <c r="O1913" t="s">
        <v>52</v>
      </c>
      <c r="P1913" t="str">
        <f t="shared" si="119"/>
        <v>18000_5993</v>
      </c>
      <c r="Q1913" s="180">
        <v>100</v>
      </c>
    </row>
    <row r="1914" spans="1:17">
      <c r="A1914" t="str">
        <f t="shared" si="116"/>
        <v>UGA_5994</v>
      </c>
      <c r="B1914" t="str">
        <f t="shared" si="117"/>
        <v>UGA_VIDALIA ONION CNTR</v>
      </c>
      <c r="C1914" t="s">
        <v>443</v>
      </c>
      <c r="D1914" s="180" t="s">
        <v>51</v>
      </c>
      <c r="E1914" t="s">
        <v>2387</v>
      </c>
      <c r="F1914" t="s">
        <v>2388</v>
      </c>
      <c r="G1914" s="180">
        <v>5503</v>
      </c>
      <c r="H1914">
        <v>1956</v>
      </c>
      <c r="J1914" s="1334" t="s">
        <v>475</v>
      </c>
      <c r="K1914" s="1335" t="s">
        <v>481</v>
      </c>
      <c r="L1914" s="180">
        <v>0</v>
      </c>
      <c r="M1914" t="s">
        <v>4</v>
      </c>
      <c r="N1914" t="str">
        <f t="shared" si="118"/>
        <v>VIDALIA ONION CNTR (5994)</v>
      </c>
      <c r="O1914" t="s">
        <v>52</v>
      </c>
      <c r="P1914" t="str">
        <f t="shared" si="119"/>
        <v>18000_5994</v>
      </c>
      <c r="Q1914" s="180">
        <v>100</v>
      </c>
    </row>
    <row r="1915" spans="1:17">
      <c r="A1915" t="str">
        <f t="shared" si="116"/>
        <v>UGA_5995</v>
      </c>
      <c r="B1915" t="str">
        <f t="shared" si="117"/>
        <v>UGA_VOVR METAL STORAGE</v>
      </c>
      <c r="C1915" t="s">
        <v>443</v>
      </c>
      <c r="D1915" s="180" t="s">
        <v>51</v>
      </c>
      <c r="E1915" t="s">
        <v>2242</v>
      </c>
      <c r="F1915" t="s">
        <v>2243</v>
      </c>
      <c r="G1915" s="180">
        <v>1830</v>
      </c>
      <c r="H1915">
        <v>1956</v>
      </c>
      <c r="J1915" s="1334" t="s">
        <v>475</v>
      </c>
      <c r="K1915" s="1335" t="s">
        <v>481</v>
      </c>
      <c r="L1915" s="180">
        <v>0</v>
      </c>
      <c r="M1915" t="s">
        <v>4</v>
      </c>
      <c r="N1915" t="str">
        <f t="shared" si="118"/>
        <v>VOVR METAL STORAGE (5995)</v>
      </c>
      <c r="O1915" t="s">
        <v>52</v>
      </c>
      <c r="P1915" t="str">
        <f t="shared" si="119"/>
        <v>18000_5995</v>
      </c>
      <c r="Q1915" s="180">
        <v>100</v>
      </c>
    </row>
    <row r="1916" spans="1:17">
      <c r="A1916" t="str">
        <f t="shared" si="116"/>
        <v>UGA_5996</v>
      </c>
      <c r="B1916" t="str">
        <f t="shared" si="117"/>
        <v>UGA_VOVR EQUP STG 1</v>
      </c>
      <c r="C1916" t="s">
        <v>443</v>
      </c>
      <c r="D1916" s="180" t="s">
        <v>51</v>
      </c>
      <c r="E1916" t="s">
        <v>2702</v>
      </c>
      <c r="F1916" t="s">
        <v>2703</v>
      </c>
      <c r="G1916" s="180">
        <v>2470</v>
      </c>
      <c r="H1916">
        <v>1956</v>
      </c>
      <c r="J1916" s="1334" t="s">
        <v>475</v>
      </c>
      <c r="K1916" s="1335" t="s">
        <v>481</v>
      </c>
      <c r="L1916" s="180">
        <v>0</v>
      </c>
      <c r="M1916" t="s">
        <v>4</v>
      </c>
      <c r="N1916" t="str">
        <f t="shared" si="118"/>
        <v>VOVR EQUP STG 1 (5996)</v>
      </c>
      <c r="O1916" t="s">
        <v>52</v>
      </c>
      <c r="P1916" t="str">
        <f t="shared" si="119"/>
        <v>18000_5996</v>
      </c>
      <c r="Q1916" s="180">
        <v>100</v>
      </c>
    </row>
    <row r="1917" spans="1:17">
      <c r="A1917" t="str">
        <f t="shared" si="116"/>
        <v>UGA_5997</v>
      </c>
      <c r="B1917" t="str">
        <f t="shared" si="117"/>
        <v>UGA_VOVR EQUIP STG 2</v>
      </c>
      <c r="C1917" t="s">
        <v>443</v>
      </c>
      <c r="D1917" s="180" t="s">
        <v>51</v>
      </c>
      <c r="E1917" t="s">
        <v>3425</v>
      </c>
      <c r="F1917" t="s">
        <v>3426</v>
      </c>
      <c r="G1917" s="180">
        <v>4481</v>
      </c>
      <c r="H1917">
        <v>1956</v>
      </c>
      <c r="J1917" s="1334" t="s">
        <v>475</v>
      </c>
      <c r="K1917" s="1335" t="s">
        <v>481</v>
      </c>
      <c r="L1917" s="180">
        <v>0</v>
      </c>
      <c r="M1917" t="s">
        <v>4</v>
      </c>
      <c r="N1917" t="str">
        <f t="shared" si="118"/>
        <v>VOVR EQUIP STG 2 (5997)</v>
      </c>
      <c r="O1917" t="s">
        <v>52</v>
      </c>
      <c r="P1917" t="str">
        <f t="shared" si="119"/>
        <v>18000_5997</v>
      </c>
      <c r="Q1917" s="180">
        <v>100</v>
      </c>
    </row>
    <row r="1918" spans="1:17">
      <c r="A1918" t="str">
        <f t="shared" si="116"/>
        <v>UGA_5998</v>
      </c>
      <c r="B1918" t="str">
        <f t="shared" si="117"/>
        <v>UGA_VOVR IRRIG EQ FAC</v>
      </c>
      <c r="C1918" t="s">
        <v>443</v>
      </c>
      <c r="D1918" s="180" t="s">
        <v>51</v>
      </c>
      <c r="E1918" t="s">
        <v>2704</v>
      </c>
      <c r="F1918" t="s">
        <v>2705</v>
      </c>
      <c r="G1918" s="180">
        <v>403</v>
      </c>
      <c r="H1918">
        <v>1956</v>
      </c>
      <c r="J1918" s="1334" t="s">
        <v>475</v>
      </c>
      <c r="K1918" s="1335" t="s">
        <v>1520</v>
      </c>
      <c r="L1918" s="180">
        <v>0</v>
      </c>
      <c r="M1918" t="s">
        <v>4</v>
      </c>
      <c r="N1918" t="str">
        <f t="shared" si="118"/>
        <v>VOVR IRRIG EQ FAC (5998)</v>
      </c>
      <c r="O1918" t="s">
        <v>52</v>
      </c>
      <c r="P1918" t="str">
        <f t="shared" si="119"/>
        <v>18000_5998</v>
      </c>
      <c r="Q1918" s="180">
        <v>0</v>
      </c>
    </row>
    <row r="1919" spans="1:17">
      <c r="A1919" t="str">
        <f t="shared" si="116"/>
        <v>UGA_6014</v>
      </c>
      <c r="B1919" t="str">
        <f t="shared" si="117"/>
        <v>UGA_GARDENER COTTAGE N</v>
      </c>
      <c r="C1919" t="s">
        <v>443</v>
      </c>
      <c r="D1919" s="180" t="s">
        <v>51</v>
      </c>
      <c r="E1919" t="s">
        <v>2904</v>
      </c>
      <c r="F1919" t="s">
        <v>2905</v>
      </c>
      <c r="G1919" s="180">
        <v>1644</v>
      </c>
      <c r="H1919">
        <v>1934</v>
      </c>
      <c r="J1919" s="1334" t="s">
        <v>475</v>
      </c>
      <c r="K1919" s="1335" t="s">
        <v>475</v>
      </c>
      <c r="L1919" s="180">
        <v>0</v>
      </c>
      <c r="M1919" t="s">
        <v>4</v>
      </c>
      <c r="N1919" t="str">
        <f t="shared" si="118"/>
        <v>GARDENER COTTAGE N (6014)</v>
      </c>
      <c r="O1919" t="s">
        <v>52</v>
      </c>
      <c r="P1919" t="str">
        <f t="shared" si="119"/>
        <v>18000_6014</v>
      </c>
      <c r="Q1919" s="180">
        <v>0</v>
      </c>
    </row>
    <row r="1920" spans="1:17">
      <c r="A1920" t="str">
        <f t="shared" si="116"/>
        <v>UGA_6015</v>
      </c>
      <c r="B1920" t="str">
        <f t="shared" si="117"/>
        <v>UGA_GARDENR COTT N SHD</v>
      </c>
      <c r="C1920" t="s">
        <v>443</v>
      </c>
      <c r="D1920" s="180" t="s">
        <v>51</v>
      </c>
      <c r="E1920" t="s">
        <v>2906</v>
      </c>
      <c r="F1920" t="s">
        <v>2907</v>
      </c>
      <c r="G1920" s="180">
        <v>280</v>
      </c>
      <c r="H1920">
        <v>1934</v>
      </c>
      <c r="J1920" s="1334" t="s">
        <v>475</v>
      </c>
      <c r="K1920" s="1335" t="s">
        <v>475</v>
      </c>
      <c r="L1920" s="180">
        <v>0</v>
      </c>
      <c r="M1920" t="s">
        <v>4</v>
      </c>
      <c r="N1920" t="str">
        <f t="shared" si="118"/>
        <v>GARDENR COTT N SHD (6015)</v>
      </c>
      <c r="O1920" t="s">
        <v>52</v>
      </c>
      <c r="P1920" t="str">
        <f t="shared" si="119"/>
        <v>18000_6015</v>
      </c>
      <c r="Q1920" s="180">
        <v>0</v>
      </c>
    </row>
    <row r="1921" spans="1:17">
      <c r="A1921" t="str">
        <f t="shared" si="116"/>
        <v>UGA_6016</v>
      </c>
      <c r="B1921" t="str">
        <f t="shared" si="117"/>
        <v>UGA_SAPELO POWER HSE</v>
      </c>
      <c r="C1921" t="s">
        <v>443</v>
      </c>
      <c r="D1921" s="180" t="s">
        <v>51</v>
      </c>
      <c r="E1921" t="s">
        <v>4447</v>
      </c>
      <c r="F1921" t="s">
        <v>4448</v>
      </c>
      <c r="G1921" s="180">
        <v>2344</v>
      </c>
      <c r="H1921">
        <v>1934</v>
      </c>
      <c r="J1921" s="1334" t="s">
        <v>475</v>
      </c>
      <c r="K1921" s="1335" t="s">
        <v>481</v>
      </c>
      <c r="L1921" s="180">
        <v>0</v>
      </c>
      <c r="M1921" t="s">
        <v>4</v>
      </c>
      <c r="N1921" t="str">
        <f t="shared" si="118"/>
        <v>SAPELO POWER HSE (6016)</v>
      </c>
      <c r="O1921" t="s">
        <v>52</v>
      </c>
      <c r="P1921" t="str">
        <f t="shared" si="119"/>
        <v>18000_6016</v>
      </c>
      <c r="Q1921" s="180">
        <v>0</v>
      </c>
    </row>
    <row r="1922" spans="1:17">
      <c r="A1922" t="str">
        <f t="shared" si="116"/>
        <v>UGA_6022</v>
      </c>
      <c r="B1922" t="str">
        <f t="shared" si="117"/>
        <v>UGA_SAPELO TRAILER P</v>
      </c>
      <c r="C1922" t="s">
        <v>443</v>
      </c>
      <c r="D1922" s="180" t="s">
        <v>51</v>
      </c>
      <c r="E1922" t="s">
        <v>4449</v>
      </c>
      <c r="F1922" t="s">
        <v>4450</v>
      </c>
      <c r="G1922" s="180">
        <v>774</v>
      </c>
      <c r="H1922">
        <v>1983</v>
      </c>
      <c r="J1922" s="1334" t="s">
        <v>475</v>
      </c>
      <c r="K1922" s="1335" t="s">
        <v>475</v>
      </c>
      <c r="L1922" s="180">
        <v>0</v>
      </c>
      <c r="M1922" t="s">
        <v>4</v>
      </c>
      <c r="N1922" t="str">
        <f t="shared" si="118"/>
        <v>SAPELO TRAILER P (6022)</v>
      </c>
      <c r="O1922" t="s">
        <v>52</v>
      </c>
      <c r="P1922" t="str">
        <f t="shared" si="119"/>
        <v>18000_6022</v>
      </c>
      <c r="Q1922" s="180">
        <v>0</v>
      </c>
    </row>
    <row r="1923" spans="1:17">
      <c r="A1923" t="str">
        <f t="shared" ref="A1923:A1986" si="120">_xlfn.CONCAT(D1923,"_",E1923)</f>
        <v>UGA_6024</v>
      </c>
      <c r="B1923" t="str">
        <f t="shared" ref="B1923:B1986" si="121">_xlfn.CONCAT(D1923,"_",F1923)</f>
        <v>UGA_AZALEA STORAGE</v>
      </c>
      <c r="C1923" t="s">
        <v>443</v>
      </c>
      <c r="D1923" s="180" t="s">
        <v>51</v>
      </c>
      <c r="E1923" t="s">
        <v>3950</v>
      </c>
      <c r="F1923" t="s">
        <v>3951</v>
      </c>
      <c r="G1923" s="180">
        <v>97</v>
      </c>
      <c r="H1923">
        <v>1987</v>
      </c>
      <c r="J1923" s="1334" t="s">
        <v>475</v>
      </c>
      <c r="K1923" s="1335" t="s">
        <v>475</v>
      </c>
      <c r="L1923" s="180">
        <v>0</v>
      </c>
      <c r="M1923" t="s">
        <v>4</v>
      </c>
      <c r="N1923" t="str">
        <f t="shared" ref="N1923:N1986" si="122">_xlfn.CONCAT(F1923," (",E1923,")")</f>
        <v>AZALEA STORAGE (6024)</v>
      </c>
      <c r="O1923" t="s">
        <v>52</v>
      </c>
      <c r="P1923" t="str">
        <f t="shared" ref="P1923:P1986" si="123">_xlfn.CONCAT(C1923,"_",E1923)</f>
        <v>18000_6024</v>
      </c>
      <c r="Q1923" s="180">
        <v>0</v>
      </c>
    </row>
    <row r="1924" spans="1:17">
      <c r="A1924" t="str">
        <f t="shared" si="120"/>
        <v>UGA_6025</v>
      </c>
      <c r="B1924" t="str">
        <f t="shared" si="121"/>
        <v>UGA_SLAT HOUSE</v>
      </c>
      <c r="C1924" t="s">
        <v>443</v>
      </c>
      <c r="D1924" s="180" t="s">
        <v>51</v>
      </c>
      <c r="E1924" t="s">
        <v>2656</v>
      </c>
      <c r="F1924" t="s">
        <v>2657</v>
      </c>
      <c r="G1924" s="180">
        <v>1054</v>
      </c>
      <c r="H1924">
        <v>1953</v>
      </c>
      <c r="J1924" s="1334" t="s">
        <v>475</v>
      </c>
      <c r="K1924" s="1335" t="s">
        <v>1520</v>
      </c>
      <c r="L1924" s="180">
        <v>0</v>
      </c>
      <c r="M1924" t="s">
        <v>4</v>
      </c>
      <c r="N1924" t="str">
        <f t="shared" si="122"/>
        <v>SLAT HOUSE (6025)</v>
      </c>
      <c r="O1924" t="s">
        <v>52</v>
      </c>
      <c r="P1924" t="str">
        <f t="shared" si="123"/>
        <v>18000_6025</v>
      </c>
      <c r="Q1924" s="180">
        <v>0</v>
      </c>
    </row>
    <row r="1925" spans="1:17">
      <c r="A1925" t="str">
        <f t="shared" si="120"/>
        <v>UGA_6029</v>
      </c>
      <c r="B1925" t="str">
        <f t="shared" si="121"/>
        <v>UGA_GHSE APT PUMP HSE</v>
      </c>
      <c r="C1925" t="s">
        <v>443</v>
      </c>
      <c r="D1925" s="180" t="s">
        <v>51</v>
      </c>
      <c r="E1925" t="s">
        <v>3767</v>
      </c>
      <c r="F1925" t="s">
        <v>3768</v>
      </c>
      <c r="G1925" s="180">
        <v>63</v>
      </c>
      <c r="H1925">
        <v>1987</v>
      </c>
      <c r="J1925" s="1334" t="s">
        <v>475</v>
      </c>
      <c r="K1925" s="1335" t="s">
        <v>475</v>
      </c>
      <c r="L1925" s="180">
        <v>0</v>
      </c>
      <c r="M1925" t="s">
        <v>4</v>
      </c>
      <c r="N1925" t="str">
        <f t="shared" si="122"/>
        <v>GHSE APT PUMP HSE (6029)</v>
      </c>
      <c r="O1925" t="s">
        <v>52</v>
      </c>
      <c r="P1925" t="str">
        <f t="shared" si="123"/>
        <v>18000_6029</v>
      </c>
      <c r="Q1925" s="180">
        <v>0</v>
      </c>
    </row>
    <row r="1926" spans="1:17">
      <c r="A1926" t="str">
        <f t="shared" si="120"/>
        <v>UGA_6030</v>
      </c>
      <c r="B1926" t="str">
        <f t="shared" si="121"/>
        <v>UGA_SAPELO TRAILER R</v>
      </c>
      <c r="C1926" t="s">
        <v>443</v>
      </c>
      <c r="D1926" s="180" t="s">
        <v>51</v>
      </c>
      <c r="E1926" t="s">
        <v>3765</v>
      </c>
      <c r="F1926" t="s">
        <v>3766</v>
      </c>
      <c r="G1926" s="180">
        <v>602</v>
      </c>
      <c r="H1926">
        <v>1990</v>
      </c>
      <c r="J1926" s="1334" t="s">
        <v>475</v>
      </c>
      <c r="K1926" s="1335" t="s">
        <v>475</v>
      </c>
      <c r="L1926" s="180">
        <v>0</v>
      </c>
      <c r="M1926" t="s">
        <v>4</v>
      </c>
      <c r="N1926" t="str">
        <f t="shared" si="122"/>
        <v>SAPELO TRAILER R (6030)</v>
      </c>
      <c r="O1926" t="s">
        <v>52</v>
      </c>
      <c r="P1926" t="str">
        <f t="shared" si="123"/>
        <v>18000_6030</v>
      </c>
      <c r="Q1926" s="180">
        <v>0</v>
      </c>
    </row>
    <row r="1927" spans="1:17">
      <c r="A1927" t="str">
        <f t="shared" si="120"/>
        <v>UGA_6031</v>
      </c>
      <c r="B1927" t="str">
        <f t="shared" si="121"/>
        <v>UGA_S END HOIST DOCK</v>
      </c>
      <c r="C1927" t="s">
        <v>443</v>
      </c>
      <c r="D1927" s="180" t="s">
        <v>51</v>
      </c>
      <c r="E1927" t="s">
        <v>2106</v>
      </c>
      <c r="F1927" t="s">
        <v>2107</v>
      </c>
      <c r="G1927" s="180">
        <v>456</v>
      </c>
      <c r="H1927">
        <v>1990</v>
      </c>
      <c r="J1927" s="1334" t="s">
        <v>475</v>
      </c>
      <c r="K1927" s="1335" t="s">
        <v>475</v>
      </c>
      <c r="L1927" s="180">
        <v>0</v>
      </c>
      <c r="M1927" t="s">
        <v>4</v>
      </c>
      <c r="N1927" t="str">
        <f t="shared" si="122"/>
        <v>S END HOIST DOCK (6031)</v>
      </c>
      <c r="O1927" t="s">
        <v>52</v>
      </c>
      <c r="P1927" t="str">
        <f t="shared" si="123"/>
        <v>18000_6031</v>
      </c>
      <c r="Q1927" s="180">
        <v>0</v>
      </c>
    </row>
    <row r="1928" spans="1:17">
      <c r="A1928" t="str">
        <f t="shared" si="120"/>
        <v>UGA_6032</v>
      </c>
      <c r="B1928" t="str">
        <f t="shared" si="121"/>
        <v>UGA_SAPELO TRAILER S</v>
      </c>
      <c r="C1928" t="s">
        <v>443</v>
      </c>
      <c r="D1928" s="180" t="s">
        <v>51</v>
      </c>
      <c r="E1928" t="s">
        <v>1506</v>
      </c>
      <c r="F1928" t="s">
        <v>1507</v>
      </c>
      <c r="G1928" s="180">
        <v>602</v>
      </c>
      <c r="H1928">
        <v>1993</v>
      </c>
      <c r="J1928" s="1334" t="s">
        <v>475</v>
      </c>
      <c r="K1928" s="1335" t="s">
        <v>475</v>
      </c>
      <c r="L1928" s="180">
        <v>0</v>
      </c>
      <c r="M1928" t="s">
        <v>4</v>
      </c>
      <c r="N1928" t="str">
        <f t="shared" si="122"/>
        <v>SAPELO TRAILER S (6032)</v>
      </c>
      <c r="O1928" t="s">
        <v>52</v>
      </c>
      <c r="P1928" t="str">
        <f t="shared" si="123"/>
        <v>18000_6032</v>
      </c>
      <c r="Q1928" s="180">
        <v>0</v>
      </c>
    </row>
    <row r="1929" spans="1:17">
      <c r="A1929" t="str">
        <f t="shared" si="120"/>
        <v>UGA_6033</v>
      </c>
      <c r="B1929" t="str">
        <f t="shared" si="121"/>
        <v>UGA_SAPELO TRAILER J</v>
      </c>
      <c r="C1929" t="s">
        <v>443</v>
      </c>
      <c r="D1929" s="180" t="s">
        <v>51</v>
      </c>
      <c r="E1929" t="s">
        <v>2563</v>
      </c>
      <c r="F1929" t="s">
        <v>2564</v>
      </c>
      <c r="G1929" s="180">
        <v>602</v>
      </c>
      <c r="H1929">
        <v>1993</v>
      </c>
      <c r="J1929" s="1334" t="s">
        <v>475</v>
      </c>
      <c r="K1929" s="1335" t="s">
        <v>475</v>
      </c>
      <c r="L1929" s="180">
        <v>0</v>
      </c>
      <c r="M1929" t="s">
        <v>4</v>
      </c>
      <c r="N1929" t="str">
        <f t="shared" si="122"/>
        <v>SAPELO TRAILER J (6033)</v>
      </c>
      <c r="O1929" t="s">
        <v>52</v>
      </c>
      <c r="P1929" t="str">
        <f t="shared" si="123"/>
        <v>18000_6033</v>
      </c>
      <c r="Q1929" s="180">
        <v>0</v>
      </c>
    </row>
    <row r="1930" spans="1:17">
      <c r="A1930" t="str">
        <f t="shared" si="120"/>
        <v>UGA_6034</v>
      </c>
      <c r="B1930" t="str">
        <f t="shared" si="121"/>
        <v>UGA_SAPELO TRAILER G</v>
      </c>
      <c r="C1930" t="s">
        <v>443</v>
      </c>
      <c r="D1930" s="180" t="s">
        <v>51</v>
      </c>
      <c r="E1930" t="s">
        <v>3608</v>
      </c>
      <c r="F1930" t="s">
        <v>3609</v>
      </c>
      <c r="G1930" s="180">
        <v>602</v>
      </c>
      <c r="H1930">
        <v>1993</v>
      </c>
      <c r="J1930" s="1334" t="s">
        <v>475</v>
      </c>
      <c r="K1930" s="1335" t="s">
        <v>475</v>
      </c>
      <c r="L1930" s="180">
        <v>0</v>
      </c>
      <c r="M1930" t="s">
        <v>4</v>
      </c>
      <c r="N1930" t="str">
        <f t="shared" si="122"/>
        <v>SAPELO TRAILER G (6034)</v>
      </c>
      <c r="O1930" t="s">
        <v>52</v>
      </c>
      <c r="P1930" t="str">
        <f t="shared" si="123"/>
        <v>18000_6034</v>
      </c>
      <c r="Q1930" s="180">
        <v>0</v>
      </c>
    </row>
    <row r="1931" spans="1:17">
      <c r="A1931" t="str">
        <f t="shared" si="120"/>
        <v>UGA_6036</v>
      </c>
      <c r="B1931" t="str">
        <f t="shared" si="121"/>
        <v>UGA_SAPELO TRAILER B</v>
      </c>
      <c r="C1931" t="s">
        <v>443</v>
      </c>
      <c r="D1931" s="180" t="s">
        <v>51</v>
      </c>
      <c r="E1931" t="s">
        <v>2946</v>
      </c>
      <c r="F1931" t="s">
        <v>2947</v>
      </c>
      <c r="G1931" s="180">
        <v>602</v>
      </c>
      <c r="H1931">
        <v>1994</v>
      </c>
      <c r="J1931" s="1334" t="s">
        <v>475</v>
      </c>
      <c r="K1931" s="1335" t="s">
        <v>475</v>
      </c>
      <c r="L1931" s="180">
        <v>0</v>
      </c>
      <c r="M1931" t="s">
        <v>4</v>
      </c>
      <c r="N1931" t="str">
        <f t="shared" si="122"/>
        <v>SAPELO TRAILER B (6036)</v>
      </c>
      <c r="O1931" t="s">
        <v>52</v>
      </c>
      <c r="P1931" t="str">
        <f t="shared" si="123"/>
        <v>18000_6036</v>
      </c>
      <c r="Q1931" s="180">
        <v>0</v>
      </c>
    </row>
    <row r="1932" spans="1:17">
      <c r="A1932" t="str">
        <f t="shared" si="120"/>
        <v>UGA_6037</v>
      </c>
      <c r="B1932" t="str">
        <f t="shared" si="121"/>
        <v>UGA_SAPELO TRAILER C</v>
      </c>
      <c r="C1932" t="s">
        <v>443</v>
      </c>
      <c r="D1932" s="180" t="s">
        <v>51</v>
      </c>
      <c r="E1932" t="s">
        <v>3769</v>
      </c>
      <c r="F1932" t="s">
        <v>3770</v>
      </c>
      <c r="G1932" s="180">
        <v>602</v>
      </c>
      <c r="H1932">
        <v>1994</v>
      </c>
      <c r="J1932" s="1334" t="s">
        <v>475</v>
      </c>
      <c r="K1932" s="1335" t="s">
        <v>475</v>
      </c>
      <c r="L1932" s="180">
        <v>0</v>
      </c>
      <c r="M1932" t="s">
        <v>4</v>
      </c>
      <c r="N1932" t="str">
        <f t="shared" si="122"/>
        <v>SAPELO TRAILER C (6037)</v>
      </c>
      <c r="O1932" t="s">
        <v>52</v>
      </c>
      <c r="P1932" t="str">
        <f t="shared" si="123"/>
        <v>18000_6037</v>
      </c>
      <c r="Q1932" s="180">
        <v>0</v>
      </c>
    </row>
    <row r="1933" spans="1:17">
      <c r="A1933" t="str">
        <f t="shared" si="120"/>
        <v>UGA_6038</v>
      </c>
      <c r="B1933" t="str">
        <f t="shared" si="121"/>
        <v>UGA_SOUTH END PUMP HS</v>
      </c>
      <c r="C1933" t="s">
        <v>443</v>
      </c>
      <c r="D1933" s="180" t="s">
        <v>51</v>
      </c>
      <c r="E1933" t="s">
        <v>1508</v>
      </c>
      <c r="F1933" t="s">
        <v>1509</v>
      </c>
      <c r="G1933" s="180">
        <v>38</v>
      </c>
      <c r="H1933">
        <v>1960</v>
      </c>
      <c r="J1933" s="1334" t="s">
        <v>475</v>
      </c>
      <c r="K1933" s="1335" t="s">
        <v>475</v>
      </c>
      <c r="L1933" s="180">
        <v>0</v>
      </c>
      <c r="M1933" t="s">
        <v>4</v>
      </c>
      <c r="N1933" t="str">
        <f t="shared" si="122"/>
        <v>SOUTH END PUMP HS (6038)</v>
      </c>
      <c r="O1933" t="s">
        <v>52</v>
      </c>
      <c r="P1933" t="str">
        <f t="shared" si="123"/>
        <v>18000_6038</v>
      </c>
      <c r="Q1933" s="180">
        <v>100</v>
      </c>
    </row>
    <row r="1934" spans="1:17">
      <c r="A1934" t="str">
        <f t="shared" si="120"/>
        <v>UGA_6039</v>
      </c>
      <c r="B1934" t="str">
        <f t="shared" si="121"/>
        <v>UGA_PC-3 TRAILER</v>
      </c>
      <c r="C1934" t="s">
        <v>443</v>
      </c>
      <c r="D1934" s="180" t="s">
        <v>51</v>
      </c>
      <c r="E1934" t="s">
        <v>2244</v>
      </c>
      <c r="F1934" t="s">
        <v>2245</v>
      </c>
      <c r="G1934" s="180">
        <v>547</v>
      </c>
      <c r="H1934">
        <v>2009</v>
      </c>
      <c r="J1934" s="1334" t="s">
        <v>475</v>
      </c>
      <c r="K1934" s="1335" t="s">
        <v>475</v>
      </c>
      <c r="L1934" s="180">
        <v>0</v>
      </c>
      <c r="M1934" t="s">
        <v>4</v>
      </c>
      <c r="N1934" t="str">
        <f t="shared" si="122"/>
        <v>PC-3 TRAILER (6039)</v>
      </c>
      <c r="O1934" t="s">
        <v>52</v>
      </c>
      <c r="P1934" t="str">
        <f t="shared" si="123"/>
        <v>18000_6039</v>
      </c>
      <c r="Q1934" s="180">
        <v>100</v>
      </c>
    </row>
    <row r="1935" spans="1:17">
      <c r="A1935" t="str">
        <f t="shared" si="120"/>
        <v>UGA_6062</v>
      </c>
      <c r="B1935" t="str">
        <f t="shared" si="121"/>
        <v>UGA_SHELL HAMMOCK 1</v>
      </c>
      <c r="C1935" t="s">
        <v>443</v>
      </c>
      <c r="D1935" s="180" t="s">
        <v>51</v>
      </c>
      <c r="E1935" t="s">
        <v>3136</v>
      </c>
      <c r="F1935" t="s">
        <v>3137</v>
      </c>
      <c r="G1935" s="180">
        <v>2142</v>
      </c>
      <c r="H1935">
        <v>1934</v>
      </c>
      <c r="J1935" s="1334" t="s">
        <v>475</v>
      </c>
      <c r="K1935" s="1335" t="s">
        <v>475</v>
      </c>
      <c r="L1935" s="180">
        <v>0</v>
      </c>
      <c r="M1935" t="s">
        <v>4</v>
      </c>
      <c r="N1935" t="str">
        <f t="shared" si="122"/>
        <v>SHELL HAMMOCK 1 (6062)</v>
      </c>
      <c r="O1935" t="s">
        <v>52</v>
      </c>
      <c r="P1935" t="str">
        <f t="shared" si="123"/>
        <v>18000_6062</v>
      </c>
      <c r="Q1935" s="180">
        <v>100</v>
      </c>
    </row>
    <row r="1936" spans="1:17">
      <c r="A1936" t="str">
        <f t="shared" si="120"/>
        <v>UGA_6063</v>
      </c>
      <c r="B1936" t="str">
        <f t="shared" si="121"/>
        <v>UGA_SHELL HAMMOCK 2</v>
      </c>
      <c r="C1936" t="s">
        <v>443</v>
      </c>
      <c r="D1936" s="180" t="s">
        <v>51</v>
      </c>
      <c r="E1936" t="s">
        <v>3098</v>
      </c>
      <c r="F1936" t="s">
        <v>3099</v>
      </c>
      <c r="G1936" s="180">
        <v>2142</v>
      </c>
      <c r="H1936">
        <v>1934</v>
      </c>
      <c r="J1936" s="1334" t="s">
        <v>475</v>
      </c>
      <c r="K1936" s="1335" t="s">
        <v>475</v>
      </c>
      <c r="L1936" s="180">
        <v>0</v>
      </c>
      <c r="M1936" t="s">
        <v>4</v>
      </c>
      <c r="N1936" t="str">
        <f t="shared" si="122"/>
        <v>SHELL HAMMOCK 2 (6063)</v>
      </c>
      <c r="O1936" t="s">
        <v>52</v>
      </c>
      <c r="P1936" t="str">
        <f t="shared" si="123"/>
        <v>18000_6063</v>
      </c>
      <c r="Q1936" s="180">
        <v>100</v>
      </c>
    </row>
    <row r="1937" spans="1:17">
      <c r="A1937" t="str">
        <f t="shared" si="120"/>
        <v>UGA_6064</v>
      </c>
      <c r="B1937" t="str">
        <f t="shared" si="121"/>
        <v>UGA_SHELL HAMMOCK 3</v>
      </c>
      <c r="C1937" t="s">
        <v>443</v>
      </c>
      <c r="D1937" s="180" t="s">
        <v>51</v>
      </c>
      <c r="E1937" t="s">
        <v>4122</v>
      </c>
      <c r="F1937" t="s">
        <v>4123</v>
      </c>
      <c r="G1937" s="180">
        <v>1997</v>
      </c>
      <c r="H1937">
        <v>1960</v>
      </c>
      <c r="J1937" s="1334" t="s">
        <v>475</v>
      </c>
      <c r="K1937" s="1335" t="s">
        <v>475</v>
      </c>
      <c r="L1937" s="180">
        <v>0</v>
      </c>
      <c r="M1937" t="s">
        <v>4</v>
      </c>
      <c r="N1937" t="str">
        <f t="shared" si="122"/>
        <v>SHELL HAMMOCK 3 (6064)</v>
      </c>
      <c r="O1937" t="s">
        <v>52</v>
      </c>
      <c r="P1937" t="str">
        <f t="shared" si="123"/>
        <v>18000_6064</v>
      </c>
      <c r="Q1937" s="180">
        <v>0</v>
      </c>
    </row>
    <row r="1938" spans="1:17">
      <c r="A1938" t="str">
        <f t="shared" si="120"/>
        <v>UGA_6065</v>
      </c>
      <c r="B1938" t="str">
        <f t="shared" si="121"/>
        <v>UGA_SHELL HAMMOCK 4</v>
      </c>
      <c r="C1938" t="s">
        <v>443</v>
      </c>
      <c r="D1938" s="180" t="s">
        <v>51</v>
      </c>
      <c r="E1938" t="s">
        <v>2342</v>
      </c>
      <c r="F1938" t="s">
        <v>2343</v>
      </c>
      <c r="G1938" s="180">
        <v>1997</v>
      </c>
      <c r="H1938">
        <v>1960</v>
      </c>
      <c r="J1938" s="1334" t="s">
        <v>475</v>
      </c>
      <c r="K1938" s="1335" t="s">
        <v>475</v>
      </c>
      <c r="L1938" s="180">
        <v>0</v>
      </c>
      <c r="M1938" t="s">
        <v>4</v>
      </c>
      <c r="N1938" t="str">
        <f t="shared" si="122"/>
        <v>SHELL HAMMOCK 4 (6065)</v>
      </c>
      <c r="O1938" t="s">
        <v>52</v>
      </c>
      <c r="P1938" t="str">
        <f t="shared" si="123"/>
        <v>18000_6065</v>
      </c>
      <c r="Q1938" s="180">
        <v>0</v>
      </c>
    </row>
    <row r="1939" spans="1:17">
      <c r="A1939" t="str">
        <f t="shared" si="120"/>
        <v>UGA_6066</v>
      </c>
      <c r="B1939" t="str">
        <f t="shared" si="121"/>
        <v>UGA_SHELL HAMMOCK 5</v>
      </c>
      <c r="C1939" t="s">
        <v>443</v>
      </c>
      <c r="D1939" s="180" t="s">
        <v>51</v>
      </c>
      <c r="E1939" t="s">
        <v>1480</v>
      </c>
      <c r="F1939" t="s">
        <v>1481</v>
      </c>
      <c r="G1939" s="180">
        <v>1997</v>
      </c>
      <c r="H1939">
        <v>1960</v>
      </c>
      <c r="J1939" s="1334" t="s">
        <v>475</v>
      </c>
      <c r="K1939" s="1335" t="s">
        <v>475</v>
      </c>
      <c r="L1939" s="180">
        <v>0</v>
      </c>
      <c r="M1939" t="s">
        <v>4</v>
      </c>
      <c r="N1939" t="str">
        <f t="shared" si="122"/>
        <v>SHELL HAMMOCK 5 (6066)</v>
      </c>
      <c r="O1939" t="s">
        <v>52</v>
      </c>
      <c r="P1939" t="str">
        <f t="shared" si="123"/>
        <v>18000_6066</v>
      </c>
      <c r="Q1939" s="180">
        <v>0</v>
      </c>
    </row>
    <row r="1940" spans="1:17">
      <c r="A1940" t="str">
        <f t="shared" si="120"/>
        <v>UGA_6067</v>
      </c>
      <c r="B1940" t="str">
        <f t="shared" si="121"/>
        <v>UGA_SHELL HAMMOCK UTIL</v>
      </c>
      <c r="C1940" t="s">
        <v>443</v>
      </c>
      <c r="D1940" s="180" t="s">
        <v>51</v>
      </c>
      <c r="E1940" t="s">
        <v>3100</v>
      </c>
      <c r="F1940" t="s">
        <v>3101</v>
      </c>
      <c r="G1940" s="180">
        <v>396</v>
      </c>
      <c r="H1940">
        <v>1960</v>
      </c>
      <c r="J1940" s="1334" t="s">
        <v>475</v>
      </c>
      <c r="K1940" s="1335" t="s">
        <v>486</v>
      </c>
      <c r="L1940" s="180">
        <v>0</v>
      </c>
      <c r="M1940" t="s">
        <v>4</v>
      </c>
      <c r="N1940" t="str">
        <f t="shared" si="122"/>
        <v>SHELL HAMMOCK UTIL (6067)</v>
      </c>
      <c r="O1940" t="s">
        <v>52</v>
      </c>
      <c r="P1940" t="str">
        <f t="shared" si="123"/>
        <v>18000_6067</v>
      </c>
      <c r="Q1940" s="180">
        <v>0</v>
      </c>
    </row>
    <row r="1941" spans="1:17">
      <c r="A1941" t="str">
        <f t="shared" si="120"/>
        <v>UGA_6069</v>
      </c>
      <c r="B1941" t="str">
        <f t="shared" si="121"/>
        <v>UGA_LUMBER AND LAB</v>
      </c>
      <c r="C1941" t="s">
        <v>443</v>
      </c>
      <c r="D1941" s="180" t="s">
        <v>51</v>
      </c>
      <c r="E1941" t="s">
        <v>3729</v>
      </c>
      <c r="F1941" t="s">
        <v>3730</v>
      </c>
      <c r="G1941" s="180">
        <v>2671</v>
      </c>
      <c r="H1941">
        <v>1966</v>
      </c>
      <c r="J1941" s="1334" t="s">
        <v>475</v>
      </c>
      <c r="K1941" s="1335" t="s">
        <v>475</v>
      </c>
      <c r="L1941" s="180">
        <v>0</v>
      </c>
      <c r="M1941" t="s">
        <v>4</v>
      </c>
      <c r="N1941" t="str">
        <f t="shared" si="122"/>
        <v>LUMBER AND LAB (6069)</v>
      </c>
      <c r="O1941" t="s">
        <v>52</v>
      </c>
      <c r="P1941" t="str">
        <f t="shared" si="123"/>
        <v>18000_6069</v>
      </c>
      <c r="Q1941" s="180">
        <v>100</v>
      </c>
    </row>
    <row r="1942" spans="1:17">
      <c r="A1942" t="str">
        <f t="shared" si="120"/>
        <v>UGA_6070</v>
      </c>
      <c r="B1942" t="str">
        <f t="shared" si="121"/>
        <v>UGA_SOUTH END EQUIP 2</v>
      </c>
      <c r="C1942" t="s">
        <v>443</v>
      </c>
      <c r="D1942" s="180" t="s">
        <v>51</v>
      </c>
      <c r="E1942" t="s">
        <v>3476</v>
      </c>
      <c r="F1942" t="s">
        <v>3477</v>
      </c>
      <c r="G1942" s="180">
        <v>2402</v>
      </c>
      <c r="H1942">
        <v>1966</v>
      </c>
      <c r="J1942" s="1334" t="s">
        <v>475</v>
      </c>
      <c r="K1942" s="1335" t="s">
        <v>475</v>
      </c>
      <c r="L1942" s="180">
        <v>0</v>
      </c>
      <c r="M1942" t="s">
        <v>4</v>
      </c>
      <c r="N1942" t="str">
        <f t="shared" si="122"/>
        <v>SOUTH END EQUIP 2 (6070)</v>
      </c>
      <c r="O1942" t="s">
        <v>52</v>
      </c>
      <c r="P1942" t="str">
        <f t="shared" si="123"/>
        <v>18000_6070</v>
      </c>
      <c r="Q1942" s="180">
        <v>0</v>
      </c>
    </row>
    <row r="1943" spans="1:17">
      <c r="A1943" t="str">
        <f t="shared" si="120"/>
        <v>UGA_6071</v>
      </c>
      <c r="B1943" t="str">
        <f t="shared" si="121"/>
        <v>UGA_AUTO SHOP</v>
      </c>
      <c r="C1943" t="s">
        <v>443</v>
      </c>
      <c r="D1943" s="180" t="s">
        <v>51</v>
      </c>
      <c r="E1943" t="s">
        <v>4032</v>
      </c>
      <c r="F1943" t="s">
        <v>4033</v>
      </c>
      <c r="G1943" s="180">
        <v>4176</v>
      </c>
      <c r="H1943">
        <v>1934</v>
      </c>
      <c r="J1943" s="1334" t="s">
        <v>475</v>
      </c>
      <c r="K1943" s="1335" t="s">
        <v>475</v>
      </c>
      <c r="L1943" s="180">
        <v>0</v>
      </c>
      <c r="M1943" t="s">
        <v>4</v>
      </c>
      <c r="N1943" t="str">
        <f t="shared" si="122"/>
        <v>AUTO SHOP (6071)</v>
      </c>
      <c r="O1943" t="s">
        <v>52</v>
      </c>
      <c r="P1943" t="str">
        <f t="shared" si="123"/>
        <v>18000_6071</v>
      </c>
      <c r="Q1943" s="180">
        <v>0</v>
      </c>
    </row>
    <row r="1944" spans="1:17">
      <c r="A1944" t="str">
        <f t="shared" si="120"/>
        <v>UGA_6072</v>
      </c>
      <c r="B1944" t="str">
        <f t="shared" si="121"/>
        <v>UGA_CARPENTER SHOP</v>
      </c>
      <c r="C1944" t="s">
        <v>443</v>
      </c>
      <c r="D1944" s="180" t="s">
        <v>51</v>
      </c>
      <c r="E1944" t="s">
        <v>3431</v>
      </c>
      <c r="F1944" t="s">
        <v>3432</v>
      </c>
      <c r="G1944" s="180">
        <v>2772</v>
      </c>
      <c r="H1944">
        <v>1960</v>
      </c>
      <c r="J1944" s="1334" t="s">
        <v>475</v>
      </c>
      <c r="K1944" s="1335" t="s">
        <v>486</v>
      </c>
      <c r="L1944" s="180">
        <v>0</v>
      </c>
      <c r="M1944" t="s">
        <v>4</v>
      </c>
      <c r="N1944" t="str">
        <f t="shared" si="122"/>
        <v>CARPENTER SHOP (6072)</v>
      </c>
      <c r="O1944" t="s">
        <v>52</v>
      </c>
      <c r="P1944" t="str">
        <f t="shared" si="123"/>
        <v>18000_6072</v>
      </c>
      <c r="Q1944" s="180">
        <v>0</v>
      </c>
    </row>
    <row r="1945" spans="1:17">
      <c r="A1945" t="str">
        <f t="shared" si="120"/>
        <v>UGA_6074</v>
      </c>
      <c r="B1945" t="str">
        <f t="shared" si="121"/>
        <v>UGA_LAB BUILDING</v>
      </c>
      <c r="C1945" t="s">
        <v>443</v>
      </c>
      <c r="D1945" s="180" t="s">
        <v>51</v>
      </c>
      <c r="E1945" t="s">
        <v>1514</v>
      </c>
      <c r="F1945" t="s">
        <v>1515</v>
      </c>
      <c r="G1945" s="180">
        <v>23314</v>
      </c>
      <c r="H1945">
        <v>1934</v>
      </c>
      <c r="J1945" s="1334" t="s">
        <v>475</v>
      </c>
      <c r="K1945" s="1335" t="s">
        <v>1520</v>
      </c>
      <c r="L1945" s="180">
        <v>0</v>
      </c>
      <c r="M1945" t="s">
        <v>4</v>
      </c>
      <c r="N1945" t="str">
        <f t="shared" si="122"/>
        <v>LAB BUILDING (6074)</v>
      </c>
      <c r="O1945" t="s">
        <v>52</v>
      </c>
      <c r="P1945" t="str">
        <f t="shared" si="123"/>
        <v>18000_6074</v>
      </c>
      <c r="Q1945" s="180">
        <v>0</v>
      </c>
    </row>
    <row r="1946" spans="1:17">
      <c r="A1946" t="str">
        <f t="shared" si="120"/>
        <v>UGA_6076</v>
      </c>
      <c r="B1946" t="str">
        <f t="shared" si="121"/>
        <v>UGA_SOUTH END OFFICE</v>
      </c>
      <c r="C1946" t="s">
        <v>443</v>
      </c>
      <c r="D1946" s="180" t="s">
        <v>51</v>
      </c>
      <c r="E1946" t="s">
        <v>2281</v>
      </c>
      <c r="F1946" t="s">
        <v>2282</v>
      </c>
      <c r="G1946" s="180">
        <v>3044</v>
      </c>
      <c r="H1946">
        <v>1934</v>
      </c>
      <c r="J1946" s="1334" t="s">
        <v>475</v>
      </c>
      <c r="K1946" s="1335" t="s">
        <v>486</v>
      </c>
      <c r="L1946" s="180">
        <v>0</v>
      </c>
      <c r="M1946" t="s">
        <v>4</v>
      </c>
      <c r="N1946" t="str">
        <f t="shared" si="122"/>
        <v>SOUTH END OFFICE (6076)</v>
      </c>
      <c r="O1946" t="s">
        <v>52</v>
      </c>
      <c r="P1946" t="str">
        <f t="shared" si="123"/>
        <v>18000_6076</v>
      </c>
      <c r="Q1946" s="180">
        <v>0</v>
      </c>
    </row>
    <row r="1947" spans="1:17">
      <c r="A1947" t="str">
        <f t="shared" si="120"/>
        <v>UGA_6077</v>
      </c>
      <c r="B1947" t="str">
        <f t="shared" si="121"/>
        <v>UGA_APARTMENT BLDG</v>
      </c>
      <c r="C1947" t="s">
        <v>443</v>
      </c>
      <c r="D1947" s="180" t="s">
        <v>51</v>
      </c>
      <c r="E1947" t="s">
        <v>3242</v>
      </c>
      <c r="F1947" t="s">
        <v>3243</v>
      </c>
      <c r="G1947" s="180">
        <v>6327</v>
      </c>
      <c r="H1947">
        <v>1934</v>
      </c>
      <c r="J1947" s="1334" t="s">
        <v>475</v>
      </c>
      <c r="K1947" s="1335" t="s">
        <v>1520</v>
      </c>
      <c r="L1947" s="180">
        <v>0</v>
      </c>
      <c r="M1947" t="s">
        <v>4</v>
      </c>
      <c r="N1947" t="str">
        <f t="shared" si="122"/>
        <v>APARTMENT BLDG (6077)</v>
      </c>
      <c r="O1947" t="s">
        <v>52</v>
      </c>
      <c r="P1947" t="str">
        <f t="shared" si="123"/>
        <v>18000_6077</v>
      </c>
      <c r="Q1947" s="180">
        <v>100</v>
      </c>
    </row>
    <row r="1948" spans="1:17">
      <c r="A1948" t="str">
        <f t="shared" si="120"/>
        <v>UGA_6078</v>
      </c>
      <c r="B1948" t="str">
        <f t="shared" si="121"/>
        <v>UGA_CARRIAGE HOUSE</v>
      </c>
      <c r="C1948" t="s">
        <v>443</v>
      </c>
      <c r="D1948" s="180" t="s">
        <v>51</v>
      </c>
      <c r="E1948" t="s">
        <v>3244</v>
      </c>
      <c r="F1948" t="s">
        <v>3245</v>
      </c>
      <c r="G1948" s="180">
        <v>2966</v>
      </c>
      <c r="H1948">
        <v>1934</v>
      </c>
      <c r="J1948" s="1334" t="s">
        <v>475</v>
      </c>
      <c r="K1948" s="1335" t="s">
        <v>486</v>
      </c>
      <c r="L1948" s="180">
        <v>0</v>
      </c>
      <c r="M1948" t="s">
        <v>4</v>
      </c>
      <c r="N1948" t="str">
        <f t="shared" si="122"/>
        <v>CARRIAGE HOUSE (6078)</v>
      </c>
      <c r="O1948" t="s">
        <v>52</v>
      </c>
      <c r="P1948" t="str">
        <f t="shared" si="123"/>
        <v>18000_6078</v>
      </c>
      <c r="Q1948" s="180">
        <v>0</v>
      </c>
    </row>
    <row r="1949" spans="1:17">
      <c r="A1949" t="str">
        <f t="shared" si="120"/>
        <v>UGA_6079</v>
      </c>
      <c r="B1949" t="str">
        <f t="shared" si="121"/>
        <v>UGA_SMALL HOOD BLDG</v>
      </c>
      <c r="C1949" t="s">
        <v>443</v>
      </c>
      <c r="D1949" s="180" t="s">
        <v>51</v>
      </c>
      <c r="E1949" t="s">
        <v>2389</v>
      </c>
      <c r="F1949" t="s">
        <v>2390</v>
      </c>
      <c r="G1949" s="180">
        <v>163</v>
      </c>
      <c r="H1949">
        <v>1934</v>
      </c>
      <c r="J1949" s="1334" t="s">
        <v>475</v>
      </c>
      <c r="K1949" s="1335" t="s">
        <v>1520</v>
      </c>
      <c r="L1949" s="180">
        <v>0</v>
      </c>
      <c r="M1949" t="s">
        <v>4</v>
      </c>
      <c r="N1949" t="str">
        <f t="shared" si="122"/>
        <v>SMALL HOOD BLDG (6079)</v>
      </c>
      <c r="O1949" t="s">
        <v>52</v>
      </c>
      <c r="P1949" t="str">
        <f t="shared" si="123"/>
        <v>18000_6079</v>
      </c>
      <c r="Q1949" s="180">
        <v>0</v>
      </c>
    </row>
    <row r="1950" spans="1:17">
      <c r="A1950" t="str">
        <f t="shared" si="120"/>
        <v>UGA_6085</v>
      </c>
      <c r="B1950" t="str">
        <f t="shared" si="121"/>
        <v>UGA_AZALEA COTTAGE</v>
      </c>
      <c r="C1950" t="s">
        <v>443</v>
      </c>
      <c r="D1950" s="180" t="s">
        <v>51</v>
      </c>
      <c r="E1950" t="s">
        <v>1885</v>
      </c>
      <c r="F1950" t="s">
        <v>1886</v>
      </c>
      <c r="G1950" s="180">
        <v>3331</v>
      </c>
      <c r="H1950">
        <v>1934</v>
      </c>
      <c r="J1950" s="1334" t="s">
        <v>475</v>
      </c>
      <c r="K1950" s="1335" t="s">
        <v>475</v>
      </c>
      <c r="L1950" s="180">
        <v>0</v>
      </c>
      <c r="M1950" t="s">
        <v>4</v>
      </c>
      <c r="N1950" t="str">
        <f t="shared" si="122"/>
        <v>AZALEA COTTAGE (6085)</v>
      </c>
      <c r="O1950" t="s">
        <v>52</v>
      </c>
      <c r="P1950" t="str">
        <f t="shared" si="123"/>
        <v>18000_6085</v>
      </c>
      <c r="Q1950" s="180">
        <v>0</v>
      </c>
    </row>
    <row r="1951" spans="1:17">
      <c r="A1951" t="str">
        <f t="shared" si="120"/>
        <v>UGA_6086</v>
      </c>
      <c r="B1951" t="str">
        <f t="shared" si="121"/>
        <v>UGA_AZALEA APARTMENT</v>
      </c>
      <c r="C1951" t="s">
        <v>443</v>
      </c>
      <c r="D1951" s="180" t="s">
        <v>51</v>
      </c>
      <c r="E1951" t="s">
        <v>2344</v>
      </c>
      <c r="F1951" t="s">
        <v>2345</v>
      </c>
      <c r="G1951" s="180">
        <v>695</v>
      </c>
      <c r="H1951">
        <v>1934</v>
      </c>
      <c r="J1951" s="1334" t="s">
        <v>475</v>
      </c>
      <c r="K1951" s="1335" t="s">
        <v>475</v>
      </c>
      <c r="L1951" s="180">
        <v>0</v>
      </c>
      <c r="M1951" t="s">
        <v>4</v>
      </c>
      <c r="N1951" t="str">
        <f t="shared" si="122"/>
        <v>AZALEA APARTMENT (6086)</v>
      </c>
      <c r="O1951" t="s">
        <v>52</v>
      </c>
      <c r="P1951" t="str">
        <f t="shared" si="123"/>
        <v>18000_6086</v>
      </c>
      <c r="Q1951" s="180">
        <v>0</v>
      </c>
    </row>
    <row r="1952" spans="1:17">
      <c r="A1952" t="str">
        <f t="shared" si="120"/>
        <v>UGA_6088</v>
      </c>
      <c r="B1952" t="str">
        <f t="shared" si="121"/>
        <v>UGA_SEARS ROEBUCK RES</v>
      </c>
      <c r="C1952" t="s">
        <v>443</v>
      </c>
      <c r="D1952" s="180" t="s">
        <v>51</v>
      </c>
      <c r="E1952" t="s">
        <v>4178</v>
      </c>
      <c r="F1952" t="s">
        <v>4179</v>
      </c>
      <c r="G1952" s="180">
        <v>2928</v>
      </c>
      <c r="H1952">
        <v>1934</v>
      </c>
      <c r="J1952" s="1334" t="s">
        <v>475</v>
      </c>
      <c r="K1952" s="1335" t="s">
        <v>486</v>
      </c>
      <c r="L1952" s="180">
        <v>0</v>
      </c>
      <c r="M1952" t="s">
        <v>4</v>
      </c>
      <c r="N1952" t="str">
        <f t="shared" si="122"/>
        <v>SEARS ROEBUCK RES (6088)</v>
      </c>
      <c r="O1952" t="s">
        <v>52</v>
      </c>
      <c r="P1952" t="str">
        <f t="shared" si="123"/>
        <v>18000_6088</v>
      </c>
      <c r="Q1952" s="180">
        <v>0</v>
      </c>
    </row>
    <row r="1953" spans="1:17">
      <c r="A1953" t="str">
        <f t="shared" si="120"/>
        <v>UGA_6089</v>
      </c>
      <c r="B1953" t="str">
        <f t="shared" si="121"/>
        <v>UGA_SEARS ROEBUCK GAR</v>
      </c>
      <c r="C1953" t="s">
        <v>443</v>
      </c>
      <c r="D1953" s="180" t="s">
        <v>51</v>
      </c>
      <c r="E1953" t="s">
        <v>3246</v>
      </c>
      <c r="F1953" t="s">
        <v>3247</v>
      </c>
      <c r="G1953" s="180">
        <v>606</v>
      </c>
      <c r="H1953">
        <v>1934</v>
      </c>
      <c r="J1953" s="1334" t="s">
        <v>475</v>
      </c>
      <c r="K1953" s="1335" t="s">
        <v>486</v>
      </c>
      <c r="L1953" s="180">
        <v>0</v>
      </c>
      <c r="M1953" t="s">
        <v>4</v>
      </c>
      <c r="N1953" t="str">
        <f t="shared" si="122"/>
        <v>SEARS ROEBUCK GAR (6089)</v>
      </c>
      <c r="O1953" t="s">
        <v>52</v>
      </c>
      <c r="P1953" t="str">
        <f t="shared" si="123"/>
        <v>18000_6089</v>
      </c>
      <c r="Q1953" s="180">
        <v>0</v>
      </c>
    </row>
    <row r="1954" spans="1:17">
      <c r="A1954" t="str">
        <f t="shared" si="120"/>
        <v>UGA_6090</v>
      </c>
      <c r="B1954" t="str">
        <f t="shared" si="121"/>
        <v>UGA_GARDENER COTTAGE S</v>
      </c>
      <c r="C1954" t="s">
        <v>443</v>
      </c>
      <c r="D1954" s="180" t="s">
        <v>51</v>
      </c>
      <c r="E1954" t="s">
        <v>3875</v>
      </c>
      <c r="F1954" t="s">
        <v>3876</v>
      </c>
      <c r="G1954" s="180">
        <v>1474</v>
      </c>
      <c r="H1954">
        <v>1934</v>
      </c>
      <c r="J1954" s="1334" t="s">
        <v>475</v>
      </c>
      <c r="K1954" s="1335" t="s">
        <v>475</v>
      </c>
      <c r="L1954" s="180">
        <v>0</v>
      </c>
      <c r="M1954" t="s">
        <v>4</v>
      </c>
      <c r="N1954" t="str">
        <f t="shared" si="122"/>
        <v>GARDENER COTTAGE S (6090)</v>
      </c>
      <c r="O1954" t="s">
        <v>52</v>
      </c>
      <c r="P1954" t="str">
        <f t="shared" si="123"/>
        <v>18000_6090</v>
      </c>
      <c r="Q1954" s="180">
        <v>0</v>
      </c>
    </row>
    <row r="1955" spans="1:17">
      <c r="A1955" t="str">
        <f t="shared" si="120"/>
        <v>UGA_6091</v>
      </c>
      <c r="B1955" t="str">
        <f t="shared" si="121"/>
        <v>UGA_GARDENR COTT UTL S</v>
      </c>
      <c r="C1955" t="s">
        <v>443</v>
      </c>
      <c r="D1955" s="180" t="s">
        <v>51</v>
      </c>
      <c r="E1955" t="s">
        <v>4054</v>
      </c>
      <c r="F1955" t="s">
        <v>4055</v>
      </c>
      <c r="G1955" s="180">
        <v>292</v>
      </c>
      <c r="H1955">
        <v>1934</v>
      </c>
      <c r="J1955" s="1334" t="s">
        <v>475</v>
      </c>
      <c r="K1955" s="1335" t="s">
        <v>481</v>
      </c>
      <c r="L1955" s="180">
        <v>0</v>
      </c>
      <c r="M1955" t="s">
        <v>4</v>
      </c>
      <c r="N1955" t="str">
        <f t="shared" si="122"/>
        <v>GARDENR COTT UTL S (6091)</v>
      </c>
      <c r="O1955" t="s">
        <v>52</v>
      </c>
      <c r="P1955" t="str">
        <f t="shared" si="123"/>
        <v>18000_6091</v>
      </c>
      <c r="Q1955" s="180">
        <v>0</v>
      </c>
    </row>
    <row r="1956" spans="1:17">
      <c r="A1956" t="str">
        <f t="shared" si="120"/>
        <v>UGA_6092</v>
      </c>
      <c r="B1956" t="str">
        <f t="shared" si="121"/>
        <v>UGA_PLUMBING SHOP</v>
      </c>
      <c r="C1956" t="s">
        <v>443</v>
      </c>
      <c r="D1956" s="180" t="s">
        <v>51</v>
      </c>
      <c r="E1956" t="s">
        <v>2346</v>
      </c>
      <c r="F1956" t="s">
        <v>2347</v>
      </c>
      <c r="G1956" s="180">
        <v>812</v>
      </c>
      <c r="H1956">
        <v>1953</v>
      </c>
      <c r="J1956" s="1334" t="s">
        <v>475</v>
      </c>
      <c r="K1956" s="1335" t="s">
        <v>481</v>
      </c>
      <c r="L1956" s="180">
        <v>0</v>
      </c>
      <c r="M1956" t="s">
        <v>4</v>
      </c>
      <c r="N1956" t="str">
        <f t="shared" si="122"/>
        <v>PLUMBING SHOP (6092)</v>
      </c>
      <c r="O1956" t="s">
        <v>52</v>
      </c>
      <c r="P1956" t="str">
        <f t="shared" si="123"/>
        <v>18000_6092</v>
      </c>
      <c r="Q1956" s="180">
        <v>0</v>
      </c>
    </row>
    <row r="1957" spans="1:17">
      <c r="A1957" t="str">
        <f t="shared" si="120"/>
        <v>UGA_6098</v>
      </c>
      <c r="B1957" t="str">
        <f t="shared" si="121"/>
        <v>UGA_MERIDIAN GARAGE</v>
      </c>
      <c r="C1957" t="s">
        <v>443</v>
      </c>
      <c r="D1957" s="180" t="s">
        <v>51</v>
      </c>
      <c r="E1957" t="s">
        <v>2865</v>
      </c>
      <c r="F1957" t="s">
        <v>2866</v>
      </c>
      <c r="G1957" s="180">
        <v>4843</v>
      </c>
      <c r="H1957">
        <v>1934</v>
      </c>
      <c r="J1957" s="1334" t="s">
        <v>475</v>
      </c>
      <c r="K1957" s="1335" t="s">
        <v>475</v>
      </c>
      <c r="L1957" s="180">
        <v>0</v>
      </c>
      <c r="M1957" t="s">
        <v>4</v>
      </c>
      <c r="N1957" t="str">
        <f t="shared" si="122"/>
        <v>MERIDIAN GARAGE (6098)</v>
      </c>
      <c r="O1957" t="s">
        <v>52</v>
      </c>
      <c r="P1957" t="str">
        <f t="shared" si="123"/>
        <v>18000_6098</v>
      </c>
      <c r="Q1957" s="180">
        <v>0</v>
      </c>
    </row>
    <row r="1958" spans="1:17">
      <c r="A1958" t="str">
        <f t="shared" si="120"/>
        <v>UGA_6101</v>
      </c>
      <c r="B1958" t="str">
        <f t="shared" si="121"/>
        <v>UGA_LAB HOOD BLDG</v>
      </c>
      <c r="C1958" t="s">
        <v>443</v>
      </c>
      <c r="D1958" s="180" t="s">
        <v>51</v>
      </c>
      <c r="E1958" t="s">
        <v>3954</v>
      </c>
      <c r="F1958" t="s">
        <v>3955</v>
      </c>
      <c r="G1958" s="180">
        <v>432</v>
      </c>
      <c r="H1958">
        <v>1994</v>
      </c>
      <c r="J1958" s="1334" t="s">
        <v>475</v>
      </c>
      <c r="K1958" s="1335" t="s">
        <v>475</v>
      </c>
      <c r="L1958" s="180">
        <v>0</v>
      </c>
      <c r="M1958" t="s">
        <v>4</v>
      </c>
      <c r="N1958" t="str">
        <f t="shared" si="122"/>
        <v>LAB HOOD BLDG (6101)</v>
      </c>
      <c r="O1958" t="s">
        <v>52</v>
      </c>
      <c r="P1958" t="str">
        <f t="shared" si="123"/>
        <v>18000_6101</v>
      </c>
      <c r="Q1958" s="180">
        <v>0</v>
      </c>
    </row>
    <row r="1959" spans="1:17">
      <c r="A1959" t="str">
        <f t="shared" si="120"/>
        <v>UGA_6102</v>
      </c>
      <c r="B1959" t="str">
        <f t="shared" si="121"/>
        <v>UGA_SAPELO TRAILER D</v>
      </c>
      <c r="C1959" t="s">
        <v>443</v>
      </c>
      <c r="D1959" s="180" t="s">
        <v>51</v>
      </c>
      <c r="E1959" t="s">
        <v>2316</v>
      </c>
      <c r="F1959" t="s">
        <v>2317</v>
      </c>
      <c r="G1959" s="180">
        <v>766</v>
      </c>
      <c r="H1959">
        <v>1996</v>
      </c>
      <c r="J1959" s="1334" t="s">
        <v>475</v>
      </c>
      <c r="K1959" s="1335" t="s">
        <v>475</v>
      </c>
      <c r="L1959" s="180">
        <v>0</v>
      </c>
      <c r="M1959" t="s">
        <v>4</v>
      </c>
      <c r="N1959" t="str">
        <f t="shared" si="122"/>
        <v>SAPELO TRAILER D (6102)</v>
      </c>
      <c r="O1959" t="s">
        <v>52</v>
      </c>
      <c r="P1959" t="str">
        <f t="shared" si="123"/>
        <v>18000_6102</v>
      </c>
      <c r="Q1959" s="180">
        <v>0</v>
      </c>
    </row>
    <row r="1960" spans="1:17">
      <c r="A1960" t="str">
        <f t="shared" si="120"/>
        <v>UGA_6103</v>
      </c>
      <c r="B1960" t="str">
        <f t="shared" si="121"/>
        <v>UGA_SAPELO TRAILER L</v>
      </c>
      <c r="C1960" t="s">
        <v>443</v>
      </c>
      <c r="D1960" s="180" t="s">
        <v>51</v>
      </c>
      <c r="E1960" t="s">
        <v>1555</v>
      </c>
      <c r="F1960" t="s">
        <v>1556</v>
      </c>
      <c r="G1960" s="180">
        <v>602</v>
      </c>
      <c r="H1960">
        <v>1996</v>
      </c>
      <c r="J1960" s="1334" t="s">
        <v>475</v>
      </c>
      <c r="K1960" s="1335" t="s">
        <v>475</v>
      </c>
      <c r="L1960" s="180">
        <v>0</v>
      </c>
      <c r="M1960" t="s">
        <v>4</v>
      </c>
      <c r="N1960" t="str">
        <f t="shared" si="122"/>
        <v>SAPELO TRAILER L (6103)</v>
      </c>
      <c r="O1960" t="s">
        <v>52</v>
      </c>
      <c r="P1960" t="str">
        <f t="shared" si="123"/>
        <v>18000_6103</v>
      </c>
      <c r="Q1960" s="180">
        <v>0</v>
      </c>
    </row>
    <row r="1961" spans="1:17">
      <c r="A1961" t="str">
        <f t="shared" si="120"/>
        <v>UGA_6104</v>
      </c>
      <c r="B1961" t="str">
        <f t="shared" si="121"/>
        <v>UGA_B.I.R.L.&amp;CNTR (RH)</v>
      </c>
      <c r="C1961" t="s">
        <v>443</v>
      </c>
      <c r="D1961" s="180" t="s">
        <v>51</v>
      </c>
      <c r="E1961" t="s">
        <v>3877</v>
      </c>
      <c r="F1961" t="s">
        <v>3878</v>
      </c>
      <c r="G1961" s="180">
        <v>6550</v>
      </c>
      <c r="H1961">
        <v>2005</v>
      </c>
      <c r="J1961" s="1334" t="s">
        <v>475</v>
      </c>
      <c r="K1961" s="1335" t="s">
        <v>901</v>
      </c>
      <c r="L1961" s="180">
        <v>0</v>
      </c>
      <c r="M1961" t="s">
        <v>4</v>
      </c>
      <c r="N1961" t="str">
        <f t="shared" si="122"/>
        <v>B.I.R.L.&amp;CNTR (RH) (6104)</v>
      </c>
      <c r="O1961" t="s">
        <v>52</v>
      </c>
      <c r="P1961" t="str">
        <f t="shared" si="123"/>
        <v>18000_6104</v>
      </c>
      <c r="Q1961" s="180">
        <v>0</v>
      </c>
    </row>
    <row r="1962" spans="1:17">
      <c r="A1962" t="str">
        <f t="shared" si="120"/>
        <v>UGA_6105</v>
      </c>
      <c r="B1962" t="str">
        <f t="shared" si="121"/>
        <v>UGA_SAPELO TRAILER F</v>
      </c>
      <c r="C1962" t="s">
        <v>443</v>
      </c>
      <c r="D1962" s="180" t="s">
        <v>51</v>
      </c>
      <c r="E1962" t="s">
        <v>2060</v>
      </c>
      <c r="F1962" t="s">
        <v>2061</v>
      </c>
      <c r="G1962" s="180">
        <v>705</v>
      </c>
      <c r="H1962">
        <v>1997</v>
      </c>
      <c r="J1962" s="1334" t="s">
        <v>475</v>
      </c>
      <c r="K1962" s="1335" t="s">
        <v>475</v>
      </c>
      <c r="L1962" s="180">
        <v>0</v>
      </c>
      <c r="M1962" t="s">
        <v>4</v>
      </c>
      <c r="N1962" t="str">
        <f t="shared" si="122"/>
        <v>SAPELO TRAILER F (6105)</v>
      </c>
      <c r="O1962" t="s">
        <v>52</v>
      </c>
      <c r="P1962" t="str">
        <f t="shared" si="123"/>
        <v>18000_6105</v>
      </c>
      <c r="Q1962" s="180">
        <v>0</v>
      </c>
    </row>
    <row r="1963" spans="1:17">
      <c r="A1963" t="str">
        <f t="shared" si="120"/>
        <v>UGA_6106</v>
      </c>
      <c r="B1963" t="str">
        <f t="shared" si="121"/>
        <v>UGA_SAPELO TRAILER KM</v>
      </c>
      <c r="C1963" t="s">
        <v>443</v>
      </c>
      <c r="D1963" s="180" t="s">
        <v>51</v>
      </c>
      <c r="E1963" t="s">
        <v>2867</v>
      </c>
      <c r="F1963" t="s">
        <v>2868</v>
      </c>
      <c r="G1963" s="180">
        <v>705</v>
      </c>
      <c r="H1963">
        <v>1997</v>
      </c>
      <c r="J1963" s="1334" t="s">
        <v>475</v>
      </c>
      <c r="K1963" s="1335" t="s">
        <v>475</v>
      </c>
      <c r="L1963" s="180">
        <v>0</v>
      </c>
      <c r="M1963" t="s">
        <v>4</v>
      </c>
      <c r="N1963" t="str">
        <f t="shared" si="122"/>
        <v>SAPELO TRAILER KM (6106)</v>
      </c>
      <c r="O1963" t="s">
        <v>52</v>
      </c>
      <c r="P1963" t="str">
        <f t="shared" si="123"/>
        <v>18000_6106</v>
      </c>
      <c r="Q1963" s="180">
        <v>0</v>
      </c>
    </row>
    <row r="1964" spans="1:17">
      <c r="A1964" t="str">
        <f t="shared" si="120"/>
        <v>UGA_6107</v>
      </c>
      <c r="B1964" t="str">
        <f t="shared" si="121"/>
        <v>UGA_SAPELO TRAILER T</v>
      </c>
      <c r="C1964" t="s">
        <v>443</v>
      </c>
      <c r="D1964" s="180" t="s">
        <v>51</v>
      </c>
      <c r="E1964" t="s">
        <v>1804</v>
      </c>
      <c r="F1964" t="s">
        <v>1805</v>
      </c>
      <c r="G1964" s="180">
        <v>705</v>
      </c>
      <c r="H1964">
        <v>1997</v>
      </c>
      <c r="J1964" s="1334" t="s">
        <v>475</v>
      </c>
      <c r="K1964" s="1335" t="s">
        <v>475</v>
      </c>
      <c r="L1964" s="180">
        <v>0</v>
      </c>
      <c r="M1964" t="s">
        <v>4</v>
      </c>
      <c r="N1964" t="str">
        <f t="shared" si="122"/>
        <v>SAPELO TRAILER T (6107)</v>
      </c>
      <c r="O1964" t="s">
        <v>52</v>
      </c>
      <c r="P1964" t="str">
        <f t="shared" si="123"/>
        <v>18000_6107</v>
      </c>
      <c r="Q1964" s="180">
        <v>0</v>
      </c>
    </row>
    <row r="1965" spans="1:17">
      <c r="A1965" t="str">
        <f t="shared" si="120"/>
        <v>UGA_6108</v>
      </c>
      <c r="B1965" t="str">
        <f t="shared" si="121"/>
        <v>UGA_SAPELO TRAILER U</v>
      </c>
      <c r="C1965" t="s">
        <v>443</v>
      </c>
      <c r="D1965" s="180" t="s">
        <v>51</v>
      </c>
      <c r="E1965" t="s">
        <v>1429</v>
      </c>
      <c r="F1965" t="s">
        <v>1430</v>
      </c>
      <c r="G1965" s="180">
        <v>705</v>
      </c>
      <c r="H1965">
        <v>1997</v>
      </c>
      <c r="J1965" s="1334" t="s">
        <v>475</v>
      </c>
      <c r="K1965" s="1335" t="s">
        <v>475</v>
      </c>
      <c r="L1965" s="180">
        <v>0</v>
      </c>
      <c r="M1965" t="s">
        <v>4</v>
      </c>
      <c r="N1965" t="str">
        <f t="shared" si="122"/>
        <v>SAPELO TRAILER U (6108)</v>
      </c>
      <c r="O1965" t="s">
        <v>52</v>
      </c>
      <c r="P1965" t="str">
        <f t="shared" si="123"/>
        <v>18000_6108</v>
      </c>
      <c r="Q1965" s="180">
        <v>100</v>
      </c>
    </row>
    <row r="1966" spans="1:17">
      <c r="A1966" t="str">
        <f t="shared" si="120"/>
        <v>UGA_6109</v>
      </c>
      <c r="B1966" t="str">
        <f t="shared" si="121"/>
        <v>UGA_SAPELO TRAILER V</v>
      </c>
      <c r="C1966" t="s">
        <v>443</v>
      </c>
      <c r="D1966" s="180" t="s">
        <v>51</v>
      </c>
      <c r="E1966" t="s">
        <v>2744</v>
      </c>
      <c r="F1966" t="s">
        <v>2745</v>
      </c>
      <c r="G1966" s="180">
        <v>705</v>
      </c>
      <c r="H1966">
        <v>1997</v>
      </c>
      <c r="J1966" s="1334" t="s">
        <v>475</v>
      </c>
      <c r="K1966" s="1335" t="s">
        <v>475</v>
      </c>
      <c r="L1966" s="180">
        <v>0</v>
      </c>
      <c r="M1966" t="s">
        <v>4</v>
      </c>
      <c r="N1966" t="str">
        <f t="shared" si="122"/>
        <v>SAPELO TRAILER V (6109)</v>
      </c>
      <c r="O1966" t="s">
        <v>52</v>
      </c>
      <c r="P1966" t="str">
        <f t="shared" si="123"/>
        <v>18000_6109</v>
      </c>
      <c r="Q1966" s="180">
        <v>100</v>
      </c>
    </row>
    <row r="1967" spans="1:17">
      <c r="A1967" t="str">
        <f t="shared" si="120"/>
        <v>UGA_6110</v>
      </c>
      <c r="B1967" t="str">
        <f t="shared" si="121"/>
        <v>UGA_BSL-3 MOD LAB BL</v>
      </c>
      <c r="C1967" t="s">
        <v>443</v>
      </c>
      <c r="D1967" s="180" t="s">
        <v>51</v>
      </c>
      <c r="E1967" t="s">
        <v>3198</v>
      </c>
      <c r="F1967" t="s">
        <v>3199</v>
      </c>
      <c r="G1967" s="180">
        <v>784</v>
      </c>
      <c r="H1967">
        <v>2013</v>
      </c>
      <c r="J1967" s="1334" t="s">
        <v>475</v>
      </c>
      <c r="K1967" s="1335" t="s">
        <v>475</v>
      </c>
      <c r="L1967" s="180">
        <v>0</v>
      </c>
      <c r="M1967" t="s">
        <v>4</v>
      </c>
      <c r="N1967" t="str">
        <f t="shared" si="122"/>
        <v>BSL-3 MOD LAB BL (6110)</v>
      </c>
      <c r="O1967" t="s">
        <v>52</v>
      </c>
      <c r="P1967" t="str">
        <f t="shared" si="123"/>
        <v>18000_6110</v>
      </c>
      <c r="Q1967" s="180">
        <v>100</v>
      </c>
    </row>
    <row r="1968" spans="1:17">
      <c r="A1968" t="str">
        <f t="shared" si="120"/>
        <v>UGA_6301</v>
      </c>
      <c r="B1968" t="str">
        <f t="shared" si="121"/>
        <v>UGA_SREL-MAIN LAB, DOE</v>
      </c>
      <c r="C1968" t="s">
        <v>443</v>
      </c>
      <c r="D1968" s="180" t="s">
        <v>51</v>
      </c>
      <c r="E1968" t="s">
        <v>3120</v>
      </c>
      <c r="F1968" t="s">
        <v>3121</v>
      </c>
      <c r="G1968" s="180">
        <v>41965</v>
      </c>
      <c r="H1968">
        <v>1977</v>
      </c>
      <c r="J1968" s="1334" t="s">
        <v>475</v>
      </c>
      <c r="K1968" s="1335" t="s">
        <v>475</v>
      </c>
      <c r="L1968" s="180">
        <v>100</v>
      </c>
      <c r="M1968" t="s">
        <v>4</v>
      </c>
      <c r="N1968" t="str">
        <f t="shared" si="122"/>
        <v>SREL-MAIN LAB, DOE (6301)</v>
      </c>
      <c r="O1968" t="s">
        <v>52</v>
      </c>
      <c r="P1968" t="str">
        <f t="shared" si="123"/>
        <v>18000_6301</v>
      </c>
      <c r="Q1968" s="180">
        <v>100</v>
      </c>
    </row>
    <row r="1969" spans="1:17">
      <c r="A1969" t="str">
        <f t="shared" si="120"/>
        <v>UGA_6302</v>
      </c>
      <c r="B1969" t="str">
        <f t="shared" si="121"/>
        <v>UGA_ANIMAL HOLD FAC</v>
      </c>
      <c r="C1969" t="s">
        <v>443</v>
      </c>
      <c r="D1969" s="180" t="s">
        <v>51</v>
      </c>
      <c r="E1969" t="s">
        <v>4261</v>
      </c>
      <c r="F1969" t="s">
        <v>4262</v>
      </c>
      <c r="G1969" s="180">
        <v>2703</v>
      </c>
      <c r="H1969">
        <v>1979</v>
      </c>
      <c r="J1969" s="1334" t="s">
        <v>475</v>
      </c>
      <c r="K1969" s="1335" t="s">
        <v>475</v>
      </c>
      <c r="L1969" s="180">
        <v>100</v>
      </c>
      <c r="M1969" t="s">
        <v>4</v>
      </c>
      <c r="N1969" t="str">
        <f t="shared" si="122"/>
        <v>ANIMAL HOLD FAC (6302)</v>
      </c>
      <c r="O1969" t="s">
        <v>52</v>
      </c>
      <c r="P1969" t="str">
        <f t="shared" si="123"/>
        <v>18000_6302</v>
      </c>
      <c r="Q1969" s="180">
        <v>100</v>
      </c>
    </row>
    <row r="1970" spans="1:17">
      <c r="A1970" t="str">
        <f t="shared" si="120"/>
        <v>UGA_6303</v>
      </c>
      <c r="B1970" t="str">
        <f t="shared" si="121"/>
        <v>UGA_GREENHOUSE COMPLEX</v>
      </c>
      <c r="C1970" t="s">
        <v>443</v>
      </c>
      <c r="D1970" s="180" t="s">
        <v>51</v>
      </c>
      <c r="E1970" t="s">
        <v>3570</v>
      </c>
      <c r="F1970" t="s">
        <v>3571</v>
      </c>
      <c r="G1970" s="180">
        <v>4915</v>
      </c>
      <c r="H1970">
        <v>1977</v>
      </c>
      <c r="J1970" s="1334" t="s">
        <v>475</v>
      </c>
      <c r="K1970" s="1335" t="s">
        <v>475</v>
      </c>
      <c r="L1970" s="180">
        <v>100</v>
      </c>
      <c r="M1970" t="s">
        <v>4</v>
      </c>
      <c r="N1970" t="str">
        <f t="shared" si="122"/>
        <v>GREENHOUSE COMPLEX (6303)</v>
      </c>
      <c r="O1970" t="s">
        <v>52</v>
      </c>
      <c r="P1970" t="str">
        <f t="shared" si="123"/>
        <v>18000_6303</v>
      </c>
      <c r="Q1970" s="180">
        <v>100</v>
      </c>
    </row>
    <row r="1971" spans="1:17">
      <c r="A1971" t="str">
        <f t="shared" si="120"/>
        <v>UGA_6304</v>
      </c>
      <c r="B1971" t="str">
        <f t="shared" si="121"/>
        <v>UGA_MAINT SHOP OFFICE</v>
      </c>
      <c r="C1971" t="s">
        <v>443</v>
      </c>
      <c r="D1971" s="180" t="s">
        <v>51</v>
      </c>
      <c r="E1971" t="s">
        <v>1974</v>
      </c>
      <c r="F1971" t="s">
        <v>1975</v>
      </c>
      <c r="G1971" s="180">
        <v>2400</v>
      </c>
      <c r="H1971">
        <v>1978</v>
      </c>
      <c r="J1971" s="1334" t="s">
        <v>475</v>
      </c>
      <c r="K1971" s="1335" t="s">
        <v>475</v>
      </c>
      <c r="L1971" s="180">
        <v>100</v>
      </c>
      <c r="M1971" t="s">
        <v>4</v>
      </c>
      <c r="N1971" t="str">
        <f t="shared" si="122"/>
        <v>MAINT SHOP OFFICE (6304)</v>
      </c>
      <c r="O1971" t="s">
        <v>52</v>
      </c>
      <c r="P1971" t="str">
        <f t="shared" si="123"/>
        <v>18000_6304</v>
      </c>
      <c r="Q1971" s="180">
        <v>100</v>
      </c>
    </row>
    <row r="1972" spans="1:17">
      <c r="A1972" t="str">
        <f t="shared" si="120"/>
        <v>UGA_6305</v>
      </c>
      <c r="B1972" t="str">
        <f t="shared" si="121"/>
        <v>UGA_WATERFOWL BROODER</v>
      </c>
      <c r="C1972" t="s">
        <v>443</v>
      </c>
      <c r="D1972" s="180" t="s">
        <v>51</v>
      </c>
      <c r="E1972" t="s">
        <v>1847</v>
      </c>
      <c r="F1972" t="s">
        <v>1848</v>
      </c>
      <c r="G1972" s="180">
        <v>1584</v>
      </c>
      <c r="H1972">
        <v>1981</v>
      </c>
      <c r="J1972" s="1334" t="s">
        <v>475</v>
      </c>
      <c r="K1972" s="1335" t="s">
        <v>475</v>
      </c>
      <c r="L1972" s="180">
        <v>100</v>
      </c>
      <c r="M1972" t="s">
        <v>4</v>
      </c>
      <c r="N1972" t="str">
        <f t="shared" si="122"/>
        <v>WATERFOWL BROODER (6305)</v>
      </c>
      <c r="O1972" t="s">
        <v>52</v>
      </c>
      <c r="P1972" t="str">
        <f t="shared" si="123"/>
        <v>18000_6305</v>
      </c>
      <c r="Q1972" s="180">
        <v>100</v>
      </c>
    </row>
    <row r="1973" spans="1:17">
      <c r="A1973" t="str">
        <f t="shared" si="120"/>
        <v>UGA_6306</v>
      </c>
      <c r="B1973" t="str">
        <f t="shared" si="121"/>
        <v>UGA_BREED PEN 1</v>
      </c>
      <c r="C1973" t="s">
        <v>443</v>
      </c>
      <c r="D1973" s="180" t="s">
        <v>51</v>
      </c>
      <c r="E1973" t="s">
        <v>2660</v>
      </c>
      <c r="F1973" t="s">
        <v>2661</v>
      </c>
      <c r="G1973" s="180">
        <v>1590</v>
      </c>
      <c r="H1973">
        <v>1981</v>
      </c>
      <c r="J1973" s="1334" t="s">
        <v>475</v>
      </c>
      <c r="K1973" s="1335" t="s">
        <v>475</v>
      </c>
      <c r="L1973" s="180">
        <v>100</v>
      </c>
      <c r="M1973" t="s">
        <v>4</v>
      </c>
      <c r="N1973" t="str">
        <f t="shared" si="122"/>
        <v>BREED PEN 1 (6306)</v>
      </c>
      <c r="O1973" t="s">
        <v>52</v>
      </c>
      <c r="P1973" t="str">
        <f t="shared" si="123"/>
        <v>18000_6306</v>
      </c>
      <c r="Q1973" s="180">
        <v>100</v>
      </c>
    </row>
    <row r="1974" spans="1:17">
      <c r="A1974" t="str">
        <f t="shared" si="120"/>
        <v>UGA_6307</v>
      </c>
      <c r="B1974" t="str">
        <f t="shared" si="121"/>
        <v>UGA_BREED PEN 2</v>
      </c>
      <c r="C1974" t="s">
        <v>443</v>
      </c>
      <c r="D1974" s="180" t="s">
        <v>51</v>
      </c>
      <c r="E1974" t="s">
        <v>3045</v>
      </c>
      <c r="F1974" t="s">
        <v>3046</v>
      </c>
      <c r="G1974" s="180">
        <v>1590</v>
      </c>
      <c r="H1974">
        <v>1981</v>
      </c>
      <c r="J1974" s="1334" t="s">
        <v>475</v>
      </c>
      <c r="K1974" s="1335" t="s">
        <v>475</v>
      </c>
      <c r="L1974" s="180">
        <v>100</v>
      </c>
      <c r="M1974" t="s">
        <v>4</v>
      </c>
      <c r="N1974" t="str">
        <f t="shared" si="122"/>
        <v>BREED PEN 2 (6307)</v>
      </c>
      <c r="O1974" t="s">
        <v>52</v>
      </c>
      <c r="P1974" t="str">
        <f t="shared" si="123"/>
        <v>18000_6307</v>
      </c>
      <c r="Q1974" s="180">
        <v>100</v>
      </c>
    </row>
    <row r="1975" spans="1:17">
      <c r="A1975" t="str">
        <f t="shared" si="120"/>
        <v>UGA_6308</v>
      </c>
      <c r="B1975" t="str">
        <f t="shared" si="121"/>
        <v>UGA_BREED PEN 3</v>
      </c>
      <c r="C1975" t="s">
        <v>443</v>
      </c>
      <c r="D1975" s="180" t="s">
        <v>51</v>
      </c>
      <c r="E1975" t="s">
        <v>2185</v>
      </c>
      <c r="F1975" t="s">
        <v>2186</v>
      </c>
      <c r="G1975" s="180">
        <v>1590</v>
      </c>
      <c r="H1975">
        <v>1981</v>
      </c>
      <c r="J1975" s="1334" t="s">
        <v>475</v>
      </c>
      <c r="K1975" s="1335" t="s">
        <v>475</v>
      </c>
      <c r="L1975" s="180">
        <v>100</v>
      </c>
      <c r="M1975" t="s">
        <v>4</v>
      </c>
      <c r="N1975" t="str">
        <f t="shared" si="122"/>
        <v>BREED PEN 3 (6308)</v>
      </c>
      <c r="O1975" t="s">
        <v>52</v>
      </c>
      <c r="P1975" t="str">
        <f t="shared" si="123"/>
        <v>18000_6308</v>
      </c>
      <c r="Q1975" s="180">
        <v>100</v>
      </c>
    </row>
    <row r="1976" spans="1:17">
      <c r="A1976" t="str">
        <f t="shared" si="120"/>
        <v>UGA_6309</v>
      </c>
      <c r="B1976" t="str">
        <f t="shared" si="121"/>
        <v>UGA_BREED PEN 4</v>
      </c>
      <c r="C1976" t="s">
        <v>443</v>
      </c>
      <c r="D1976" s="180" t="s">
        <v>51</v>
      </c>
      <c r="E1976" t="s">
        <v>3248</v>
      </c>
      <c r="F1976" t="s">
        <v>3249</v>
      </c>
      <c r="G1976" s="180">
        <v>1590</v>
      </c>
      <c r="H1976">
        <v>1981</v>
      </c>
      <c r="J1976" s="1334" t="s">
        <v>475</v>
      </c>
      <c r="K1976" s="1335" t="s">
        <v>475</v>
      </c>
      <c r="L1976" s="180">
        <v>100</v>
      </c>
      <c r="M1976" t="s">
        <v>4</v>
      </c>
      <c r="N1976" t="str">
        <f t="shared" si="122"/>
        <v>BREED PEN 4 (6309)</v>
      </c>
      <c r="O1976" t="s">
        <v>52</v>
      </c>
      <c r="P1976" t="str">
        <f t="shared" si="123"/>
        <v>18000_6309</v>
      </c>
      <c r="Q1976" s="180">
        <v>100</v>
      </c>
    </row>
    <row r="1977" spans="1:17">
      <c r="A1977" t="str">
        <f t="shared" si="120"/>
        <v>UGA_6310</v>
      </c>
      <c r="B1977" t="str">
        <f t="shared" si="121"/>
        <v>UGA_GREENHOUSE 3</v>
      </c>
      <c r="C1977" t="s">
        <v>443</v>
      </c>
      <c r="D1977" s="180" t="s">
        <v>51</v>
      </c>
      <c r="E1977" t="s">
        <v>2391</v>
      </c>
      <c r="F1977" t="s">
        <v>2392</v>
      </c>
      <c r="G1977" s="180">
        <v>738</v>
      </c>
      <c r="H1977">
        <v>1982</v>
      </c>
      <c r="J1977" s="1334" t="s">
        <v>475</v>
      </c>
      <c r="K1977" s="1335" t="s">
        <v>475</v>
      </c>
      <c r="L1977" s="180">
        <v>100</v>
      </c>
      <c r="M1977" t="s">
        <v>4</v>
      </c>
      <c r="N1977" t="str">
        <f t="shared" si="122"/>
        <v>GREENHOUSE 3 (6310)</v>
      </c>
      <c r="O1977" t="s">
        <v>52</v>
      </c>
      <c r="P1977" t="str">
        <f t="shared" si="123"/>
        <v>18000_6310</v>
      </c>
      <c r="Q1977" s="180">
        <v>100</v>
      </c>
    </row>
    <row r="1978" spans="1:17">
      <c r="A1978" t="str">
        <f t="shared" si="120"/>
        <v>UGA_6311</v>
      </c>
      <c r="B1978" t="str">
        <f t="shared" si="121"/>
        <v>UGA_RHIZOTRON BLDG</v>
      </c>
      <c r="C1978" t="s">
        <v>443</v>
      </c>
      <c r="D1978" s="180" t="s">
        <v>51</v>
      </c>
      <c r="E1978" t="s">
        <v>2246</v>
      </c>
      <c r="F1978" t="s">
        <v>2247</v>
      </c>
      <c r="G1978" s="180">
        <v>4293</v>
      </c>
      <c r="H1978">
        <v>1982</v>
      </c>
      <c r="J1978" s="1334" t="s">
        <v>475</v>
      </c>
      <c r="K1978" s="1335" t="s">
        <v>475</v>
      </c>
      <c r="L1978" s="180">
        <v>100</v>
      </c>
      <c r="M1978" t="s">
        <v>4</v>
      </c>
      <c r="N1978" t="str">
        <f t="shared" si="122"/>
        <v>RHIZOTRON BLDG (6311)</v>
      </c>
      <c r="O1978" t="s">
        <v>52</v>
      </c>
      <c r="P1978" t="str">
        <f t="shared" si="123"/>
        <v>18000_6311</v>
      </c>
      <c r="Q1978" s="180">
        <v>100</v>
      </c>
    </row>
    <row r="1979" spans="1:17">
      <c r="A1979" t="str">
        <f t="shared" si="120"/>
        <v>UGA_6312</v>
      </c>
      <c r="B1979" t="str">
        <f t="shared" si="121"/>
        <v>UGA_STORAGE BLDG</v>
      </c>
      <c r="C1979" t="s">
        <v>443</v>
      </c>
      <c r="D1979" s="180" t="s">
        <v>51</v>
      </c>
      <c r="E1979" t="s">
        <v>2732</v>
      </c>
      <c r="F1979" t="s">
        <v>2315</v>
      </c>
      <c r="G1979" s="180">
        <v>2400</v>
      </c>
      <c r="H1979">
        <v>1978</v>
      </c>
      <c r="J1979" s="1334" t="s">
        <v>475</v>
      </c>
      <c r="K1979" s="1335" t="s">
        <v>475</v>
      </c>
      <c r="L1979" s="180">
        <v>100</v>
      </c>
      <c r="M1979" t="s">
        <v>4</v>
      </c>
      <c r="N1979" t="str">
        <f t="shared" si="122"/>
        <v>STORAGE BLDG (6312)</v>
      </c>
      <c r="O1979" t="s">
        <v>52</v>
      </c>
      <c r="P1979" t="str">
        <f t="shared" si="123"/>
        <v>18000_6312</v>
      </c>
      <c r="Q1979" s="180">
        <v>100</v>
      </c>
    </row>
    <row r="1980" spans="1:17">
      <c r="A1980" t="str">
        <f t="shared" si="120"/>
        <v>UGA_6313</v>
      </c>
      <c r="B1980" t="str">
        <f t="shared" si="121"/>
        <v>UGA_BOAT SHED</v>
      </c>
      <c r="C1980" t="s">
        <v>443</v>
      </c>
      <c r="D1980" s="180" t="s">
        <v>51</v>
      </c>
      <c r="E1980" t="s">
        <v>3688</v>
      </c>
      <c r="F1980" t="s">
        <v>3689</v>
      </c>
      <c r="G1980" s="180">
        <v>3968</v>
      </c>
      <c r="H1980">
        <v>1980</v>
      </c>
      <c r="J1980" s="1334" t="s">
        <v>475</v>
      </c>
      <c r="K1980" s="1335" t="s">
        <v>475</v>
      </c>
      <c r="L1980" s="180">
        <v>100</v>
      </c>
      <c r="M1980" t="s">
        <v>4</v>
      </c>
      <c r="N1980" t="str">
        <f t="shared" si="122"/>
        <v>BOAT SHED (6313)</v>
      </c>
      <c r="O1980" t="s">
        <v>52</v>
      </c>
      <c r="P1980" t="str">
        <f t="shared" si="123"/>
        <v>18000_6313</v>
      </c>
      <c r="Q1980" s="180">
        <v>100</v>
      </c>
    </row>
    <row r="1981" spans="1:17">
      <c r="A1981" t="str">
        <f t="shared" si="120"/>
        <v>UGA_6314</v>
      </c>
      <c r="B1981" t="str">
        <f t="shared" si="121"/>
        <v>UGA_SREL BUS ANNEX</v>
      </c>
      <c r="C1981" t="s">
        <v>443</v>
      </c>
      <c r="D1981" s="180" t="s">
        <v>51</v>
      </c>
      <c r="E1981" t="s">
        <v>3138</v>
      </c>
      <c r="F1981" t="s">
        <v>3139</v>
      </c>
      <c r="G1981" s="180">
        <v>2928</v>
      </c>
      <c r="H1981">
        <v>1990</v>
      </c>
      <c r="J1981" s="1334" t="s">
        <v>475</v>
      </c>
      <c r="K1981" s="1335" t="s">
        <v>475</v>
      </c>
      <c r="L1981" s="180">
        <v>100</v>
      </c>
      <c r="M1981" t="s">
        <v>4</v>
      </c>
      <c r="N1981" t="str">
        <f t="shared" si="122"/>
        <v>SREL BUS ANNEX (6314)</v>
      </c>
      <c r="O1981" t="s">
        <v>52</v>
      </c>
      <c r="P1981" t="str">
        <f t="shared" si="123"/>
        <v>18000_6314</v>
      </c>
      <c r="Q1981" s="180">
        <v>0</v>
      </c>
    </row>
    <row r="1982" spans="1:17">
      <c r="A1982" t="str">
        <f t="shared" si="120"/>
        <v>UGA_6315</v>
      </c>
      <c r="B1982" t="str">
        <f t="shared" si="121"/>
        <v>UGA_PAVILION</v>
      </c>
      <c r="C1982" t="s">
        <v>443</v>
      </c>
      <c r="D1982" s="180" t="s">
        <v>51</v>
      </c>
      <c r="E1982" t="s">
        <v>2483</v>
      </c>
      <c r="F1982" t="s">
        <v>1511</v>
      </c>
      <c r="G1982" s="180">
        <v>1320</v>
      </c>
      <c r="H1982">
        <v>1990</v>
      </c>
      <c r="J1982" s="1334" t="s">
        <v>475</v>
      </c>
      <c r="K1982" s="1335" t="s">
        <v>475</v>
      </c>
      <c r="L1982" s="180">
        <v>100</v>
      </c>
      <c r="M1982" t="s">
        <v>4</v>
      </c>
      <c r="N1982" t="str">
        <f t="shared" si="122"/>
        <v>PAVILION (6315)</v>
      </c>
      <c r="O1982" t="s">
        <v>52</v>
      </c>
      <c r="P1982" t="str">
        <f t="shared" si="123"/>
        <v>18000_6315</v>
      </c>
      <c r="Q1982" s="180">
        <v>0</v>
      </c>
    </row>
    <row r="1983" spans="1:17">
      <c r="A1983" t="str">
        <f t="shared" si="120"/>
        <v>UGA_6316</v>
      </c>
      <c r="B1983" t="str">
        <f t="shared" si="121"/>
        <v>UGA_PUMP TANK HSE</v>
      </c>
      <c r="C1983" t="s">
        <v>443</v>
      </c>
      <c r="D1983" s="180" t="s">
        <v>51</v>
      </c>
      <c r="E1983" t="s">
        <v>3140</v>
      </c>
      <c r="F1983" t="s">
        <v>3141</v>
      </c>
      <c r="G1983" s="180">
        <v>196</v>
      </c>
      <c r="H1983">
        <v>1980</v>
      </c>
      <c r="J1983" s="1334" t="s">
        <v>475</v>
      </c>
      <c r="K1983" s="1335" t="s">
        <v>475</v>
      </c>
      <c r="L1983" s="180">
        <v>100</v>
      </c>
      <c r="M1983" t="s">
        <v>4</v>
      </c>
      <c r="N1983" t="str">
        <f t="shared" si="122"/>
        <v>PUMP TANK HSE (6316)</v>
      </c>
      <c r="O1983" t="s">
        <v>52</v>
      </c>
      <c r="P1983" t="str">
        <f t="shared" si="123"/>
        <v>18000_6316</v>
      </c>
      <c r="Q1983" s="180">
        <v>0</v>
      </c>
    </row>
    <row r="1984" spans="1:17">
      <c r="A1984" t="str">
        <f t="shared" si="120"/>
        <v>UGA_6317</v>
      </c>
      <c r="B1984" t="str">
        <f t="shared" si="121"/>
        <v>UGA_CHEMICAL STG FAC</v>
      </c>
      <c r="C1984" t="s">
        <v>443</v>
      </c>
      <c r="D1984" s="180" t="s">
        <v>51</v>
      </c>
      <c r="E1984" t="s">
        <v>3771</v>
      </c>
      <c r="F1984" t="s">
        <v>3772</v>
      </c>
      <c r="G1984" s="180">
        <v>264</v>
      </c>
      <c r="H1984">
        <v>1992</v>
      </c>
      <c r="J1984" s="1334" t="s">
        <v>475</v>
      </c>
      <c r="K1984" s="1335" t="s">
        <v>475</v>
      </c>
      <c r="L1984" s="180">
        <v>100</v>
      </c>
      <c r="M1984" t="s">
        <v>4</v>
      </c>
      <c r="N1984" t="str">
        <f t="shared" si="122"/>
        <v>CHEMICAL STG FAC (6317)</v>
      </c>
      <c r="O1984" t="s">
        <v>52</v>
      </c>
      <c r="P1984" t="str">
        <f t="shared" si="123"/>
        <v>18000_6317</v>
      </c>
      <c r="Q1984" s="180">
        <v>100</v>
      </c>
    </row>
    <row r="1985" spans="1:17">
      <c r="A1985" t="str">
        <f t="shared" si="120"/>
        <v>UGA_6318</v>
      </c>
      <c r="B1985" t="str">
        <f t="shared" si="121"/>
        <v>UGA_CUSTODIAL BLDG</v>
      </c>
      <c r="C1985" t="s">
        <v>443</v>
      </c>
      <c r="D1985" s="180" t="s">
        <v>51</v>
      </c>
      <c r="E1985" t="s">
        <v>3956</v>
      </c>
      <c r="F1985" t="s">
        <v>3957</v>
      </c>
      <c r="G1985" s="180">
        <v>768</v>
      </c>
      <c r="H1985">
        <v>1990</v>
      </c>
      <c r="J1985" s="1334" t="s">
        <v>475</v>
      </c>
      <c r="K1985" s="1335" t="s">
        <v>475</v>
      </c>
      <c r="L1985" s="180">
        <v>100</v>
      </c>
      <c r="M1985" t="s">
        <v>4</v>
      </c>
      <c r="N1985" t="str">
        <f t="shared" si="122"/>
        <v>CUSTODIAL BLDG (6318)</v>
      </c>
      <c r="O1985" t="s">
        <v>52</v>
      </c>
      <c r="P1985" t="str">
        <f t="shared" si="123"/>
        <v>18000_6318</v>
      </c>
      <c r="Q1985" s="180">
        <v>100</v>
      </c>
    </row>
    <row r="1986" spans="1:17">
      <c r="A1986" t="str">
        <f t="shared" si="120"/>
        <v>UGA_6319</v>
      </c>
      <c r="B1986" t="str">
        <f t="shared" si="121"/>
        <v>UGA_ELEC SHOP</v>
      </c>
      <c r="C1986" t="s">
        <v>443</v>
      </c>
      <c r="D1986" s="180" t="s">
        <v>51</v>
      </c>
      <c r="E1986" t="s">
        <v>4215</v>
      </c>
      <c r="F1986" t="s">
        <v>4216</v>
      </c>
      <c r="G1986" s="180">
        <v>288</v>
      </c>
      <c r="H1986">
        <v>1990</v>
      </c>
      <c r="J1986" s="1334" t="s">
        <v>475</v>
      </c>
      <c r="K1986" s="1335" t="s">
        <v>475</v>
      </c>
      <c r="L1986" s="180">
        <v>100</v>
      </c>
      <c r="M1986" t="s">
        <v>4</v>
      </c>
      <c r="N1986" t="str">
        <f t="shared" si="122"/>
        <v>ELEC SHOP (6319)</v>
      </c>
      <c r="O1986" t="s">
        <v>52</v>
      </c>
      <c r="P1986" t="str">
        <f t="shared" si="123"/>
        <v>18000_6319</v>
      </c>
      <c r="Q1986" s="180">
        <v>0</v>
      </c>
    </row>
    <row r="1987" spans="1:17">
      <c r="A1987" t="str">
        <f t="shared" ref="A1987:A2050" si="124">_xlfn.CONCAT(D1987,"_",E1987)</f>
        <v>UGA_6320</v>
      </c>
      <c r="B1987" t="str">
        <f t="shared" ref="B1987:B2050" si="125">_xlfn.CONCAT(D1987,"_",F1987)</f>
        <v>UGA_WOODWORK SHOP STG</v>
      </c>
      <c r="C1987" t="s">
        <v>443</v>
      </c>
      <c r="D1987" s="180" t="s">
        <v>51</v>
      </c>
      <c r="E1987" t="s">
        <v>1573</v>
      </c>
      <c r="F1987" t="s">
        <v>1574</v>
      </c>
      <c r="G1987" s="180">
        <v>240</v>
      </c>
      <c r="H1987">
        <v>1990</v>
      </c>
      <c r="J1987" s="1334" t="s">
        <v>475</v>
      </c>
      <c r="K1987" s="1335" t="s">
        <v>475</v>
      </c>
      <c r="L1987" s="180">
        <v>100</v>
      </c>
      <c r="M1987" t="s">
        <v>4</v>
      </c>
      <c r="N1987" t="str">
        <f t="shared" ref="N1987:N2050" si="126">_xlfn.CONCAT(F1987," (",E1987,")")</f>
        <v>WOODWORK SHOP STG (6320)</v>
      </c>
      <c r="O1987" t="s">
        <v>52</v>
      </c>
      <c r="P1987" t="str">
        <f t="shared" ref="P1987:P2050" si="127">_xlfn.CONCAT(C1987,"_",E1987)</f>
        <v>18000_6320</v>
      </c>
      <c r="Q1987" s="180">
        <v>100</v>
      </c>
    </row>
    <row r="1988" spans="1:17">
      <c r="A1988" t="str">
        <f t="shared" si="124"/>
        <v>UGA_6321</v>
      </c>
      <c r="B1988" t="str">
        <f t="shared" si="125"/>
        <v>UGA_SREL REC OFF</v>
      </c>
      <c r="C1988" t="s">
        <v>443</v>
      </c>
      <c r="D1988" s="180" t="s">
        <v>51</v>
      </c>
      <c r="E1988" t="s">
        <v>2632</v>
      </c>
      <c r="F1988" t="s">
        <v>2633</v>
      </c>
      <c r="G1988" s="180">
        <v>216</v>
      </c>
      <c r="H1988">
        <v>1990</v>
      </c>
      <c r="J1988" s="1334" t="s">
        <v>475</v>
      </c>
      <c r="K1988" s="1335" t="s">
        <v>475</v>
      </c>
      <c r="L1988" s="180">
        <v>100</v>
      </c>
      <c r="M1988" t="s">
        <v>4</v>
      </c>
      <c r="N1988" t="str">
        <f t="shared" si="126"/>
        <v>SREL REC OFF (6321)</v>
      </c>
      <c r="O1988" t="s">
        <v>52</v>
      </c>
      <c r="P1988" t="str">
        <f t="shared" si="127"/>
        <v>18000_6321</v>
      </c>
      <c r="Q1988" s="180">
        <v>100</v>
      </c>
    </row>
    <row r="1989" spans="1:17">
      <c r="A1989" t="str">
        <f t="shared" si="124"/>
        <v>UGA_6322</v>
      </c>
      <c r="B1989" t="str">
        <f t="shared" si="125"/>
        <v>UGA_SREL RECEIVE BLDG</v>
      </c>
      <c r="C1989" t="s">
        <v>443</v>
      </c>
      <c r="D1989" s="180" t="s">
        <v>51</v>
      </c>
      <c r="E1989" t="s">
        <v>2283</v>
      </c>
      <c r="F1989" t="s">
        <v>2284</v>
      </c>
      <c r="G1989" s="180">
        <v>3086</v>
      </c>
      <c r="H1989">
        <v>1996</v>
      </c>
      <c r="J1989" s="1334" t="s">
        <v>475</v>
      </c>
      <c r="K1989" s="1335" t="s">
        <v>475</v>
      </c>
      <c r="L1989" s="180">
        <v>100</v>
      </c>
      <c r="M1989" t="s">
        <v>4</v>
      </c>
      <c r="N1989" t="str">
        <f t="shared" si="126"/>
        <v>SREL RECEIVE BLDG (6322)</v>
      </c>
      <c r="O1989" t="s">
        <v>52</v>
      </c>
      <c r="P1989" t="str">
        <f t="shared" si="127"/>
        <v>18000_6322</v>
      </c>
      <c r="Q1989" s="180">
        <v>0</v>
      </c>
    </row>
    <row r="1990" spans="1:17">
      <c r="A1990" t="str">
        <f t="shared" si="124"/>
        <v>UGA_6323</v>
      </c>
      <c r="B1990" t="str">
        <f t="shared" si="125"/>
        <v>UGA_ANIMAL CARE FAC</v>
      </c>
      <c r="C1990" t="s">
        <v>443</v>
      </c>
      <c r="D1990" s="180" t="s">
        <v>51</v>
      </c>
      <c r="E1990" t="s">
        <v>2393</v>
      </c>
      <c r="F1990" t="s">
        <v>2394</v>
      </c>
      <c r="G1990" s="180">
        <v>5522</v>
      </c>
      <c r="H1990">
        <v>1996</v>
      </c>
      <c r="J1990" s="1334" t="s">
        <v>475</v>
      </c>
      <c r="K1990" s="1335" t="s">
        <v>475</v>
      </c>
      <c r="L1990" s="180">
        <v>100</v>
      </c>
      <c r="M1990" t="s">
        <v>4</v>
      </c>
      <c r="N1990" t="str">
        <f t="shared" si="126"/>
        <v>ANIMAL CARE FAC (6323)</v>
      </c>
      <c r="O1990" t="s">
        <v>52</v>
      </c>
      <c r="P1990" t="str">
        <f t="shared" si="127"/>
        <v>18000_6323</v>
      </c>
      <c r="Q1990" s="180">
        <v>0</v>
      </c>
    </row>
    <row r="1991" spans="1:17">
      <c r="A1991" t="str">
        <f t="shared" si="124"/>
        <v>UGA_6324</v>
      </c>
      <c r="B1991" t="str">
        <f t="shared" si="125"/>
        <v>UGA_SREL DIST LRN CNTR</v>
      </c>
      <c r="C1991" t="s">
        <v>443</v>
      </c>
      <c r="D1991" s="180" t="s">
        <v>51</v>
      </c>
      <c r="E1991" t="s">
        <v>3433</v>
      </c>
      <c r="F1991" t="s">
        <v>3434</v>
      </c>
      <c r="G1991" s="180">
        <v>4800</v>
      </c>
      <c r="H1991">
        <v>1996</v>
      </c>
      <c r="J1991" s="1334" t="s">
        <v>475</v>
      </c>
      <c r="K1991" s="1335" t="s">
        <v>475</v>
      </c>
      <c r="L1991" s="180">
        <v>100</v>
      </c>
      <c r="M1991" t="s">
        <v>4</v>
      </c>
      <c r="N1991" t="str">
        <f t="shared" si="126"/>
        <v>SREL DIST LRN CNTR (6324)</v>
      </c>
      <c r="O1991" t="s">
        <v>52</v>
      </c>
      <c r="P1991" t="str">
        <f t="shared" si="127"/>
        <v>18000_6324</v>
      </c>
      <c r="Q1991" s="180">
        <v>0</v>
      </c>
    </row>
    <row r="1992" spans="1:17">
      <c r="A1992" t="str">
        <f t="shared" si="124"/>
        <v>UGA_6351</v>
      </c>
      <c r="B1992" t="str">
        <f t="shared" si="125"/>
        <v>UGA_CHEM ECO LAB</v>
      </c>
      <c r="C1992" t="s">
        <v>443</v>
      </c>
      <c r="D1992" s="180" t="s">
        <v>51</v>
      </c>
      <c r="E1992" t="s">
        <v>1976</v>
      </c>
      <c r="F1992" t="s">
        <v>1977</v>
      </c>
      <c r="G1992" s="180">
        <v>4924</v>
      </c>
      <c r="H1992">
        <v>1979</v>
      </c>
      <c r="J1992" s="1334" t="s">
        <v>475</v>
      </c>
      <c r="K1992" s="1335" t="s">
        <v>475</v>
      </c>
      <c r="L1992" s="180">
        <v>100</v>
      </c>
      <c r="M1992" t="s">
        <v>4</v>
      </c>
      <c r="N1992" t="str">
        <f t="shared" si="126"/>
        <v>CHEM ECO LAB (6351)</v>
      </c>
      <c r="O1992" t="s">
        <v>52</v>
      </c>
      <c r="P1992" t="str">
        <f t="shared" si="127"/>
        <v>18000_6351</v>
      </c>
      <c r="Q1992" s="180">
        <v>0</v>
      </c>
    </row>
    <row r="1993" spans="1:17">
      <c r="A1993" t="str">
        <f t="shared" si="124"/>
        <v>UGA_6352</v>
      </c>
      <c r="B1993" t="str">
        <f t="shared" si="125"/>
        <v>UGA_OVEN BLDG</v>
      </c>
      <c r="C1993" t="s">
        <v>443</v>
      </c>
      <c r="D1993" s="180" t="s">
        <v>51</v>
      </c>
      <c r="E1993" t="s">
        <v>4188</v>
      </c>
      <c r="F1993" t="s">
        <v>4189</v>
      </c>
      <c r="G1993" s="180">
        <v>251</v>
      </c>
      <c r="H1993">
        <v>1992</v>
      </c>
      <c r="J1993" s="1334" t="s">
        <v>475</v>
      </c>
      <c r="K1993" s="1335" t="s">
        <v>475</v>
      </c>
      <c r="L1993" s="180">
        <v>100</v>
      </c>
      <c r="M1993" t="s">
        <v>4</v>
      </c>
      <c r="N1993" t="str">
        <f t="shared" si="126"/>
        <v>OVEN BLDG (6352)</v>
      </c>
      <c r="O1993" t="s">
        <v>52</v>
      </c>
      <c r="P1993" t="str">
        <f t="shared" si="127"/>
        <v>18000_6352</v>
      </c>
      <c r="Q1993" s="180">
        <v>0</v>
      </c>
    </row>
    <row r="1994" spans="1:17">
      <c r="A1994" t="str">
        <f t="shared" si="124"/>
        <v>UGA_6353</v>
      </c>
      <c r="B1994" t="str">
        <f t="shared" si="125"/>
        <v>UGA_MORGAN OFF BLDG</v>
      </c>
      <c r="C1994" t="s">
        <v>443</v>
      </c>
      <c r="D1994" s="180" t="s">
        <v>51</v>
      </c>
      <c r="E1994" t="s">
        <v>4088</v>
      </c>
      <c r="F1994" t="s">
        <v>4089</v>
      </c>
      <c r="G1994" s="180">
        <v>1920</v>
      </c>
      <c r="H1994">
        <v>1988</v>
      </c>
      <c r="J1994" s="1334" t="s">
        <v>475</v>
      </c>
      <c r="K1994" s="1335" t="s">
        <v>475</v>
      </c>
      <c r="L1994" s="180">
        <v>100</v>
      </c>
      <c r="M1994" t="s">
        <v>4</v>
      </c>
      <c r="N1994" t="str">
        <f t="shared" si="126"/>
        <v>MORGAN OFF BLDG (6353)</v>
      </c>
      <c r="O1994" t="s">
        <v>52</v>
      </c>
      <c r="P1994" t="str">
        <f t="shared" si="127"/>
        <v>18000_6353</v>
      </c>
      <c r="Q1994" s="180">
        <v>0</v>
      </c>
    </row>
    <row r="1995" spans="1:17">
      <c r="A1995" t="str">
        <f t="shared" si="124"/>
        <v>UGA_6354</v>
      </c>
      <c r="B1995" t="str">
        <f t="shared" si="125"/>
        <v>UGA_MORGAN LAB BLDG</v>
      </c>
      <c r="C1995" t="s">
        <v>443</v>
      </c>
      <c r="D1995" s="180" t="s">
        <v>51</v>
      </c>
      <c r="E1995" t="s">
        <v>3819</v>
      </c>
      <c r="F1995" t="s">
        <v>3820</v>
      </c>
      <c r="G1995" s="180">
        <v>2923</v>
      </c>
      <c r="H1995">
        <v>1989</v>
      </c>
      <c r="J1995" s="1334" t="s">
        <v>475</v>
      </c>
      <c r="K1995" s="1335" t="s">
        <v>475</v>
      </c>
      <c r="L1995" s="180">
        <v>100</v>
      </c>
      <c r="M1995" t="s">
        <v>4</v>
      </c>
      <c r="N1995" t="str">
        <f t="shared" si="126"/>
        <v>MORGAN LAB BLDG (6354)</v>
      </c>
      <c r="O1995" t="s">
        <v>52</v>
      </c>
      <c r="P1995" t="str">
        <f t="shared" si="127"/>
        <v>18000_6354</v>
      </c>
      <c r="Q1995" s="180">
        <v>0</v>
      </c>
    </row>
    <row r="1996" spans="1:17">
      <c r="A1996" t="str">
        <f t="shared" si="124"/>
        <v>UGA_6355</v>
      </c>
      <c r="B1996" t="str">
        <f t="shared" si="125"/>
        <v>UGA_UTILITY GARAGE</v>
      </c>
      <c r="C1996" t="s">
        <v>443</v>
      </c>
      <c r="D1996" s="180" t="s">
        <v>51</v>
      </c>
      <c r="E1996" t="s">
        <v>4190</v>
      </c>
      <c r="F1996" t="s">
        <v>2249</v>
      </c>
      <c r="G1996" s="180">
        <v>288</v>
      </c>
      <c r="H1996">
        <v>2016</v>
      </c>
      <c r="J1996" s="1334" t="s">
        <v>475</v>
      </c>
      <c r="K1996" s="1335" t="s">
        <v>475</v>
      </c>
      <c r="L1996" s="180">
        <v>0</v>
      </c>
      <c r="M1996" t="s">
        <v>4</v>
      </c>
      <c r="N1996" t="str">
        <f t="shared" si="126"/>
        <v>UTILITY GARAGE (6355)</v>
      </c>
      <c r="O1996" t="s">
        <v>52</v>
      </c>
      <c r="P1996" t="str">
        <f t="shared" si="127"/>
        <v>18000_6355</v>
      </c>
      <c r="Q1996" s="180">
        <v>0</v>
      </c>
    </row>
    <row r="1997" spans="1:17">
      <c r="A1997" t="str">
        <f t="shared" si="124"/>
        <v>UGA_6356</v>
      </c>
      <c r="B1997" t="str">
        <f t="shared" si="125"/>
        <v>UGA_UTILITY GARAGE</v>
      </c>
      <c r="C1997" t="s">
        <v>443</v>
      </c>
      <c r="D1997" s="180" t="s">
        <v>51</v>
      </c>
      <c r="E1997" t="s">
        <v>2248</v>
      </c>
      <c r="F1997" t="s">
        <v>2249</v>
      </c>
      <c r="G1997" s="180">
        <v>288</v>
      </c>
      <c r="H1997">
        <v>2016</v>
      </c>
      <c r="J1997" s="1334" t="s">
        <v>475</v>
      </c>
      <c r="K1997" s="1335" t="s">
        <v>475</v>
      </c>
      <c r="L1997" s="180">
        <v>0</v>
      </c>
      <c r="M1997" t="s">
        <v>4</v>
      </c>
      <c r="N1997" t="str">
        <f t="shared" si="126"/>
        <v>UTILITY GARAGE (6356)</v>
      </c>
      <c r="O1997" t="s">
        <v>52</v>
      </c>
      <c r="P1997" t="str">
        <f t="shared" si="127"/>
        <v>18000_6356</v>
      </c>
      <c r="Q1997" s="180">
        <v>0</v>
      </c>
    </row>
    <row r="1998" spans="1:17">
      <c r="A1998" t="str">
        <f t="shared" si="124"/>
        <v>UGA_6357</v>
      </c>
      <c r="B1998" t="str">
        <f t="shared" si="125"/>
        <v>UGA_UTILITY GARAGE</v>
      </c>
      <c r="C1998" t="s">
        <v>443</v>
      </c>
      <c r="D1998" s="180" t="s">
        <v>51</v>
      </c>
      <c r="E1998" t="s">
        <v>2334</v>
      </c>
      <c r="F1998" t="s">
        <v>2249</v>
      </c>
      <c r="G1998" s="180">
        <v>288</v>
      </c>
      <c r="H1998">
        <v>2016</v>
      </c>
      <c r="J1998" s="1334" t="s">
        <v>475</v>
      </c>
      <c r="K1998" s="1335" t="s">
        <v>475</v>
      </c>
      <c r="L1998" s="180">
        <v>0</v>
      </c>
      <c r="M1998" t="s">
        <v>4</v>
      </c>
      <c r="N1998" t="str">
        <f t="shared" si="126"/>
        <v>UTILITY GARAGE (6357)</v>
      </c>
      <c r="O1998" t="s">
        <v>52</v>
      </c>
      <c r="P1998" t="str">
        <f t="shared" si="127"/>
        <v>18000_6357</v>
      </c>
      <c r="Q1998" s="180">
        <v>0</v>
      </c>
    </row>
    <row r="1999" spans="1:17">
      <c r="A1999" t="str">
        <f t="shared" si="124"/>
        <v>UGA_6358</v>
      </c>
      <c r="B1999" t="str">
        <f t="shared" si="125"/>
        <v>UGA_UTILITY GARAGE</v>
      </c>
      <c r="C1999" t="s">
        <v>443</v>
      </c>
      <c r="D1999" s="180" t="s">
        <v>51</v>
      </c>
      <c r="E1999" t="s">
        <v>2972</v>
      </c>
      <c r="F1999" t="s">
        <v>2249</v>
      </c>
      <c r="G1999" s="180">
        <v>288</v>
      </c>
      <c r="H1999">
        <v>2016</v>
      </c>
      <c r="J1999" s="1334" t="s">
        <v>475</v>
      </c>
      <c r="K1999" s="1335" t="s">
        <v>475</v>
      </c>
      <c r="L1999" s="180">
        <v>0</v>
      </c>
      <c r="M1999" t="s">
        <v>4</v>
      </c>
      <c r="N1999" t="str">
        <f t="shared" si="126"/>
        <v>UTILITY GARAGE (6358)</v>
      </c>
      <c r="O1999" t="s">
        <v>52</v>
      </c>
      <c r="P1999" t="str">
        <f t="shared" si="127"/>
        <v>18000_6358</v>
      </c>
      <c r="Q1999" s="180">
        <v>0</v>
      </c>
    </row>
    <row r="2000" spans="1:17">
      <c r="A2000" t="str">
        <f t="shared" si="124"/>
        <v>UGA_6361</v>
      </c>
      <c r="B2000" t="str">
        <f t="shared" si="125"/>
        <v>UGA_HERPETOLOGY LAB</v>
      </c>
      <c r="C2000" t="s">
        <v>443</v>
      </c>
      <c r="D2000" s="180" t="s">
        <v>51</v>
      </c>
      <c r="E2000" t="s">
        <v>3581</v>
      </c>
      <c r="F2000" t="s">
        <v>3430</v>
      </c>
      <c r="G2000" s="180">
        <v>237</v>
      </c>
      <c r="H2000">
        <v>1993</v>
      </c>
      <c r="J2000" s="1334" t="s">
        <v>475</v>
      </c>
      <c r="K2000" s="1335" t="s">
        <v>475</v>
      </c>
      <c r="L2000" s="180">
        <v>100</v>
      </c>
      <c r="M2000" t="s">
        <v>4</v>
      </c>
      <c r="N2000" t="str">
        <f t="shared" si="126"/>
        <v>HERPETOLOGY LAB (6361)</v>
      </c>
      <c r="O2000" t="s">
        <v>52</v>
      </c>
      <c r="P2000" t="str">
        <f t="shared" si="127"/>
        <v>18000_6361</v>
      </c>
      <c r="Q2000" s="180">
        <v>0</v>
      </c>
    </row>
    <row r="2001" spans="1:17">
      <c r="A2001" t="str">
        <f t="shared" si="124"/>
        <v>UGA_6365</v>
      </c>
      <c r="B2001" t="str">
        <f t="shared" si="125"/>
        <v>UGA_AEL TRAILER LAB</v>
      </c>
      <c r="C2001" t="s">
        <v>443</v>
      </c>
      <c r="D2001" s="180" t="s">
        <v>51</v>
      </c>
      <c r="E2001" t="s">
        <v>1927</v>
      </c>
      <c r="F2001" t="s">
        <v>1928</v>
      </c>
      <c r="G2001" s="180">
        <v>684</v>
      </c>
      <c r="H2001">
        <v>1980</v>
      </c>
      <c r="J2001" s="1334" t="s">
        <v>475</v>
      </c>
      <c r="K2001" s="1335" t="s">
        <v>475</v>
      </c>
      <c r="L2001" s="180">
        <v>100</v>
      </c>
      <c r="M2001" t="s">
        <v>4</v>
      </c>
      <c r="N2001" t="str">
        <f t="shared" si="126"/>
        <v>AEL TRAILER LAB (6365)</v>
      </c>
      <c r="O2001" t="s">
        <v>52</v>
      </c>
      <c r="P2001" t="str">
        <f t="shared" si="127"/>
        <v>18000_6365</v>
      </c>
      <c r="Q2001" s="180">
        <v>0</v>
      </c>
    </row>
    <row r="2002" spans="1:17">
      <c r="A2002" t="str">
        <f t="shared" si="124"/>
        <v>UGA_6366</v>
      </c>
      <c r="B2002" t="str">
        <f t="shared" si="125"/>
        <v>UGA_AEL THERM EFF LAB</v>
      </c>
      <c r="C2002" t="s">
        <v>443</v>
      </c>
      <c r="D2002" s="180" t="s">
        <v>51</v>
      </c>
      <c r="E2002" t="s">
        <v>4339</v>
      </c>
      <c r="F2002" t="s">
        <v>4340</v>
      </c>
      <c r="G2002" s="180">
        <v>1339</v>
      </c>
      <c r="H2002">
        <v>1971</v>
      </c>
      <c r="J2002" s="1334" t="s">
        <v>475</v>
      </c>
      <c r="K2002" s="1335" t="s">
        <v>475</v>
      </c>
      <c r="L2002" s="180">
        <v>100</v>
      </c>
      <c r="M2002" t="s">
        <v>4</v>
      </c>
      <c r="N2002" t="str">
        <f t="shared" si="126"/>
        <v>AEL THERM EFF LAB (6366)</v>
      </c>
      <c r="O2002" t="s">
        <v>52</v>
      </c>
      <c r="P2002" t="str">
        <f t="shared" si="127"/>
        <v>18000_6366</v>
      </c>
      <c r="Q2002" s="180">
        <v>0</v>
      </c>
    </row>
    <row r="2003" spans="1:17">
      <c r="A2003" t="str">
        <f t="shared" si="124"/>
        <v>UGA_6367</v>
      </c>
      <c r="B2003" t="str">
        <f t="shared" si="125"/>
        <v>UGA_AEL STORAGE BLDG</v>
      </c>
      <c r="C2003" t="s">
        <v>443</v>
      </c>
      <c r="D2003" s="180" t="s">
        <v>51</v>
      </c>
      <c r="E2003" t="s">
        <v>1806</v>
      </c>
      <c r="F2003" t="s">
        <v>1807</v>
      </c>
      <c r="G2003" s="180">
        <v>348</v>
      </c>
      <c r="H2003">
        <v>1971</v>
      </c>
      <c r="J2003" s="1334" t="s">
        <v>475</v>
      </c>
      <c r="K2003" s="1335" t="s">
        <v>475</v>
      </c>
      <c r="L2003" s="180">
        <v>100</v>
      </c>
      <c r="M2003" t="s">
        <v>4</v>
      </c>
      <c r="N2003" t="str">
        <f t="shared" si="126"/>
        <v>AEL STORAGE BLDG (6367)</v>
      </c>
      <c r="O2003" t="s">
        <v>52</v>
      </c>
      <c r="P2003" t="str">
        <f t="shared" si="127"/>
        <v>18000_6367</v>
      </c>
      <c r="Q2003" s="180">
        <v>0</v>
      </c>
    </row>
    <row r="2004" spans="1:17">
      <c r="A2004" t="str">
        <f t="shared" si="124"/>
        <v>UGA_6368</v>
      </c>
      <c r="B2004" t="str">
        <f t="shared" si="125"/>
        <v>UGA_AEL LAB BLDG</v>
      </c>
      <c r="C2004" t="s">
        <v>443</v>
      </c>
      <c r="D2004" s="180" t="s">
        <v>51</v>
      </c>
      <c r="E2004" t="s">
        <v>2857</v>
      </c>
      <c r="F2004" t="s">
        <v>2858</v>
      </c>
      <c r="G2004" s="180">
        <v>348</v>
      </c>
      <c r="H2004">
        <v>1980</v>
      </c>
      <c r="J2004" s="1334" t="s">
        <v>475</v>
      </c>
      <c r="K2004" s="1335" t="s">
        <v>475</v>
      </c>
      <c r="L2004" s="180">
        <v>100</v>
      </c>
      <c r="M2004" t="s">
        <v>4</v>
      </c>
      <c r="N2004" t="str">
        <f t="shared" si="126"/>
        <v>AEL LAB BLDG (6368)</v>
      </c>
      <c r="O2004" t="s">
        <v>52</v>
      </c>
      <c r="P2004" t="str">
        <f t="shared" si="127"/>
        <v>18000_6368</v>
      </c>
      <c r="Q2004" s="180">
        <v>0</v>
      </c>
    </row>
    <row r="2005" spans="1:17">
      <c r="A2005" t="str">
        <f t="shared" si="124"/>
        <v>UGA_6369</v>
      </c>
      <c r="B2005" t="str">
        <f t="shared" si="125"/>
        <v>UGA_AEL RSCH UTILITY</v>
      </c>
      <c r="C2005" t="s">
        <v>443</v>
      </c>
      <c r="D2005" s="180" t="s">
        <v>51</v>
      </c>
      <c r="E2005" t="s">
        <v>4056</v>
      </c>
      <c r="F2005" t="s">
        <v>4057</v>
      </c>
      <c r="G2005" s="180">
        <v>400</v>
      </c>
      <c r="H2005">
        <v>1992</v>
      </c>
      <c r="J2005" s="1334" t="s">
        <v>475</v>
      </c>
      <c r="K2005" s="1335" t="s">
        <v>475</v>
      </c>
      <c r="L2005" s="180">
        <v>100</v>
      </c>
      <c r="M2005" t="s">
        <v>4</v>
      </c>
      <c r="N2005" t="str">
        <f t="shared" si="126"/>
        <v>AEL RSCH UTILITY (6369)</v>
      </c>
      <c r="O2005" t="s">
        <v>52</v>
      </c>
      <c r="P2005" t="str">
        <f t="shared" si="127"/>
        <v>18000_6369</v>
      </c>
      <c r="Q2005" s="180">
        <v>0</v>
      </c>
    </row>
    <row r="2006" spans="1:17">
      <c r="A2006" t="str">
        <f t="shared" si="124"/>
        <v>UGA_6375</v>
      </c>
      <c r="B2006" t="str">
        <f t="shared" si="125"/>
        <v>UGA_RADIOECOLOGY LAB</v>
      </c>
      <c r="C2006" t="s">
        <v>443</v>
      </c>
      <c r="D2006" s="180" t="s">
        <v>51</v>
      </c>
      <c r="E2006" t="s">
        <v>4263</v>
      </c>
      <c r="F2006" t="s">
        <v>4264</v>
      </c>
      <c r="G2006" s="180">
        <v>3508</v>
      </c>
      <c r="H2006">
        <v>1992</v>
      </c>
      <c r="J2006" s="1334" t="s">
        <v>475</v>
      </c>
      <c r="K2006" s="1335" t="s">
        <v>475</v>
      </c>
      <c r="L2006" s="180">
        <v>100</v>
      </c>
      <c r="M2006" t="s">
        <v>4</v>
      </c>
      <c r="N2006" t="str">
        <f t="shared" si="126"/>
        <v>RADIOECOLOGY LAB (6375)</v>
      </c>
      <c r="O2006" t="s">
        <v>52</v>
      </c>
      <c r="P2006" t="str">
        <f t="shared" si="127"/>
        <v>18000_6375</v>
      </c>
      <c r="Q2006" s="180">
        <v>0</v>
      </c>
    </row>
    <row r="2007" spans="1:17">
      <c r="A2007" t="str">
        <f t="shared" si="124"/>
        <v>UGA_6376</v>
      </c>
      <c r="B2007" t="str">
        <f t="shared" si="125"/>
        <v>UGA_PUMP BLDG</v>
      </c>
      <c r="C2007" t="s">
        <v>443</v>
      </c>
      <c r="D2007" s="180" t="s">
        <v>51</v>
      </c>
      <c r="E2007" t="s">
        <v>2187</v>
      </c>
      <c r="F2007" t="s">
        <v>2188</v>
      </c>
      <c r="G2007" s="180">
        <v>144</v>
      </c>
      <c r="H2007">
        <v>1993</v>
      </c>
      <c r="J2007" s="1334" t="s">
        <v>475</v>
      </c>
      <c r="K2007" s="1335" t="s">
        <v>475</v>
      </c>
      <c r="L2007" s="180">
        <v>100</v>
      </c>
      <c r="M2007" t="s">
        <v>4</v>
      </c>
      <c r="N2007" t="str">
        <f t="shared" si="126"/>
        <v>PUMP BLDG (6376)</v>
      </c>
      <c r="O2007" t="s">
        <v>52</v>
      </c>
      <c r="P2007" t="str">
        <f t="shared" si="127"/>
        <v>18000_6376</v>
      </c>
      <c r="Q2007" s="180">
        <v>0</v>
      </c>
    </row>
    <row r="2008" spans="1:17">
      <c r="A2008" t="str">
        <f t="shared" si="124"/>
        <v>UGA_6377</v>
      </c>
      <c r="B2008" t="str">
        <f t="shared" si="125"/>
        <v>UGA_BOAT EQUIP STRG</v>
      </c>
      <c r="C2008" t="s">
        <v>443</v>
      </c>
      <c r="D2008" s="180" t="s">
        <v>51</v>
      </c>
      <c r="E2008" t="s">
        <v>2662</v>
      </c>
      <c r="F2008" t="s">
        <v>2663</v>
      </c>
      <c r="G2008" s="180">
        <v>1460</v>
      </c>
      <c r="H2008">
        <v>1992</v>
      </c>
      <c r="J2008" s="1334" t="s">
        <v>475</v>
      </c>
      <c r="K2008" s="1335" t="s">
        <v>475</v>
      </c>
      <c r="L2008" s="180">
        <v>100</v>
      </c>
      <c r="M2008" t="s">
        <v>4</v>
      </c>
      <c r="N2008" t="str">
        <f t="shared" si="126"/>
        <v>BOAT EQUIP STRG (6377)</v>
      </c>
      <c r="O2008" t="s">
        <v>52</v>
      </c>
      <c r="P2008" t="str">
        <f t="shared" si="127"/>
        <v>18000_6377</v>
      </c>
      <c r="Q2008" s="180">
        <v>0</v>
      </c>
    </row>
    <row r="2009" spans="1:17">
      <c r="A2009" t="str">
        <f t="shared" si="124"/>
        <v>UGA_6378</v>
      </c>
      <c r="B2009" t="str">
        <f t="shared" si="125"/>
        <v>UGA_RSCH STORAGE BLDG</v>
      </c>
      <c r="C2009" t="s">
        <v>443</v>
      </c>
      <c r="D2009" s="180" t="s">
        <v>51</v>
      </c>
      <c r="E2009" t="s">
        <v>3582</v>
      </c>
      <c r="F2009" t="s">
        <v>3583</v>
      </c>
      <c r="G2009" s="180">
        <v>200</v>
      </c>
      <c r="H2009">
        <v>1992</v>
      </c>
      <c r="J2009" s="1334" t="s">
        <v>475</v>
      </c>
      <c r="K2009" s="1335" t="s">
        <v>475</v>
      </c>
      <c r="L2009" s="180">
        <v>100</v>
      </c>
      <c r="M2009" t="s">
        <v>4</v>
      </c>
      <c r="N2009" t="str">
        <f t="shared" si="126"/>
        <v>RSCH STORAGE BLDG (6378)</v>
      </c>
      <c r="O2009" t="s">
        <v>52</v>
      </c>
      <c r="P2009" t="str">
        <f t="shared" si="127"/>
        <v>18000_6378</v>
      </c>
      <c r="Q2009" s="180">
        <v>0</v>
      </c>
    </row>
    <row r="2010" spans="1:17">
      <c r="A2010" t="str">
        <f t="shared" si="124"/>
        <v>UGA_6385</v>
      </c>
      <c r="B2010" t="str">
        <f t="shared" si="125"/>
        <v>UGA_WILD ANIMAL FAC</v>
      </c>
      <c r="C2010" t="s">
        <v>443</v>
      </c>
      <c r="D2010" s="180" t="s">
        <v>51</v>
      </c>
      <c r="E2010" t="s">
        <v>4058</v>
      </c>
      <c r="F2010" t="s">
        <v>4059</v>
      </c>
      <c r="G2010" s="180">
        <v>2250</v>
      </c>
      <c r="H2010">
        <v>1963</v>
      </c>
      <c r="J2010" s="1334" t="s">
        <v>475</v>
      </c>
      <c r="K2010" s="1335" t="s">
        <v>475</v>
      </c>
      <c r="L2010" s="180">
        <v>100</v>
      </c>
      <c r="M2010" t="s">
        <v>4</v>
      </c>
      <c r="N2010" t="str">
        <f t="shared" si="126"/>
        <v>WILD ANIMAL FAC (6385)</v>
      </c>
      <c r="O2010" t="s">
        <v>52</v>
      </c>
      <c r="P2010" t="str">
        <f t="shared" si="127"/>
        <v>18000_6385</v>
      </c>
      <c r="Q2010" s="180">
        <v>0</v>
      </c>
    </row>
    <row r="2011" spans="1:17">
      <c r="A2011" t="str">
        <f t="shared" si="124"/>
        <v>UGA_6395</v>
      </c>
      <c r="B2011" t="str">
        <f t="shared" si="125"/>
        <v>UGA_SREL CONF CENTER</v>
      </c>
      <c r="C2011" t="s">
        <v>443</v>
      </c>
      <c r="D2011" s="180" t="s">
        <v>51</v>
      </c>
      <c r="E2011" t="s">
        <v>3435</v>
      </c>
      <c r="F2011" t="s">
        <v>3436</v>
      </c>
      <c r="G2011" s="180">
        <v>5030</v>
      </c>
      <c r="H2011">
        <v>1995</v>
      </c>
      <c r="J2011" s="1334" t="s">
        <v>475</v>
      </c>
      <c r="K2011" s="1335" t="s">
        <v>475</v>
      </c>
      <c r="L2011" s="180">
        <v>100</v>
      </c>
      <c r="M2011" t="s">
        <v>4</v>
      </c>
      <c r="N2011" t="str">
        <f t="shared" si="126"/>
        <v>SREL CONF CENTER (6395)</v>
      </c>
      <c r="O2011" t="s">
        <v>52</v>
      </c>
      <c r="P2011" t="str">
        <f t="shared" si="127"/>
        <v>18000_6395</v>
      </c>
      <c r="Q2011" s="180">
        <v>100</v>
      </c>
    </row>
    <row r="2012" spans="1:17">
      <c r="A2012" t="str">
        <f t="shared" si="124"/>
        <v>UGA_6451</v>
      </c>
      <c r="B2012" t="str">
        <f t="shared" si="125"/>
        <v>UGA_ODUM LOG CABIN</v>
      </c>
      <c r="C2012" t="s">
        <v>443</v>
      </c>
      <c r="D2012" s="180" t="s">
        <v>51</v>
      </c>
      <c r="E2012" t="s">
        <v>2068</v>
      </c>
      <c r="F2012" t="s">
        <v>2069</v>
      </c>
      <c r="G2012" s="180">
        <v>1951</v>
      </c>
      <c r="H2012">
        <v>2003</v>
      </c>
      <c r="J2012" s="1334" t="s">
        <v>475</v>
      </c>
      <c r="K2012" s="1335" t="s">
        <v>475</v>
      </c>
      <c r="L2012" s="180">
        <v>100</v>
      </c>
      <c r="M2012" t="s">
        <v>4</v>
      </c>
      <c r="N2012" t="str">
        <f t="shared" si="126"/>
        <v>ODUM LOG CABIN (6451)</v>
      </c>
      <c r="O2012" t="s">
        <v>52</v>
      </c>
      <c r="P2012" t="str">
        <f t="shared" si="127"/>
        <v>18000_6451</v>
      </c>
      <c r="Q2012" s="180">
        <v>100</v>
      </c>
    </row>
    <row r="2013" spans="1:17">
      <c r="A2013" t="str">
        <f t="shared" si="124"/>
        <v>UGA_6452</v>
      </c>
      <c r="B2013" t="str">
        <f t="shared" si="125"/>
        <v>UGA_ODUM PROP WELL HS</v>
      </c>
      <c r="C2013" t="s">
        <v>443</v>
      </c>
      <c r="D2013" s="180" t="s">
        <v>51</v>
      </c>
      <c r="E2013" t="s">
        <v>1701</v>
      </c>
      <c r="F2013" t="s">
        <v>1702</v>
      </c>
      <c r="G2013" s="180">
        <v>195</v>
      </c>
      <c r="H2013">
        <v>2003</v>
      </c>
      <c r="J2013" s="1334" t="s">
        <v>475</v>
      </c>
      <c r="K2013" s="1335" t="s">
        <v>475</v>
      </c>
      <c r="L2013" s="180">
        <v>100</v>
      </c>
      <c r="M2013" t="s">
        <v>4</v>
      </c>
      <c r="N2013" t="str">
        <f t="shared" si="126"/>
        <v>ODUM PROP WELL HS (6452)</v>
      </c>
      <c r="O2013" t="s">
        <v>52</v>
      </c>
      <c r="P2013" t="str">
        <f t="shared" si="127"/>
        <v>18000_6452</v>
      </c>
      <c r="Q2013" s="180">
        <v>100</v>
      </c>
    </row>
    <row r="2014" spans="1:17">
      <c r="A2014" t="str">
        <f t="shared" si="124"/>
        <v>UGA_6500</v>
      </c>
      <c r="B2014" t="str">
        <f t="shared" si="125"/>
        <v>UGA_HISTORICAL CABIN</v>
      </c>
      <c r="C2014" t="s">
        <v>443</v>
      </c>
      <c r="D2014" s="180" t="s">
        <v>51</v>
      </c>
      <c r="E2014" t="s">
        <v>2484</v>
      </c>
      <c r="F2014" t="s">
        <v>2485</v>
      </c>
      <c r="G2014" s="180">
        <v>1174</v>
      </c>
      <c r="H2014">
        <v>2014</v>
      </c>
      <c r="J2014" s="1334" t="s">
        <v>475</v>
      </c>
      <c r="K2014" s="1335" t="s">
        <v>475</v>
      </c>
      <c r="L2014" s="180">
        <v>100</v>
      </c>
      <c r="M2014" t="s">
        <v>4</v>
      </c>
      <c r="N2014" t="str">
        <f t="shared" si="126"/>
        <v>HISTORICAL CABIN (6500)</v>
      </c>
      <c r="O2014" t="s">
        <v>52</v>
      </c>
      <c r="P2014" t="str">
        <f t="shared" si="127"/>
        <v>18000_6500</v>
      </c>
      <c r="Q2014" s="180">
        <v>100</v>
      </c>
    </row>
    <row r="2015" spans="1:17">
      <c r="A2015" t="str">
        <f t="shared" si="124"/>
        <v>UGA_6501</v>
      </c>
      <c r="B2015" t="str">
        <f t="shared" si="125"/>
        <v>UGA_WORMSLOE CABIN 1</v>
      </c>
      <c r="C2015" t="s">
        <v>443</v>
      </c>
      <c r="D2015" s="180" t="s">
        <v>51</v>
      </c>
      <c r="E2015" t="s">
        <v>4217</v>
      </c>
      <c r="F2015" t="s">
        <v>4218</v>
      </c>
      <c r="G2015" s="180">
        <v>1390</v>
      </c>
      <c r="H2015">
        <v>2016</v>
      </c>
      <c r="J2015" s="1334" t="s">
        <v>475</v>
      </c>
      <c r="K2015" s="1335" t="s">
        <v>475</v>
      </c>
      <c r="L2015" s="180">
        <v>100</v>
      </c>
      <c r="M2015" t="s">
        <v>4</v>
      </c>
      <c r="N2015" t="str">
        <f t="shared" si="126"/>
        <v>WORMSLOE CABIN 1 (6501)</v>
      </c>
      <c r="O2015" t="s">
        <v>52</v>
      </c>
      <c r="P2015" t="str">
        <f t="shared" si="127"/>
        <v>18000_6501</v>
      </c>
      <c r="Q2015" s="180">
        <v>100</v>
      </c>
    </row>
    <row r="2016" spans="1:17">
      <c r="A2016" t="str">
        <f t="shared" si="124"/>
        <v>UGA_6502</v>
      </c>
      <c r="B2016" t="str">
        <f t="shared" si="125"/>
        <v>UGA_WORMSLOE CABIN 2</v>
      </c>
      <c r="C2016" t="s">
        <v>443</v>
      </c>
      <c r="D2016" s="180" t="s">
        <v>51</v>
      </c>
      <c r="E2016" t="s">
        <v>1703</v>
      </c>
      <c r="F2016" t="s">
        <v>1704</v>
      </c>
      <c r="G2016" s="180">
        <v>1383</v>
      </c>
      <c r="H2016">
        <v>2016</v>
      </c>
      <c r="J2016" s="1334" t="s">
        <v>475</v>
      </c>
      <c r="K2016" s="1335" t="s">
        <v>475</v>
      </c>
      <c r="L2016" s="180">
        <v>100</v>
      </c>
      <c r="M2016" t="s">
        <v>4</v>
      </c>
      <c r="N2016" t="str">
        <f t="shared" si="126"/>
        <v>WORMSLOE CABIN 2 (6502)</v>
      </c>
      <c r="O2016" t="s">
        <v>52</v>
      </c>
      <c r="P2016" t="str">
        <f t="shared" si="127"/>
        <v>18000_6502</v>
      </c>
      <c r="Q2016" s="180">
        <v>100</v>
      </c>
    </row>
    <row r="2017" spans="1:17">
      <c r="A2017" t="str">
        <f t="shared" si="124"/>
        <v>UGA_6503</v>
      </c>
      <c r="B2017" t="str">
        <f t="shared" si="125"/>
        <v>UGA_DIRECTOR RESIDENCE</v>
      </c>
      <c r="C2017" t="s">
        <v>443</v>
      </c>
      <c r="D2017" s="180" t="s">
        <v>51</v>
      </c>
      <c r="E2017" t="s">
        <v>4060</v>
      </c>
      <c r="F2017" t="s">
        <v>4061</v>
      </c>
      <c r="G2017" s="180">
        <v>1250</v>
      </c>
      <c r="H2017">
        <v>2016</v>
      </c>
      <c r="J2017" s="1334" t="s">
        <v>475</v>
      </c>
      <c r="K2017" s="1335" t="s">
        <v>475</v>
      </c>
      <c r="L2017" s="180">
        <v>100</v>
      </c>
      <c r="M2017" t="s">
        <v>4</v>
      </c>
      <c r="N2017" t="str">
        <f t="shared" si="126"/>
        <v>DIRECTOR RESIDENCE (6503)</v>
      </c>
      <c r="O2017" t="s">
        <v>52</v>
      </c>
      <c r="P2017" t="str">
        <f t="shared" si="127"/>
        <v>18000_6503</v>
      </c>
      <c r="Q2017" s="180">
        <v>100</v>
      </c>
    </row>
    <row r="2018" spans="1:17">
      <c r="A2018" t="str">
        <f t="shared" si="124"/>
        <v>UGA_6505</v>
      </c>
      <c r="B2018" t="str">
        <f t="shared" si="125"/>
        <v>UGA_UGA - CREW: CENTER FOR RESEARC</v>
      </c>
      <c r="C2018" t="s">
        <v>443</v>
      </c>
      <c r="D2018" s="180" t="s">
        <v>51</v>
      </c>
      <c r="E2018" t="s">
        <v>7626</v>
      </c>
      <c r="F2018" t="s">
        <v>7752</v>
      </c>
      <c r="G2018" s="180">
        <v>3910</v>
      </c>
      <c r="H2018">
        <v>2022</v>
      </c>
      <c r="J2018" s="1334" t="s">
        <v>475</v>
      </c>
      <c r="K2018" s="1335" t="s">
        <v>475</v>
      </c>
      <c r="L2018" s="180">
        <v>100</v>
      </c>
      <c r="M2018" t="s">
        <v>4</v>
      </c>
      <c r="N2018" t="str">
        <f t="shared" si="126"/>
        <v>UGA - CREW: CENTER FOR RESEARC (6505)</v>
      </c>
      <c r="O2018" t="s">
        <v>52</v>
      </c>
      <c r="P2018" t="str">
        <f t="shared" si="127"/>
        <v>18000_6505</v>
      </c>
      <c r="Q2018" s="180">
        <v>100</v>
      </c>
    </row>
    <row r="2019" spans="1:17">
      <c r="A2019" t="str">
        <f t="shared" si="124"/>
        <v>UGA_7012</v>
      </c>
      <c r="B2019" t="str">
        <f t="shared" si="125"/>
        <v>UGA_SKIDAWAY MAR EXT</v>
      </c>
      <c r="C2019" t="s">
        <v>443</v>
      </c>
      <c r="D2019" s="180" t="s">
        <v>51</v>
      </c>
      <c r="E2019" t="s">
        <v>3572</v>
      </c>
      <c r="F2019" t="s">
        <v>3573</v>
      </c>
      <c r="G2019" s="180">
        <v>19930</v>
      </c>
      <c r="H2019">
        <v>1972</v>
      </c>
      <c r="J2019" s="1334" t="s">
        <v>475</v>
      </c>
      <c r="K2019" s="1335" t="s">
        <v>1520</v>
      </c>
      <c r="L2019" s="180">
        <v>0</v>
      </c>
      <c r="M2019" t="s">
        <v>4</v>
      </c>
      <c r="N2019" t="str">
        <f t="shared" si="126"/>
        <v>SKIDAWAY MAR EXT (7012)</v>
      </c>
      <c r="O2019" t="s">
        <v>52</v>
      </c>
      <c r="P2019" t="str">
        <f t="shared" si="127"/>
        <v>18000_7012</v>
      </c>
      <c r="Q2019" s="180">
        <v>100</v>
      </c>
    </row>
    <row r="2020" spans="1:17">
      <c r="A2020" t="str">
        <f t="shared" si="124"/>
        <v>UGA_7013</v>
      </c>
      <c r="B2020" t="str">
        <f t="shared" si="125"/>
        <v>UGA_SKIDAWAY DORMITORY</v>
      </c>
      <c r="C2020" t="s">
        <v>443</v>
      </c>
      <c r="D2020" s="180" t="s">
        <v>51</v>
      </c>
      <c r="E2020" t="s">
        <v>1941</v>
      </c>
      <c r="F2020" t="s">
        <v>1942</v>
      </c>
      <c r="G2020" s="180">
        <v>12717</v>
      </c>
      <c r="H2020">
        <v>1975</v>
      </c>
      <c r="J2020" s="1334" t="s">
        <v>475</v>
      </c>
      <c r="K2020" s="1335" t="s">
        <v>1520</v>
      </c>
      <c r="L2020" s="180">
        <v>0</v>
      </c>
      <c r="M2020" t="s">
        <v>4</v>
      </c>
      <c r="N2020" t="str">
        <f t="shared" si="126"/>
        <v>SKIDAWAY DORMITORY (7013)</v>
      </c>
      <c r="O2020" t="s">
        <v>52</v>
      </c>
      <c r="P2020" t="str">
        <f t="shared" si="127"/>
        <v>18000_7013</v>
      </c>
      <c r="Q2020" s="180">
        <v>100</v>
      </c>
    </row>
    <row r="2021" spans="1:17">
      <c r="A2021" t="str">
        <f t="shared" si="124"/>
        <v>UGA_7014</v>
      </c>
      <c r="B2021" t="str">
        <f t="shared" si="125"/>
        <v>UGA_SKIDAWAY DINING H</v>
      </c>
      <c r="C2021" t="s">
        <v>443</v>
      </c>
      <c r="D2021" s="180" t="s">
        <v>51</v>
      </c>
      <c r="E2021" t="s">
        <v>4124</v>
      </c>
      <c r="F2021" t="s">
        <v>4125</v>
      </c>
      <c r="G2021" s="180">
        <v>6170</v>
      </c>
      <c r="H2021">
        <v>1975</v>
      </c>
      <c r="J2021" s="1334" t="s">
        <v>475</v>
      </c>
      <c r="K2021" s="1335" t="s">
        <v>1520</v>
      </c>
      <c r="L2021" s="180">
        <v>0</v>
      </c>
      <c r="M2021" t="s">
        <v>4</v>
      </c>
      <c r="N2021" t="str">
        <f t="shared" si="126"/>
        <v>SKIDAWAY DINING H (7014)</v>
      </c>
      <c r="O2021" t="s">
        <v>52</v>
      </c>
      <c r="P2021" t="str">
        <f t="shared" si="127"/>
        <v>18000_7014</v>
      </c>
      <c r="Q2021" s="180">
        <v>0</v>
      </c>
    </row>
    <row r="2022" spans="1:17">
      <c r="A2022" t="str">
        <f t="shared" si="124"/>
        <v>UGA_7015</v>
      </c>
      <c r="B2022" t="str">
        <f t="shared" si="125"/>
        <v>UGA_SKIDAWAY SHELLFISH</v>
      </c>
      <c r="C2022" t="s">
        <v>443</v>
      </c>
      <c r="D2022" s="180" t="s">
        <v>51</v>
      </c>
      <c r="E2022" t="s">
        <v>1929</v>
      </c>
      <c r="F2022" t="s">
        <v>1930</v>
      </c>
      <c r="G2022" s="180">
        <v>8141</v>
      </c>
      <c r="H2022">
        <v>1975</v>
      </c>
      <c r="J2022" s="1334" t="s">
        <v>475</v>
      </c>
      <c r="K2022" s="1335" t="s">
        <v>1520</v>
      </c>
      <c r="L2022" s="180">
        <v>0</v>
      </c>
      <c r="M2022" t="s">
        <v>4</v>
      </c>
      <c r="N2022" t="str">
        <f t="shared" si="126"/>
        <v>SKIDAWAY SHELLFISH (7015)</v>
      </c>
      <c r="O2022" t="s">
        <v>52</v>
      </c>
      <c r="P2022" t="str">
        <f t="shared" si="127"/>
        <v>18000_7015</v>
      </c>
      <c r="Q2022" s="180">
        <v>100</v>
      </c>
    </row>
    <row r="2023" spans="1:17">
      <c r="A2023" t="str">
        <f t="shared" si="124"/>
        <v>UGA_7017</v>
      </c>
      <c r="B2023" t="str">
        <f t="shared" si="125"/>
        <v>UGA_ALGAE GROWTH HOUSE</v>
      </c>
      <c r="C2023" t="s">
        <v>443</v>
      </c>
      <c r="D2023" s="180" t="s">
        <v>51</v>
      </c>
      <c r="E2023" t="s">
        <v>3437</v>
      </c>
      <c r="F2023" t="s">
        <v>3438</v>
      </c>
      <c r="G2023" s="180">
        <v>2680</v>
      </c>
      <c r="H2023">
        <v>1989</v>
      </c>
      <c r="J2023" s="1334" t="s">
        <v>475</v>
      </c>
      <c r="K2023" s="1335" t="s">
        <v>475</v>
      </c>
      <c r="L2023" s="180">
        <v>0</v>
      </c>
      <c r="M2023" t="s">
        <v>4</v>
      </c>
      <c r="N2023" t="str">
        <f t="shared" si="126"/>
        <v>ALGAE GROWTH HOUSE (7017)</v>
      </c>
      <c r="O2023" t="s">
        <v>52</v>
      </c>
      <c r="P2023" t="str">
        <f t="shared" si="127"/>
        <v>18000_7017</v>
      </c>
      <c r="Q2023" s="180">
        <v>100</v>
      </c>
    </row>
    <row r="2024" spans="1:17">
      <c r="A2024" t="str">
        <f t="shared" si="124"/>
        <v>UGA_7018</v>
      </c>
      <c r="B2024" t="str">
        <f t="shared" si="125"/>
        <v>UGA_SKIDAWAY STORAGE</v>
      </c>
      <c r="C2024" t="s">
        <v>443</v>
      </c>
      <c r="D2024" s="180" t="s">
        <v>51</v>
      </c>
      <c r="E2024" t="s">
        <v>3142</v>
      </c>
      <c r="F2024" t="s">
        <v>3143</v>
      </c>
      <c r="G2024" s="180">
        <v>183</v>
      </c>
      <c r="H2024">
        <v>1997</v>
      </c>
      <c r="J2024" s="1334" t="s">
        <v>475</v>
      </c>
      <c r="K2024" s="1335" t="s">
        <v>475</v>
      </c>
      <c r="L2024" s="180">
        <v>0</v>
      </c>
      <c r="M2024" t="s">
        <v>4</v>
      </c>
      <c r="N2024" t="str">
        <f t="shared" si="126"/>
        <v>SKIDAWAY STORAGE (7018)</v>
      </c>
      <c r="O2024" t="s">
        <v>52</v>
      </c>
      <c r="P2024" t="str">
        <f t="shared" si="127"/>
        <v>18000_7018</v>
      </c>
      <c r="Q2024" s="180">
        <v>0</v>
      </c>
    </row>
    <row r="2025" spans="1:17">
      <c r="A2025" t="str">
        <f t="shared" si="124"/>
        <v>UGA_7022</v>
      </c>
      <c r="B2025" t="str">
        <f t="shared" si="125"/>
        <v>UGA_SKIDAWAY INT CABIN</v>
      </c>
      <c r="C2025" t="s">
        <v>443</v>
      </c>
      <c r="D2025" s="180" t="s">
        <v>51</v>
      </c>
      <c r="E2025" t="s">
        <v>1516</v>
      </c>
      <c r="F2025" t="s">
        <v>1517</v>
      </c>
      <c r="G2025" s="180">
        <v>600</v>
      </c>
      <c r="H2025">
        <v>1930</v>
      </c>
      <c r="J2025" s="1334" t="s">
        <v>475</v>
      </c>
      <c r="K2025" s="1335" t="s">
        <v>475</v>
      </c>
      <c r="L2025" s="180">
        <v>100</v>
      </c>
      <c r="M2025" t="s">
        <v>4</v>
      </c>
      <c r="N2025" t="str">
        <f t="shared" si="126"/>
        <v>SKIDAWAY INT CABIN (7022)</v>
      </c>
      <c r="O2025" t="s">
        <v>52</v>
      </c>
      <c r="P2025" t="str">
        <f t="shared" si="127"/>
        <v>18000_7022</v>
      </c>
      <c r="Q2025" s="180">
        <v>100</v>
      </c>
    </row>
    <row r="2026" spans="1:17">
      <c r="A2026" t="str">
        <f t="shared" si="124"/>
        <v>UGA_7023</v>
      </c>
      <c r="B2026" t="str">
        <f t="shared" si="125"/>
        <v>UGA_MAR EXT BOILER BLD</v>
      </c>
      <c r="C2026" t="s">
        <v>443</v>
      </c>
      <c r="D2026" s="180" t="s">
        <v>51</v>
      </c>
      <c r="E2026" t="s">
        <v>3574</v>
      </c>
      <c r="F2026" t="s">
        <v>3575</v>
      </c>
      <c r="G2026" s="180">
        <v>130</v>
      </c>
      <c r="H2026">
        <v>2000</v>
      </c>
      <c r="J2026" s="1334" t="s">
        <v>475</v>
      </c>
      <c r="K2026" s="1335" t="s">
        <v>475</v>
      </c>
      <c r="L2026" s="180">
        <v>0</v>
      </c>
      <c r="M2026" t="s">
        <v>4</v>
      </c>
      <c r="N2026" t="str">
        <f t="shared" si="126"/>
        <v>MAR EXT BOILER BLD (7023)</v>
      </c>
      <c r="O2026" t="s">
        <v>52</v>
      </c>
      <c r="P2026" t="str">
        <f t="shared" si="127"/>
        <v>18000_7023</v>
      </c>
      <c r="Q2026" s="180">
        <v>0</v>
      </c>
    </row>
    <row r="2027" spans="1:17">
      <c r="A2027" t="str">
        <f t="shared" si="124"/>
        <v>UGA_7024</v>
      </c>
      <c r="B2027" t="str">
        <f t="shared" si="125"/>
        <v>UGA_MAR EX WAREHOUSE</v>
      </c>
      <c r="C2027" t="s">
        <v>443</v>
      </c>
      <c r="D2027" s="180" t="s">
        <v>51</v>
      </c>
      <c r="E2027" t="s">
        <v>4126</v>
      </c>
      <c r="F2027" t="s">
        <v>4127</v>
      </c>
      <c r="G2027" s="180">
        <v>1045</v>
      </c>
      <c r="H2027">
        <v>2000</v>
      </c>
      <c r="J2027" s="1334" t="s">
        <v>475</v>
      </c>
      <c r="K2027" s="1335" t="s">
        <v>475</v>
      </c>
      <c r="L2027" s="180">
        <v>0</v>
      </c>
      <c r="M2027" t="s">
        <v>4</v>
      </c>
      <c r="N2027" t="str">
        <f t="shared" si="126"/>
        <v>MAR EX WAREHOUSE (7024)</v>
      </c>
      <c r="O2027" t="s">
        <v>52</v>
      </c>
      <c r="P2027" t="str">
        <f t="shared" si="127"/>
        <v>18000_7024</v>
      </c>
      <c r="Q2027" s="180">
        <v>0</v>
      </c>
    </row>
    <row r="2028" spans="1:17">
      <c r="A2028" t="str">
        <f t="shared" si="124"/>
        <v>UGA_7025</v>
      </c>
      <c r="B2028" t="str">
        <f t="shared" si="125"/>
        <v>UGA_FISHERIE BUILDING</v>
      </c>
      <c r="C2028" t="s">
        <v>443</v>
      </c>
      <c r="D2028" s="180" t="s">
        <v>51</v>
      </c>
      <c r="E2028" t="s">
        <v>1943</v>
      </c>
      <c r="F2028" t="s">
        <v>1944</v>
      </c>
      <c r="G2028" s="180">
        <v>18154</v>
      </c>
      <c r="H2028">
        <v>1980</v>
      </c>
      <c r="J2028" s="1334" t="s">
        <v>475</v>
      </c>
      <c r="K2028" s="1335" t="s">
        <v>475</v>
      </c>
      <c r="L2028" s="180">
        <v>0</v>
      </c>
      <c r="M2028" t="s">
        <v>4</v>
      </c>
      <c r="N2028" t="str">
        <f t="shared" si="126"/>
        <v>FISHERIE BUILDING (7025)</v>
      </c>
      <c r="O2028" t="s">
        <v>52</v>
      </c>
      <c r="P2028" t="str">
        <f t="shared" si="127"/>
        <v>18000_7025</v>
      </c>
      <c r="Q2028" s="180">
        <v>0</v>
      </c>
    </row>
    <row r="2029" spans="1:17">
      <c r="A2029" t="str">
        <f t="shared" si="124"/>
        <v>UGA_7028</v>
      </c>
      <c r="B2029" t="str">
        <f t="shared" si="125"/>
        <v>UGA_SPRINGER MT FM PAV</v>
      </c>
      <c r="C2029" t="s">
        <v>443</v>
      </c>
      <c r="D2029" s="180" t="s">
        <v>51</v>
      </c>
      <c r="E2029" t="s">
        <v>3144</v>
      </c>
      <c r="F2029" t="s">
        <v>3145</v>
      </c>
      <c r="G2029" s="180">
        <v>949</v>
      </c>
      <c r="H2029">
        <v>2017</v>
      </c>
      <c r="J2029" s="1334" t="s">
        <v>475</v>
      </c>
      <c r="K2029" s="1335" t="s">
        <v>475</v>
      </c>
      <c r="L2029" s="180">
        <v>0</v>
      </c>
      <c r="M2029" t="s">
        <v>4</v>
      </c>
      <c r="N2029" t="str">
        <f t="shared" si="126"/>
        <v>SPRINGER MT FM PAV (7028)</v>
      </c>
      <c r="O2029" t="s">
        <v>52</v>
      </c>
      <c r="P2029" t="str">
        <f t="shared" si="127"/>
        <v>18000_7028</v>
      </c>
      <c r="Q2029" s="180">
        <v>0</v>
      </c>
    </row>
    <row r="2030" spans="1:17">
      <c r="A2030" t="str">
        <f t="shared" si="124"/>
        <v>UGA_7029</v>
      </c>
      <c r="B2030" t="str">
        <f t="shared" si="125"/>
        <v>UGA_SOFT SHEL CRAB FAC</v>
      </c>
      <c r="C2030" t="s">
        <v>443</v>
      </c>
      <c r="D2030" s="180" t="s">
        <v>51</v>
      </c>
      <c r="E2030" t="s">
        <v>4351</v>
      </c>
      <c r="F2030" t="s">
        <v>4352</v>
      </c>
      <c r="G2030" s="180">
        <v>1769</v>
      </c>
      <c r="H2030">
        <v>1985</v>
      </c>
      <c r="J2030" s="1334" t="s">
        <v>475</v>
      </c>
      <c r="K2030" s="1335" t="s">
        <v>475</v>
      </c>
      <c r="L2030" s="180">
        <v>0</v>
      </c>
      <c r="M2030" t="s">
        <v>4</v>
      </c>
      <c r="N2030" t="str">
        <f t="shared" si="126"/>
        <v>SOFT SHEL CRAB FAC (7029)</v>
      </c>
      <c r="O2030" t="s">
        <v>52</v>
      </c>
      <c r="P2030" t="str">
        <f t="shared" si="127"/>
        <v>18000_7029</v>
      </c>
      <c r="Q2030" s="180">
        <v>0</v>
      </c>
    </row>
    <row r="2031" spans="1:17">
      <c r="A2031" t="str">
        <f t="shared" si="124"/>
        <v>UGA_7061</v>
      </c>
      <c r="B2031" t="str">
        <f t="shared" si="125"/>
        <v>UGA_OKEFE SWAMP LAB II</v>
      </c>
      <c r="C2031" t="s">
        <v>443</v>
      </c>
      <c r="D2031" s="180" t="s">
        <v>51</v>
      </c>
      <c r="E2031" t="s">
        <v>4265</v>
      </c>
      <c r="F2031" t="s">
        <v>4266</v>
      </c>
      <c r="G2031" s="180">
        <v>1792</v>
      </c>
      <c r="H2031">
        <v>1996</v>
      </c>
      <c r="J2031" s="1334" t="s">
        <v>475</v>
      </c>
      <c r="K2031" s="1335" t="s">
        <v>475</v>
      </c>
      <c r="L2031" s="180">
        <v>100</v>
      </c>
      <c r="M2031" t="s">
        <v>4</v>
      </c>
      <c r="N2031" t="str">
        <f t="shared" si="126"/>
        <v>OKEFE SWAMP LAB II (7061)</v>
      </c>
      <c r="O2031" t="s">
        <v>52</v>
      </c>
      <c r="P2031" t="str">
        <f t="shared" si="127"/>
        <v>18000_7061</v>
      </c>
      <c r="Q2031" s="180">
        <v>0</v>
      </c>
    </row>
    <row r="2032" spans="1:17">
      <c r="A2032" t="str">
        <f t="shared" si="124"/>
        <v>UGA_7080</v>
      </c>
      <c r="B2032" t="str">
        <f t="shared" si="125"/>
        <v>UGA_FIELD STATION M S</v>
      </c>
      <c r="C2032" t="s">
        <v>443</v>
      </c>
      <c r="D2032" s="180" t="s">
        <v>51</v>
      </c>
      <c r="E2032" t="s">
        <v>2859</v>
      </c>
      <c r="F2032" t="s">
        <v>2860</v>
      </c>
      <c r="G2032" s="180">
        <v>1060</v>
      </c>
      <c r="H2032">
        <v>1996</v>
      </c>
      <c r="J2032" s="1334" t="s">
        <v>475</v>
      </c>
      <c r="K2032" s="1335" t="s">
        <v>475</v>
      </c>
      <c r="L2032" s="180">
        <v>100</v>
      </c>
      <c r="M2032" t="s">
        <v>4</v>
      </c>
      <c r="N2032" t="str">
        <f t="shared" si="126"/>
        <v>FIELD STATION M S (7080)</v>
      </c>
      <c r="O2032" t="s">
        <v>52</v>
      </c>
      <c r="P2032" t="str">
        <f t="shared" si="127"/>
        <v>18000_7080</v>
      </c>
      <c r="Q2032" s="180">
        <v>0</v>
      </c>
    </row>
    <row r="2033" spans="1:17">
      <c r="A2033" t="str">
        <f t="shared" si="124"/>
        <v>UGA_7500</v>
      </c>
      <c r="B2033" t="str">
        <f t="shared" si="125"/>
        <v>UGA_ROEBLING LAB</v>
      </c>
      <c r="C2033" t="s">
        <v>443</v>
      </c>
      <c r="D2033" s="180" t="s">
        <v>51</v>
      </c>
      <c r="E2033" t="s">
        <v>2861</v>
      </c>
      <c r="F2033" t="s">
        <v>2862</v>
      </c>
      <c r="G2033" s="180">
        <v>15394</v>
      </c>
      <c r="H2033">
        <v>1968</v>
      </c>
      <c r="J2033" s="1334" t="s">
        <v>475</v>
      </c>
      <c r="K2033" s="1335" t="s">
        <v>475</v>
      </c>
      <c r="L2033" s="180">
        <v>0</v>
      </c>
      <c r="M2033" t="s">
        <v>4</v>
      </c>
      <c r="N2033" t="str">
        <f t="shared" si="126"/>
        <v>ROEBLING LAB (7500)</v>
      </c>
      <c r="O2033" t="s">
        <v>52</v>
      </c>
      <c r="P2033" t="str">
        <f t="shared" si="127"/>
        <v>18000_7500</v>
      </c>
      <c r="Q2033" s="180">
        <v>0</v>
      </c>
    </row>
    <row r="2034" spans="1:17">
      <c r="A2034" t="str">
        <f t="shared" si="124"/>
        <v>UGA_7501</v>
      </c>
      <c r="B2034" t="str">
        <f t="shared" si="125"/>
        <v>UGA_MECHANICAL SHOP-W1</v>
      </c>
      <c r="C2034" t="s">
        <v>443</v>
      </c>
      <c r="D2034" s="180" t="s">
        <v>51</v>
      </c>
      <c r="E2034" t="s">
        <v>3483</v>
      </c>
      <c r="F2034" t="s">
        <v>3484</v>
      </c>
      <c r="G2034" s="180">
        <v>6000</v>
      </c>
      <c r="H2034">
        <v>1945</v>
      </c>
      <c r="J2034" s="1334" t="s">
        <v>475</v>
      </c>
      <c r="K2034" s="1335" t="s">
        <v>475</v>
      </c>
      <c r="L2034" s="180">
        <v>0</v>
      </c>
      <c r="M2034" t="s">
        <v>4</v>
      </c>
      <c r="N2034" t="str">
        <f t="shared" si="126"/>
        <v>MECHANICAL SHOP-W1 (7501)</v>
      </c>
      <c r="O2034" t="s">
        <v>52</v>
      </c>
      <c r="P2034" t="str">
        <f t="shared" si="127"/>
        <v>18000_7501</v>
      </c>
      <c r="Q2034" s="180">
        <v>0</v>
      </c>
    </row>
    <row r="2035" spans="1:17">
      <c r="A2035" t="str">
        <f t="shared" si="124"/>
        <v>UGA_7502</v>
      </c>
      <c r="B2035" t="str">
        <f t="shared" si="125"/>
        <v>UGA_OCN SCI INSTR CTR</v>
      </c>
      <c r="C2035" t="s">
        <v>443</v>
      </c>
      <c r="D2035" s="180" t="s">
        <v>51</v>
      </c>
      <c r="E2035" t="s">
        <v>2636</v>
      </c>
      <c r="F2035" t="s">
        <v>2637</v>
      </c>
      <c r="G2035" s="180">
        <v>12563</v>
      </c>
      <c r="H2035">
        <v>1945</v>
      </c>
      <c r="J2035" s="1334" t="s">
        <v>475</v>
      </c>
      <c r="K2035" s="1335" t="s">
        <v>475</v>
      </c>
      <c r="L2035" s="180">
        <v>0</v>
      </c>
      <c r="M2035" t="s">
        <v>4</v>
      </c>
      <c r="N2035" t="str">
        <f t="shared" si="126"/>
        <v>OCN SCI INSTR CTR (7502)</v>
      </c>
      <c r="O2035" t="s">
        <v>52</v>
      </c>
      <c r="P2035" t="str">
        <f t="shared" si="127"/>
        <v>18000_7502</v>
      </c>
      <c r="Q2035" s="180">
        <v>0</v>
      </c>
    </row>
    <row r="2036" spans="1:17">
      <c r="A2036" t="str">
        <f t="shared" si="124"/>
        <v>UGA_7503</v>
      </c>
      <c r="B2036" t="str">
        <f t="shared" si="125"/>
        <v>UGA_LIFE SCIENCES</v>
      </c>
      <c r="C2036" t="s">
        <v>443</v>
      </c>
      <c r="D2036" s="180" t="s">
        <v>51</v>
      </c>
      <c r="E2036" t="s">
        <v>2869</v>
      </c>
      <c r="F2036" t="s">
        <v>2870</v>
      </c>
      <c r="G2036" s="180">
        <v>3611</v>
      </c>
      <c r="H2036">
        <v>1971</v>
      </c>
      <c r="J2036" s="1334" t="s">
        <v>475</v>
      </c>
      <c r="K2036" s="1335" t="s">
        <v>475</v>
      </c>
      <c r="L2036" s="180">
        <v>0</v>
      </c>
      <c r="M2036" t="s">
        <v>4</v>
      </c>
      <c r="N2036" t="str">
        <f t="shared" si="126"/>
        <v>LIFE SCIENCES (7503)</v>
      </c>
      <c r="O2036" t="s">
        <v>52</v>
      </c>
      <c r="P2036" t="str">
        <f t="shared" si="127"/>
        <v>18000_7503</v>
      </c>
      <c r="Q2036" s="180">
        <v>0</v>
      </c>
    </row>
    <row r="2037" spans="1:17">
      <c r="A2037" t="str">
        <f t="shared" si="124"/>
        <v>UGA_7504</v>
      </c>
      <c r="B2037" t="str">
        <f t="shared" si="125"/>
        <v>UGA_MARINE OPRTNS STRG</v>
      </c>
      <c r="C2037" t="s">
        <v>443</v>
      </c>
      <c r="D2037" s="180" t="s">
        <v>51</v>
      </c>
      <c r="E2037" t="s">
        <v>3250</v>
      </c>
      <c r="F2037" t="s">
        <v>3251</v>
      </c>
      <c r="G2037" s="180">
        <v>1900</v>
      </c>
      <c r="H2037">
        <v>1991</v>
      </c>
      <c r="J2037" s="1334" t="s">
        <v>475</v>
      </c>
      <c r="K2037" s="1335" t="s">
        <v>475</v>
      </c>
      <c r="L2037" s="180">
        <v>0</v>
      </c>
      <c r="M2037" t="s">
        <v>4</v>
      </c>
      <c r="N2037" t="str">
        <f t="shared" si="126"/>
        <v>MARINE OPRTNS STRG (7504)</v>
      </c>
      <c r="O2037" t="s">
        <v>52</v>
      </c>
      <c r="P2037" t="str">
        <f t="shared" si="127"/>
        <v>18000_7504</v>
      </c>
      <c r="Q2037" s="180">
        <v>0</v>
      </c>
    </row>
    <row r="2038" spans="1:17">
      <c r="A2038" t="str">
        <f t="shared" si="124"/>
        <v>UGA_7505</v>
      </c>
      <c r="B2038" t="str">
        <f t="shared" si="125"/>
        <v>UGA_BAGGETT APARTMENT</v>
      </c>
      <c r="C2038" t="s">
        <v>443</v>
      </c>
      <c r="D2038" s="180" t="s">
        <v>51</v>
      </c>
      <c r="E2038" t="s">
        <v>1887</v>
      </c>
      <c r="F2038" t="s">
        <v>1888</v>
      </c>
      <c r="G2038" s="180">
        <v>1050</v>
      </c>
      <c r="H2038">
        <v>1945</v>
      </c>
      <c r="J2038" s="1334" t="s">
        <v>475</v>
      </c>
      <c r="K2038" s="1335" t="s">
        <v>475</v>
      </c>
      <c r="L2038" s="180">
        <v>0</v>
      </c>
      <c r="M2038" t="s">
        <v>4</v>
      </c>
      <c r="N2038" t="str">
        <f t="shared" si="126"/>
        <v>BAGGETT APARTMENT (7505)</v>
      </c>
      <c r="O2038" t="s">
        <v>52</v>
      </c>
      <c r="P2038" t="str">
        <f t="shared" si="127"/>
        <v>18000_7505</v>
      </c>
      <c r="Q2038" s="180">
        <v>0</v>
      </c>
    </row>
    <row r="2039" spans="1:17">
      <c r="A2039" t="str">
        <f t="shared" si="124"/>
        <v>UGA_7506</v>
      </c>
      <c r="B2039" t="str">
        <f t="shared" si="125"/>
        <v>UGA_ROEBLING CONF CTR</v>
      </c>
      <c r="C2039" t="s">
        <v>443</v>
      </c>
      <c r="D2039" s="180" t="s">
        <v>51</v>
      </c>
      <c r="E2039" t="s">
        <v>1705</v>
      </c>
      <c r="F2039" t="s">
        <v>1706</v>
      </c>
      <c r="G2039" s="180">
        <v>3000</v>
      </c>
      <c r="H2039">
        <v>1945</v>
      </c>
      <c r="J2039" s="1334" t="s">
        <v>475</v>
      </c>
      <c r="K2039" s="1335" t="s">
        <v>475</v>
      </c>
      <c r="L2039" s="180">
        <v>0</v>
      </c>
      <c r="M2039" t="s">
        <v>4</v>
      </c>
      <c r="N2039" t="str">
        <f t="shared" si="126"/>
        <v>ROEBLING CONF CTR (7506)</v>
      </c>
      <c r="O2039" t="s">
        <v>52</v>
      </c>
      <c r="P2039" t="str">
        <f t="shared" si="127"/>
        <v>18000_7506</v>
      </c>
      <c r="Q2039" s="180">
        <v>0</v>
      </c>
    </row>
    <row r="2040" spans="1:17">
      <c r="A2040" t="str">
        <f t="shared" si="124"/>
        <v>UGA_7508</v>
      </c>
      <c r="B2040" t="str">
        <f t="shared" si="125"/>
        <v>UGA_LAUNDRY  BUILDING</v>
      </c>
      <c r="C2040" t="s">
        <v>443</v>
      </c>
      <c r="D2040" s="180" t="s">
        <v>51</v>
      </c>
      <c r="E2040" t="s">
        <v>4267</v>
      </c>
      <c r="F2040" t="s">
        <v>4268</v>
      </c>
      <c r="G2040" s="180">
        <v>125</v>
      </c>
      <c r="H2040">
        <v>1994</v>
      </c>
      <c r="J2040" s="1334" t="s">
        <v>475</v>
      </c>
      <c r="K2040" s="1335" t="s">
        <v>475</v>
      </c>
      <c r="L2040" s="180">
        <v>0</v>
      </c>
      <c r="M2040" t="s">
        <v>4</v>
      </c>
      <c r="N2040" t="str">
        <f t="shared" si="126"/>
        <v>LAUNDRY  BUILDING (7508)</v>
      </c>
      <c r="O2040" t="s">
        <v>52</v>
      </c>
      <c r="P2040" t="str">
        <f t="shared" si="127"/>
        <v>18000_7508</v>
      </c>
      <c r="Q2040" s="180">
        <v>0</v>
      </c>
    </row>
    <row r="2041" spans="1:17">
      <c r="A2041" t="str">
        <f t="shared" si="124"/>
        <v>UGA_7509</v>
      </c>
      <c r="B2041" t="str">
        <f t="shared" si="125"/>
        <v>UGA_SCALE HOUSE</v>
      </c>
      <c r="C2041" t="s">
        <v>443</v>
      </c>
      <c r="D2041" s="180" t="s">
        <v>51</v>
      </c>
      <c r="E2041" t="s">
        <v>3146</v>
      </c>
      <c r="F2041" t="s">
        <v>3147</v>
      </c>
      <c r="G2041" s="180">
        <v>495</v>
      </c>
      <c r="H2041">
        <v>1945</v>
      </c>
      <c r="J2041" s="1334" t="s">
        <v>475</v>
      </c>
      <c r="K2041" s="1335" t="s">
        <v>475</v>
      </c>
      <c r="L2041" s="180">
        <v>0</v>
      </c>
      <c r="M2041" t="s">
        <v>4</v>
      </c>
      <c r="N2041" t="str">
        <f t="shared" si="126"/>
        <v>SCALE HOUSE (7509)</v>
      </c>
      <c r="O2041" t="s">
        <v>52</v>
      </c>
      <c r="P2041" t="str">
        <f t="shared" si="127"/>
        <v>18000_7509</v>
      </c>
      <c r="Q2041" s="180">
        <v>0</v>
      </c>
    </row>
    <row r="2042" spans="1:17">
      <c r="A2042" t="str">
        <f t="shared" si="124"/>
        <v>UGA_7510</v>
      </c>
      <c r="B2042" t="str">
        <f t="shared" si="125"/>
        <v>UGA_LIBRARY</v>
      </c>
      <c r="C2042" t="s">
        <v>443</v>
      </c>
      <c r="D2042" s="180" t="s">
        <v>51</v>
      </c>
      <c r="E2042" t="s">
        <v>3821</v>
      </c>
      <c r="F2042" t="s">
        <v>3822</v>
      </c>
      <c r="G2042" s="180">
        <v>6109</v>
      </c>
      <c r="H2042">
        <v>1979</v>
      </c>
      <c r="J2042" s="1334" t="s">
        <v>475</v>
      </c>
      <c r="K2042" s="1335" t="s">
        <v>475</v>
      </c>
      <c r="L2042" s="180">
        <v>0</v>
      </c>
      <c r="M2042" t="s">
        <v>4</v>
      </c>
      <c r="N2042" t="str">
        <f t="shared" si="126"/>
        <v>LIBRARY (7510)</v>
      </c>
      <c r="O2042" t="s">
        <v>52</v>
      </c>
      <c r="P2042" t="str">
        <f t="shared" si="127"/>
        <v>18000_7510</v>
      </c>
      <c r="Q2042" s="180">
        <v>100</v>
      </c>
    </row>
    <row r="2043" spans="1:17">
      <c r="A2043" t="str">
        <f t="shared" si="124"/>
        <v>UGA_7512</v>
      </c>
      <c r="B2043" t="str">
        <f t="shared" si="125"/>
        <v>UGA_MCSRIC</v>
      </c>
      <c r="C2043" t="s">
        <v>443</v>
      </c>
      <c r="D2043" s="180" t="s">
        <v>51</v>
      </c>
      <c r="E2043" t="s">
        <v>2581</v>
      </c>
      <c r="F2043" t="s">
        <v>2582</v>
      </c>
      <c r="G2043" s="180">
        <v>11282</v>
      </c>
      <c r="H2043">
        <v>2009</v>
      </c>
      <c r="J2043" s="1334" t="s">
        <v>475</v>
      </c>
      <c r="K2043" s="1335" t="s">
        <v>475</v>
      </c>
      <c r="L2043" s="180">
        <v>0</v>
      </c>
      <c r="M2043" t="s">
        <v>4</v>
      </c>
      <c r="N2043" t="str">
        <f t="shared" si="126"/>
        <v>MCSRIC (7512)</v>
      </c>
      <c r="O2043" t="s">
        <v>52</v>
      </c>
      <c r="P2043" t="str">
        <f t="shared" si="127"/>
        <v>18000_7512</v>
      </c>
      <c r="Q2043" s="180">
        <v>100</v>
      </c>
    </row>
    <row r="2044" spans="1:17">
      <c r="A2044" t="str">
        <f t="shared" si="124"/>
        <v>UGA_7514</v>
      </c>
      <c r="B2044" t="str">
        <f t="shared" si="125"/>
        <v>UGA_CANOPY SHED</v>
      </c>
      <c r="C2044" t="s">
        <v>443</v>
      </c>
      <c r="D2044" s="180" t="s">
        <v>51</v>
      </c>
      <c r="E2044" t="s">
        <v>4128</v>
      </c>
      <c r="F2044" t="s">
        <v>4129</v>
      </c>
      <c r="G2044" s="180">
        <v>600</v>
      </c>
      <c r="H2044">
        <v>1969</v>
      </c>
      <c r="J2044" s="1334" t="s">
        <v>475</v>
      </c>
      <c r="K2044" s="1335" t="s">
        <v>475</v>
      </c>
      <c r="L2044" s="180">
        <v>0</v>
      </c>
      <c r="M2044" t="s">
        <v>4</v>
      </c>
      <c r="N2044" t="str">
        <f t="shared" si="126"/>
        <v>CANOPY SHED (7514)</v>
      </c>
      <c r="O2044" t="s">
        <v>52</v>
      </c>
      <c r="P2044" t="str">
        <f t="shared" si="127"/>
        <v>18000_7514</v>
      </c>
      <c r="Q2044" s="180">
        <v>100</v>
      </c>
    </row>
    <row r="2045" spans="1:17">
      <c r="A2045" t="str">
        <f t="shared" si="124"/>
        <v>UGA_7516</v>
      </c>
      <c r="B2045" t="str">
        <f t="shared" si="125"/>
        <v>UGA_GSU WAREHOUSE</v>
      </c>
      <c r="C2045" t="s">
        <v>443</v>
      </c>
      <c r="D2045" s="180" t="s">
        <v>51</v>
      </c>
      <c r="E2045" t="s">
        <v>2251</v>
      </c>
      <c r="F2045" t="s">
        <v>2252</v>
      </c>
      <c r="G2045" s="180">
        <v>600</v>
      </c>
      <c r="H2045">
        <v>2000</v>
      </c>
      <c r="J2045" s="1334" t="s">
        <v>475</v>
      </c>
      <c r="K2045" s="1335" t="s">
        <v>475</v>
      </c>
      <c r="L2045" s="180">
        <v>0</v>
      </c>
      <c r="M2045" t="s">
        <v>4</v>
      </c>
      <c r="N2045" t="str">
        <f t="shared" si="126"/>
        <v>GSU WAREHOUSE (7516)</v>
      </c>
      <c r="O2045" t="s">
        <v>52</v>
      </c>
      <c r="P2045" t="str">
        <f t="shared" si="127"/>
        <v>18000_7516</v>
      </c>
      <c r="Q2045" s="180">
        <v>100</v>
      </c>
    </row>
    <row r="2046" spans="1:17">
      <c r="A2046" t="str">
        <f t="shared" si="124"/>
        <v>UGA_7517</v>
      </c>
      <c r="B2046" t="str">
        <f t="shared" si="125"/>
        <v>UGA_GA SOU LAB</v>
      </c>
      <c r="C2046" t="s">
        <v>443</v>
      </c>
      <c r="D2046" s="180" t="s">
        <v>51</v>
      </c>
      <c r="E2046" t="s">
        <v>3403</v>
      </c>
      <c r="F2046" t="s">
        <v>3404</v>
      </c>
      <c r="G2046" s="180">
        <v>2550</v>
      </c>
      <c r="H2046">
        <v>1955</v>
      </c>
      <c r="J2046" s="1334" t="s">
        <v>475</v>
      </c>
      <c r="K2046" s="1335" t="s">
        <v>475</v>
      </c>
      <c r="L2046" s="180">
        <v>0</v>
      </c>
      <c r="M2046" t="s">
        <v>4</v>
      </c>
      <c r="N2046" t="str">
        <f t="shared" si="126"/>
        <v>GA SOU LAB (7517)</v>
      </c>
      <c r="O2046" t="s">
        <v>52</v>
      </c>
      <c r="P2046" t="str">
        <f t="shared" si="127"/>
        <v>18000_7517</v>
      </c>
      <c r="Q2046" s="180">
        <v>100</v>
      </c>
    </row>
    <row r="2047" spans="1:17">
      <c r="A2047" t="str">
        <f t="shared" si="124"/>
        <v>UGA_7518</v>
      </c>
      <c r="B2047" t="str">
        <f t="shared" si="125"/>
        <v>UGA_MARINE OPS STORAGE</v>
      </c>
      <c r="C2047" t="s">
        <v>443</v>
      </c>
      <c r="D2047" s="180" t="s">
        <v>51</v>
      </c>
      <c r="E2047" t="s">
        <v>4130</v>
      </c>
      <c r="F2047" t="s">
        <v>4131</v>
      </c>
      <c r="G2047" s="180">
        <v>875</v>
      </c>
      <c r="H2047">
        <v>1955</v>
      </c>
      <c r="J2047" s="1334" t="s">
        <v>475</v>
      </c>
      <c r="K2047" s="1335" t="s">
        <v>475</v>
      </c>
      <c r="L2047" s="180">
        <v>0</v>
      </c>
      <c r="M2047" t="s">
        <v>4</v>
      </c>
      <c r="N2047" t="str">
        <f t="shared" si="126"/>
        <v>MARINE OPS STORAGE (7518)</v>
      </c>
      <c r="O2047" t="s">
        <v>52</v>
      </c>
      <c r="P2047" t="str">
        <f t="shared" si="127"/>
        <v>18000_7518</v>
      </c>
      <c r="Q2047" s="180">
        <v>0</v>
      </c>
    </row>
    <row r="2048" spans="1:17">
      <c r="A2048" t="str">
        <f t="shared" si="124"/>
        <v>UGA_7520</v>
      </c>
      <c r="B2048" t="str">
        <f t="shared" si="125"/>
        <v>UGA_RV SAVANNAH</v>
      </c>
      <c r="C2048" t="s">
        <v>443</v>
      </c>
      <c r="D2048" s="180" t="s">
        <v>51</v>
      </c>
      <c r="E2048" t="s">
        <v>3363</v>
      </c>
      <c r="F2048" t="s">
        <v>3364</v>
      </c>
      <c r="G2048" s="180">
        <v>6132</v>
      </c>
      <c r="H2048">
        <v>2001</v>
      </c>
      <c r="J2048" s="1334" t="s">
        <v>475</v>
      </c>
      <c r="K2048" s="1335" t="s">
        <v>475</v>
      </c>
      <c r="L2048" s="180">
        <v>0</v>
      </c>
      <c r="M2048" t="s">
        <v>4</v>
      </c>
      <c r="N2048" t="str">
        <f t="shared" si="126"/>
        <v>RV SAVANNAH (7520)</v>
      </c>
      <c r="O2048" t="s">
        <v>52</v>
      </c>
      <c r="P2048" t="str">
        <f t="shared" si="127"/>
        <v>18000_7520</v>
      </c>
      <c r="Q2048" s="180">
        <v>0</v>
      </c>
    </row>
    <row r="2049" spans="1:17">
      <c r="A2049" t="str">
        <f t="shared" si="124"/>
        <v>UGA_7521</v>
      </c>
      <c r="B2049" t="str">
        <f t="shared" si="125"/>
        <v>UGA_SKIDAWAY COMMONS</v>
      </c>
      <c r="C2049" t="s">
        <v>443</v>
      </c>
      <c r="D2049" s="180" t="s">
        <v>51</v>
      </c>
      <c r="E2049" t="s">
        <v>2794</v>
      </c>
      <c r="F2049" t="s">
        <v>2795</v>
      </c>
      <c r="G2049" s="180">
        <v>1920</v>
      </c>
      <c r="H2049">
        <v>2001</v>
      </c>
      <c r="J2049" s="1334" t="s">
        <v>475</v>
      </c>
      <c r="K2049" s="1335" t="s">
        <v>475</v>
      </c>
      <c r="L2049" s="180">
        <v>0</v>
      </c>
      <c r="M2049" t="s">
        <v>4</v>
      </c>
      <c r="N2049" t="str">
        <f t="shared" si="126"/>
        <v>SKIDAWAY COMMONS (7521)</v>
      </c>
      <c r="O2049" t="s">
        <v>52</v>
      </c>
      <c r="P2049" t="str">
        <f t="shared" si="127"/>
        <v>18000_7521</v>
      </c>
      <c r="Q2049" s="180">
        <v>0</v>
      </c>
    </row>
    <row r="2050" spans="1:17">
      <c r="A2050" t="str">
        <f t="shared" si="124"/>
        <v>UGA_7524</v>
      </c>
      <c r="B2050" t="str">
        <f t="shared" si="125"/>
        <v>UGA_BERM FACILITY</v>
      </c>
      <c r="C2050" t="s">
        <v>443</v>
      </c>
      <c r="D2050" s="180" t="s">
        <v>51</v>
      </c>
      <c r="E2050" t="s">
        <v>2253</v>
      </c>
      <c r="F2050" t="s">
        <v>2254</v>
      </c>
      <c r="G2050" s="180">
        <v>720</v>
      </c>
      <c r="H2050">
        <v>1993</v>
      </c>
      <c r="J2050" s="1334" t="s">
        <v>475</v>
      </c>
      <c r="K2050" s="1335" t="s">
        <v>475</v>
      </c>
      <c r="L2050" s="180">
        <v>0</v>
      </c>
      <c r="M2050" t="s">
        <v>4</v>
      </c>
      <c r="N2050" t="str">
        <f t="shared" si="126"/>
        <v>BERM FACILITY (7524)</v>
      </c>
      <c r="O2050" t="s">
        <v>52</v>
      </c>
      <c r="P2050" t="str">
        <f t="shared" si="127"/>
        <v>18000_7524</v>
      </c>
      <c r="Q2050" s="180">
        <v>0</v>
      </c>
    </row>
    <row r="2051" spans="1:17">
      <c r="A2051" t="str">
        <f t="shared" ref="A2051:A2114" si="128">_xlfn.CONCAT(D2051,"_",E2051)</f>
        <v>UGA_7525</v>
      </c>
      <c r="B2051" t="str">
        <f t="shared" ref="B2051:B2114" si="129">_xlfn.CONCAT(D2051,"_",F2051)</f>
        <v>UGA_MAINT SHOP-S8</v>
      </c>
      <c r="C2051" t="s">
        <v>443</v>
      </c>
      <c r="D2051" s="180" t="s">
        <v>51</v>
      </c>
      <c r="E2051" t="s">
        <v>2255</v>
      </c>
      <c r="F2051" t="s">
        <v>2256</v>
      </c>
      <c r="G2051" s="180">
        <v>3120</v>
      </c>
      <c r="H2051">
        <v>1975</v>
      </c>
      <c r="J2051" s="1334" t="s">
        <v>475</v>
      </c>
      <c r="K2051" s="1335" t="s">
        <v>475</v>
      </c>
      <c r="L2051" s="180">
        <v>0</v>
      </c>
      <c r="M2051" t="s">
        <v>4</v>
      </c>
      <c r="N2051" t="str">
        <f t="shared" ref="N2051:N2114" si="130">_xlfn.CONCAT(F2051," (",E2051,")")</f>
        <v>MAINT SHOP-S8 (7525)</v>
      </c>
      <c r="O2051" t="s">
        <v>52</v>
      </c>
      <c r="P2051" t="str">
        <f t="shared" ref="P2051:P2114" si="131">_xlfn.CONCAT(C2051,"_",E2051)</f>
        <v>18000_7525</v>
      </c>
      <c r="Q2051" s="180">
        <v>0</v>
      </c>
    </row>
    <row r="2052" spans="1:17">
      <c r="A2052" t="str">
        <f t="shared" si="128"/>
        <v>UGA_7526</v>
      </c>
      <c r="B2052" t="str">
        <f t="shared" si="129"/>
        <v>UGA_SALTWATER LAB</v>
      </c>
      <c r="C2052" t="s">
        <v>443</v>
      </c>
      <c r="D2052" s="180" t="s">
        <v>51</v>
      </c>
      <c r="E2052" t="s">
        <v>4132</v>
      </c>
      <c r="F2052" t="s">
        <v>4133</v>
      </c>
      <c r="G2052" s="180">
        <v>2880</v>
      </c>
      <c r="H2052">
        <v>1955</v>
      </c>
      <c r="J2052" s="1334" t="s">
        <v>475</v>
      </c>
      <c r="K2052" s="1335" t="s">
        <v>475</v>
      </c>
      <c r="L2052" s="180">
        <v>0</v>
      </c>
      <c r="M2052" t="s">
        <v>4</v>
      </c>
      <c r="N2052" t="str">
        <f t="shared" si="130"/>
        <v>SALTWATER LAB (7526)</v>
      </c>
      <c r="O2052" t="s">
        <v>52</v>
      </c>
      <c r="P2052" t="str">
        <f t="shared" si="131"/>
        <v>18000_7526</v>
      </c>
      <c r="Q2052" s="180">
        <v>0</v>
      </c>
    </row>
    <row r="2053" spans="1:17">
      <c r="A2053" t="str">
        <f t="shared" si="128"/>
        <v>UGA_7528</v>
      </c>
      <c r="B2053" t="str">
        <f t="shared" si="129"/>
        <v>UGA_DUPLEX MARTIN/THOM</v>
      </c>
      <c r="C2053" t="s">
        <v>443</v>
      </c>
      <c r="D2053" s="180" t="s">
        <v>51</v>
      </c>
      <c r="E2053" t="s">
        <v>1945</v>
      </c>
      <c r="F2053" t="s">
        <v>1946</v>
      </c>
      <c r="G2053" s="180">
        <v>1220</v>
      </c>
      <c r="H2053">
        <v>1952</v>
      </c>
      <c r="J2053" s="1334" t="s">
        <v>475</v>
      </c>
      <c r="K2053" s="1335" t="s">
        <v>475</v>
      </c>
      <c r="L2053" s="180">
        <v>0</v>
      </c>
      <c r="M2053" t="s">
        <v>4</v>
      </c>
      <c r="N2053" t="str">
        <f t="shared" si="130"/>
        <v>DUPLEX MARTIN/THOM (7528)</v>
      </c>
      <c r="O2053" t="s">
        <v>52</v>
      </c>
      <c r="P2053" t="str">
        <f t="shared" si="131"/>
        <v>18000_7528</v>
      </c>
      <c r="Q2053" s="180">
        <v>0</v>
      </c>
    </row>
    <row r="2054" spans="1:17">
      <c r="A2054" t="str">
        <f t="shared" si="128"/>
        <v>UGA_7530</v>
      </c>
      <c r="B2054" t="str">
        <f t="shared" si="129"/>
        <v>UGA_RICE HOUSE</v>
      </c>
      <c r="C2054" t="s">
        <v>443</v>
      </c>
      <c r="D2054" s="180" t="s">
        <v>51</v>
      </c>
      <c r="E2054" t="s">
        <v>4341</v>
      </c>
      <c r="F2054" t="s">
        <v>4342</v>
      </c>
      <c r="G2054" s="180">
        <v>1920</v>
      </c>
      <c r="H2054">
        <v>1955</v>
      </c>
      <c r="J2054" s="1334" t="s">
        <v>475</v>
      </c>
      <c r="K2054" s="1335" t="s">
        <v>475</v>
      </c>
      <c r="L2054" s="180">
        <v>0</v>
      </c>
      <c r="M2054" t="s">
        <v>4</v>
      </c>
      <c r="N2054" t="str">
        <f t="shared" si="130"/>
        <v>RICE HOUSE (7530)</v>
      </c>
      <c r="O2054" t="s">
        <v>52</v>
      </c>
      <c r="P2054" t="str">
        <f t="shared" si="131"/>
        <v>18000_7530</v>
      </c>
      <c r="Q2054" s="180">
        <v>0</v>
      </c>
    </row>
    <row r="2055" spans="1:17">
      <c r="A2055" t="str">
        <f t="shared" si="128"/>
        <v>UGA_7531</v>
      </c>
      <c r="B2055" t="str">
        <f t="shared" si="129"/>
        <v>UGA_GAS BOTTLE STORAGE</v>
      </c>
      <c r="C2055" t="s">
        <v>443</v>
      </c>
      <c r="D2055" s="180" t="s">
        <v>51</v>
      </c>
      <c r="E2055" t="s">
        <v>1482</v>
      </c>
      <c r="F2055" t="s">
        <v>1483</v>
      </c>
      <c r="G2055" s="180">
        <v>600</v>
      </c>
      <c r="H2055">
        <v>1969</v>
      </c>
      <c r="J2055" s="1334" t="s">
        <v>475</v>
      </c>
      <c r="K2055" s="1335" t="s">
        <v>475</v>
      </c>
      <c r="L2055" s="180">
        <v>0</v>
      </c>
      <c r="M2055" t="s">
        <v>4</v>
      </c>
      <c r="N2055" t="str">
        <f t="shared" si="130"/>
        <v>GAS BOTTLE STORAGE (7531)</v>
      </c>
      <c r="O2055" t="s">
        <v>52</v>
      </c>
      <c r="P2055" t="str">
        <f t="shared" si="131"/>
        <v>18000_7531</v>
      </c>
      <c r="Q2055" s="180">
        <v>0</v>
      </c>
    </row>
    <row r="2056" spans="1:17">
      <c r="A2056" t="str">
        <f t="shared" si="128"/>
        <v>UGA_7532</v>
      </c>
      <c r="B2056" t="str">
        <f t="shared" si="129"/>
        <v>UGA_QUAD APARTMENTS</v>
      </c>
      <c r="C2056" t="s">
        <v>443</v>
      </c>
      <c r="D2056" s="180" t="s">
        <v>51</v>
      </c>
      <c r="E2056" t="s">
        <v>2071</v>
      </c>
      <c r="F2056" t="s">
        <v>2072</v>
      </c>
      <c r="G2056" s="180">
        <v>3903</v>
      </c>
      <c r="H2056">
        <v>1993</v>
      </c>
      <c r="J2056" s="1334" t="s">
        <v>475</v>
      </c>
      <c r="K2056" s="1335" t="s">
        <v>475</v>
      </c>
      <c r="L2056" s="180">
        <v>0</v>
      </c>
      <c r="M2056" t="s">
        <v>4</v>
      </c>
      <c r="N2056" t="str">
        <f t="shared" si="130"/>
        <v>QUAD APARTMENTS (7532)</v>
      </c>
      <c r="O2056" t="s">
        <v>52</v>
      </c>
      <c r="P2056" t="str">
        <f t="shared" si="131"/>
        <v>18000_7532</v>
      </c>
      <c r="Q2056" s="180">
        <v>0</v>
      </c>
    </row>
    <row r="2057" spans="1:17">
      <c r="A2057" t="str">
        <f t="shared" si="128"/>
        <v>UGA_7534</v>
      </c>
      <c r="B2057" t="str">
        <f t="shared" si="129"/>
        <v>UGA_CONFERENCE ANN.-M6</v>
      </c>
      <c r="C2057" t="s">
        <v>443</v>
      </c>
      <c r="D2057" s="180" t="s">
        <v>51</v>
      </c>
      <c r="E2057" t="s">
        <v>1947</v>
      </c>
      <c r="F2057" t="s">
        <v>1948</v>
      </c>
      <c r="G2057" s="180">
        <v>322</v>
      </c>
      <c r="H2057">
        <v>1945</v>
      </c>
      <c r="J2057" s="1334" t="s">
        <v>475</v>
      </c>
      <c r="K2057" s="1335" t="s">
        <v>475</v>
      </c>
      <c r="L2057" s="180">
        <v>0</v>
      </c>
      <c r="M2057" t="s">
        <v>4</v>
      </c>
      <c r="N2057" t="str">
        <f t="shared" si="130"/>
        <v>CONFERENCE ANN.-M6 (7534)</v>
      </c>
      <c r="O2057" t="s">
        <v>52</v>
      </c>
      <c r="P2057" t="str">
        <f t="shared" si="131"/>
        <v>18000_7534</v>
      </c>
      <c r="Q2057" s="180">
        <v>0</v>
      </c>
    </row>
    <row r="2058" spans="1:17">
      <c r="A2058" t="str">
        <f t="shared" si="128"/>
        <v>UGA_7535</v>
      </c>
      <c r="B2058" t="str">
        <f t="shared" si="129"/>
        <v>UGA_POSTDOC BUILDING</v>
      </c>
      <c r="C2058" t="s">
        <v>443</v>
      </c>
      <c r="D2058" s="180" t="s">
        <v>51</v>
      </c>
      <c r="E2058" t="s">
        <v>1810</v>
      </c>
      <c r="F2058" t="s">
        <v>1811</v>
      </c>
      <c r="G2058" s="180">
        <v>2726</v>
      </c>
      <c r="H2058">
        <v>1955</v>
      </c>
      <c r="J2058" s="1334" t="s">
        <v>475</v>
      </c>
      <c r="K2058" s="1335" t="s">
        <v>475</v>
      </c>
      <c r="L2058" s="180">
        <v>0</v>
      </c>
      <c r="M2058" t="s">
        <v>4</v>
      </c>
      <c r="N2058" t="str">
        <f t="shared" si="130"/>
        <v>POSTDOC BUILDING (7535)</v>
      </c>
      <c r="O2058" t="s">
        <v>52</v>
      </c>
      <c r="P2058" t="str">
        <f t="shared" si="131"/>
        <v>18000_7535</v>
      </c>
      <c r="Q2058" s="180">
        <v>0</v>
      </c>
    </row>
    <row r="2059" spans="1:17">
      <c r="A2059" t="str">
        <f t="shared" si="128"/>
        <v>UGA_7536</v>
      </c>
      <c r="B2059" t="str">
        <f t="shared" si="129"/>
        <v>UGA_CHEMICAL STORAGE</v>
      </c>
      <c r="C2059" t="s">
        <v>443</v>
      </c>
      <c r="D2059" s="180" t="s">
        <v>51</v>
      </c>
      <c r="E2059" t="s">
        <v>3691</v>
      </c>
      <c r="F2059" t="s">
        <v>2067</v>
      </c>
      <c r="G2059" s="180">
        <v>361</v>
      </c>
      <c r="H2059">
        <v>1945</v>
      </c>
      <c r="J2059" s="1334" t="s">
        <v>475</v>
      </c>
      <c r="K2059" s="1335" t="s">
        <v>475</v>
      </c>
      <c r="L2059" s="180">
        <v>0</v>
      </c>
      <c r="M2059" t="s">
        <v>4</v>
      </c>
      <c r="N2059" t="str">
        <f t="shared" si="130"/>
        <v>CHEMICAL STORAGE (7536)</v>
      </c>
      <c r="O2059" t="s">
        <v>52</v>
      </c>
      <c r="P2059" t="str">
        <f t="shared" si="131"/>
        <v>18000_7536</v>
      </c>
      <c r="Q2059" s="180">
        <v>0</v>
      </c>
    </row>
    <row r="2060" spans="1:17">
      <c r="A2060" t="str">
        <f t="shared" si="128"/>
        <v>UGA_7537</v>
      </c>
      <c r="B2060" t="str">
        <f t="shared" si="129"/>
        <v>UGA_FUEL OIL STORAGE</v>
      </c>
      <c r="C2060" t="s">
        <v>443</v>
      </c>
      <c r="D2060" s="180" t="s">
        <v>51</v>
      </c>
      <c r="E2060" t="s">
        <v>3201</v>
      </c>
      <c r="F2060" t="s">
        <v>1991</v>
      </c>
      <c r="G2060" s="180">
        <v>414</v>
      </c>
      <c r="H2060">
        <v>1945</v>
      </c>
      <c r="J2060" s="1334" t="s">
        <v>475</v>
      </c>
      <c r="K2060" s="1335" t="s">
        <v>475</v>
      </c>
      <c r="L2060" s="180">
        <v>0</v>
      </c>
      <c r="M2060" t="s">
        <v>4</v>
      </c>
      <c r="N2060" t="str">
        <f t="shared" si="130"/>
        <v>FUEL OIL STORAGE (7537)</v>
      </c>
      <c r="O2060" t="s">
        <v>52</v>
      </c>
      <c r="P2060" t="str">
        <f t="shared" si="131"/>
        <v>18000_7537</v>
      </c>
      <c r="Q2060" s="180">
        <v>0</v>
      </c>
    </row>
    <row r="2061" spans="1:17">
      <c r="A2061" t="str">
        <f t="shared" si="128"/>
        <v>UGA_7538</v>
      </c>
      <c r="B2061" t="str">
        <f t="shared" si="129"/>
        <v>UGA_MAINT SHOP B</v>
      </c>
      <c r="C2061" t="s">
        <v>443</v>
      </c>
      <c r="D2061" s="180" t="s">
        <v>51</v>
      </c>
      <c r="E2061" t="s">
        <v>3022</v>
      </c>
      <c r="F2061" t="s">
        <v>3023</v>
      </c>
      <c r="G2061" s="180">
        <v>800</v>
      </c>
      <c r="H2061">
        <v>1950</v>
      </c>
      <c r="J2061" s="1334" t="s">
        <v>475</v>
      </c>
      <c r="K2061" s="1335" t="s">
        <v>475</v>
      </c>
      <c r="L2061" s="180">
        <v>0</v>
      </c>
      <c r="M2061" t="s">
        <v>4</v>
      </c>
      <c r="N2061" t="str">
        <f t="shared" si="130"/>
        <v>MAINT SHOP B (7538)</v>
      </c>
      <c r="O2061" t="s">
        <v>52</v>
      </c>
      <c r="P2061" t="str">
        <f t="shared" si="131"/>
        <v>18000_7538</v>
      </c>
      <c r="Q2061" s="180">
        <v>0</v>
      </c>
    </row>
    <row r="2062" spans="1:17">
      <c r="A2062" t="str">
        <f t="shared" si="128"/>
        <v>UGA_7539</v>
      </c>
      <c r="B2062" t="str">
        <f t="shared" si="129"/>
        <v>UGA_PRST LND DIVE SHED</v>
      </c>
      <c r="C2062" t="s">
        <v>443</v>
      </c>
      <c r="D2062" s="180" t="s">
        <v>51</v>
      </c>
      <c r="E2062" t="s">
        <v>2189</v>
      </c>
      <c r="F2062" t="s">
        <v>2190</v>
      </c>
      <c r="G2062" s="180">
        <v>240</v>
      </c>
      <c r="H2062">
        <v>2014</v>
      </c>
      <c r="J2062" s="1334" t="s">
        <v>475</v>
      </c>
      <c r="K2062" s="1335" t="s">
        <v>475</v>
      </c>
      <c r="L2062" s="180">
        <v>0</v>
      </c>
      <c r="M2062" t="s">
        <v>4</v>
      </c>
      <c r="N2062" t="str">
        <f t="shared" si="130"/>
        <v>PRST LND DIVE SHED (7539)</v>
      </c>
      <c r="O2062" t="s">
        <v>52</v>
      </c>
      <c r="P2062" t="str">
        <f t="shared" si="131"/>
        <v>18000_7539</v>
      </c>
      <c r="Q2062" s="180">
        <v>0</v>
      </c>
    </row>
    <row r="2063" spans="1:17">
      <c r="A2063" t="str">
        <f t="shared" si="128"/>
        <v>UGA_7540</v>
      </c>
      <c r="B2063" t="str">
        <f t="shared" si="129"/>
        <v>UGA_NOAA BUILDING</v>
      </c>
      <c r="C2063" t="s">
        <v>443</v>
      </c>
      <c r="D2063" s="180" t="s">
        <v>51</v>
      </c>
      <c r="E2063" t="s">
        <v>4091</v>
      </c>
      <c r="F2063" t="s">
        <v>4092</v>
      </c>
      <c r="G2063" s="180">
        <v>4256</v>
      </c>
      <c r="H2063">
        <v>1945</v>
      </c>
      <c r="J2063" s="1334" t="s">
        <v>475</v>
      </c>
      <c r="K2063" s="1335" t="s">
        <v>475</v>
      </c>
      <c r="L2063" s="180">
        <v>0</v>
      </c>
      <c r="M2063" t="s">
        <v>4</v>
      </c>
      <c r="N2063" t="str">
        <f t="shared" si="130"/>
        <v>NOAA BUILDING (7540)</v>
      </c>
      <c r="O2063" t="s">
        <v>52</v>
      </c>
      <c r="P2063" t="str">
        <f t="shared" si="131"/>
        <v>18000_7540</v>
      </c>
      <c r="Q2063" s="180">
        <v>0</v>
      </c>
    </row>
    <row r="2064" spans="1:17">
      <c r="A2064" t="str">
        <f t="shared" si="128"/>
        <v>UGA_7541</v>
      </c>
      <c r="B2064" t="str">
        <f t="shared" si="129"/>
        <v>UGA_PRIEST LANDING BLD</v>
      </c>
      <c r="C2064" t="s">
        <v>443</v>
      </c>
      <c r="D2064" s="180" t="s">
        <v>51</v>
      </c>
      <c r="E2064" t="s">
        <v>1931</v>
      </c>
      <c r="F2064" t="s">
        <v>1932</v>
      </c>
      <c r="G2064" s="180">
        <v>4040</v>
      </c>
      <c r="H2064">
        <v>1969</v>
      </c>
      <c r="J2064" s="1334" t="s">
        <v>475</v>
      </c>
      <c r="K2064" s="1335" t="s">
        <v>475</v>
      </c>
      <c r="L2064" s="180">
        <v>0</v>
      </c>
      <c r="M2064" t="s">
        <v>4</v>
      </c>
      <c r="N2064" t="str">
        <f t="shared" si="130"/>
        <v>PRIEST LANDING BLD (7541)</v>
      </c>
      <c r="O2064" t="s">
        <v>52</v>
      </c>
      <c r="P2064" t="str">
        <f t="shared" si="131"/>
        <v>18000_7541</v>
      </c>
      <c r="Q2064" s="180">
        <v>0</v>
      </c>
    </row>
    <row r="2065" spans="1:17">
      <c r="A2065" t="str">
        <f t="shared" si="128"/>
        <v>UGA_7542</v>
      </c>
      <c r="B2065" t="str">
        <f t="shared" si="129"/>
        <v>UGA_SKIDAWAY RES FAC</v>
      </c>
      <c r="C2065" t="s">
        <v>443</v>
      </c>
      <c r="D2065" s="180" t="s">
        <v>51</v>
      </c>
      <c r="E2065" t="s">
        <v>1484</v>
      </c>
      <c r="F2065" t="s">
        <v>1485</v>
      </c>
      <c r="G2065" s="180">
        <v>2808</v>
      </c>
      <c r="H2065">
        <v>1999</v>
      </c>
      <c r="J2065" s="1334" t="s">
        <v>475</v>
      </c>
      <c r="K2065" s="1335" t="s">
        <v>475</v>
      </c>
      <c r="L2065" s="180">
        <v>0</v>
      </c>
      <c r="M2065" t="s">
        <v>4</v>
      </c>
      <c r="N2065" t="str">
        <f t="shared" si="130"/>
        <v>SKIDAWAY RES FAC (7542)</v>
      </c>
      <c r="O2065" t="s">
        <v>52</v>
      </c>
      <c r="P2065" t="str">
        <f t="shared" si="131"/>
        <v>18000_7542</v>
      </c>
      <c r="Q2065" s="180">
        <v>0</v>
      </c>
    </row>
    <row r="2066" spans="1:17">
      <c r="A2066" t="str">
        <f t="shared" si="128"/>
        <v>UGA_7543</v>
      </c>
      <c r="B2066" t="str">
        <f t="shared" si="129"/>
        <v>UGA_NOAA WAREHOUSE</v>
      </c>
      <c r="C2066" t="s">
        <v>443</v>
      </c>
      <c r="D2066" s="180" t="s">
        <v>51</v>
      </c>
      <c r="E2066" t="s">
        <v>4191</v>
      </c>
      <c r="F2066" t="s">
        <v>4192</v>
      </c>
      <c r="G2066" s="180">
        <v>1500</v>
      </c>
      <c r="H2066">
        <v>2000</v>
      </c>
      <c r="J2066" s="1334" t="s">
        <v>475</v>
      </c>
      <c r="K2066" s="1335" t="s">
        <v>475</v>
      </c>
      <c r="L2066" s="180">
        <v>0</v>
      </c>
      <c r="M2066" t="s">
        <v>4</v>
      </c>
      <c r="N2066" t="str">
        <f t="shared" si="130"/>
        <v>NOAA WAREHOUSE (7543)</v>
      </c>
      <c r="O2066" t="s">
        <v>52</v>
      </c>
      <c r="P2066" t="str">
        <f t="shared" si="131"/>
        <v>18000_7543</v>
      </c>
      <c r="Q2066" s="180">
        <v>0</v>
      </c>
    </row>
    <row r="2067" spans="1:17">
      <c r="A2067" t="str">
        <f t="shared" si="128"/>
        <v>ALSU_0001</v>
      </c>
      <c r="B2067" t="str">
        <f t="shared" si="129"/>
        <v>ALSU_A</v>
      </c>
      <c r="C2067" t="s">
        <v>444</v>
      </c>
      <c r="D2067" s="180" t="s">
        <v>18</v>
      </c>
      <c r="E2067" t="s">
        <v>4502</v>
      </c>
      <c r="F2067" t="s">
        <v>4503</v>
      </c>
      <c r="G2067" s="180">
        <v>21265</v>
      </c>
      <c r="H2067">
        <v>1966</v>
      </c>
      <c r="I2067">
        <v>2011</v>
      </c>
      <c r="J2067" s="1334" t="s">
        <v>475</v>
      </c>
      <c r="K2067" s="1335" t="s">
        <v>475</v>
      </c>
      <c r="L2067" s="180">
        <v>100</v>
      </c>
      <c r="M2067" t="s">
        <v>7819</v>
      </c>
      <c r="N2067" t="str">
        <f t="shared" si="130"/>
        <v>A (0001)</v>
      </c>
      <c r="O2067" t="s">
        <v>337</v>
      </c>
      <c r="P2067" t="str">
        <f t="shared" si="131"/>
        <v>22000_0001</v>
      </c>
      <c r="Q2067" s="180">
        <v>0</v>
      </c>
    </row>
    <row r="2068" spans="1:17">
      <c r="A2068" t="str">
        <f t="shared" si="128"/>
        <v>ALSU_0002</v>
      </c>
      <c r="B2068" t="str">
        <f t="shared" si="129"/>
        <v>ALSU_B</v>
      </c>
      <c r="C2068" t="s">
        <v>444</v>
      </c>
      <c r="D2068" s="180" t="s">
        <v>18</v>
      </c>
      <c r="E2068" t="s">
        <v>769</v>
      </c>
      <c r="F2068" t="s">
        <v>4533</v>
      </c>
      <c r="G2068" s="180">
        <v>33390</v>
      </c>
      <c r="H2068">
        <v>1966</v>
      </c>
      <c r="J2068" s="1334" t="s">
        <v>475</v>
      </c>
      <c r="K2068" s="1335" t="s">
        <v>475</v>
      </c>
      <c r="L2068" s="180">
        <v>100</v>
      </c>
      <c r="M2068" t="s">
        <v>7819</v>
      </c>
      <c r="N2068" t="str">
        <f t="shared" si="130"/>
        <v>B (0002)</v>
      </c>
      <c r="O2068" t="s">
        <v>337</v>
      </c>
      <c r="P2068" t="str">
        <f t="shared" si="131"/>
        <v>22000_0002</v>
      </c>
      <c r="Q2068" s="180">
        <v>0</v>
      </c>
    </row>
    <row r="2069" spans="1:17">
      <c r="A2069" t="str">
        <f t="shared" si="128"/>
        <v>ALSU_0003</v>
      </c>
      <c r="B2069" t="str">
        <f t="shared" si="129"/>
        <v>ALSU_Student Services</v>
      </c>
      <c r="C2069" t="s">
        <v>444</v>
      </c>
      <c r="D2069" s="180" t="s">
        <v>18</v>
      </c>
      <c r="E2069" t="s">
        <v>524</v>
      </c>
      <c r="F2069" t="s">
        <v>633</v>
      </c>
      <c r="G2069" s="180">
        <v>20090</v>
      </c>
      <c r="H2069">
        <v>1966</v>
      </c>
      <c r="I2069">
        <v>2013</v>
      </c>
      <c r="J2069" s="1334" t="s">
        <v>475</v>
      </c>
      <c r="K2069" s="1335" t="s">
        <v>475</v>
      </c>
      <c r="L2069" s="180">
        <v>93</v>
      </c>
      <c r="M2069" t="s">
        <v>7819</v>
      </c>
      <c r="N2069" t="str">
        <f t="shared" si="130"/>
        <v>Student Services (0003)</v>
      </c>
      <c r="O2069" t="s">
        <v>337</v>
      </c>
      <c r="P2069" t="str">
        <f t="shared" si="131"/>
        <v>22000_0003</v>
      </c>
      <c r="Q2069" s="180">
        <v>0</v>
      </c>
    </row>
    <row r="2070" spans="1:17">
      <c r="A2070" t="str">
        <f t="shared" si="128"/>
        <v>ALSU_0004</v>
      </c>
      <c r="B2070" t="str">
        <f t="shared" si="129"/>
        <v>ALSU_D</v>
      </c>
      <c r="C2070" t="s">
        <v>444</v>
      </c>
      <c r="D2070" s="180" t="s">
        <v>18</v>
      </c>
      <c r="E2070" t="s">
        <v>1059</v>
      </c>
      <c r="F2070" t="s">
        <v>4523</v>
      </c>
      <c r="G2070" s="180">
        <v>3755</v>
      </c>
      <c r="H2070">
        <v>1966</v>
      </c>
      <c r="J2070" s="1334" t="s">
        <v>475</v>
      </c>
      <c r="K2070" s="1335" t="s">
        <v>475</v>
      </c>
      <c r="L2070" s="180">
        <v>100</v>
      </c>
      <c r="M2070" t="s">
        <v>7819</v>
      </c>
      <c r="N2070" t="str">
        <f t="shared" si="130"/>
        <v>D (0004)</v>
      </c>
      <c r="O2070" t="s">
        <v>337</v>
      </c>
      <c r="P2070" t="str">
        <f t="shared" si="131"/>
        <v>22000_0004</v>
      </c>
      <c r="Q2070" s="180">
        <v>0</v>
      </c>
    </row>
    <row r="2071" spans="1:17">
      <c r="A2071" t="str">
        <f t="shared" si="128"/>
        <v>ALSU_0005</v>
      </c>
      <c r="B2071" t="str">
        <f t="shared" si="129"/>
        <v>ALSU_E</v>
      </c>
      <c r="C2071" t="s">
        <v>444</v>
      </c>
      <c r="D2071" s="180" t="s">
        <v>18</v>
      </c>
      <c r="E2071" t="s">
        <v>1139</v>
      </c>
      <c r="F2071" t="s">
        <v>4490</v>
      </c>
      <c r="G2071" s="180">
        <v>105158</v>
      </c>
      <c r="H2071">
        <v>1967</v>
      </c>
      <c r="I2071">
        <v>2004</v>
      </c>
      <c r="J2071" s="1334" t="s">
        <v>520</v>
      </c>
      <c r="K2071" s="1335" t="s">
        <v>475</v>
      </c>
      <c r="L2071" s="180">
        <v>100</v>
      </c>
      <c r="M2071" t="s">
        <v>7819</v>
      </c>
      <c r="N2071" t="str">
        <f t="shared" si="130"/>
        <v>E (0005)</v>
      </c>
      <c r="O2071" t="s">
        <v>337</v>
      </c>
      <c r="P2071" t="str">
        <f t="shared" si="131"/>
        <v>22000_0005</v>
      </c>
      <c r="Q2071" s="180">
        <v>0</v>
      </c>
    </row>
    <row r="2072" spans="1:17">
      <c r="A2072" t="str">
        <f t="shared" si="128"/>
        <v>ALSU_0006</v>
      </c>
      <c r="B2072" t="str">
        <f t="shared" si="129"/>
        <v>ALSU_F</v>
      </c>
      <c r="C2072" t="s">
        <v>444</v>
      </c>
      <c r="D2072" s="180" t="s">
        <v>18</v>
      </c>
      <c r="E2072" t="s">
        <v>855</v>
      </c>
      <c r="F2072" t="s">
        <v>4524</v>
      </c>
      <c r="G2072" s="180">
        <v>25951</v>
      </c>
      <c r="H2072">
        <v>1970</v>
      </c>
      <c r="J2072" s="1334" t="s">
        <v>475</v>
      </c>
      <c r="K2072" s="1335" t="s">
        <v>475</v>
      </c>
      <c r="L2072" s="180">
        <v>100</v>
      </c>
      <c r="M2072" t="s">
        <v>7819</v>
      </c>
      <c r="N2072" t="str">
        <f t="shared" si="130"/>
        <v>F (0006)</v>
      </c>
      <c r="O2072" t="s">
        <v>337</v>
      </c>
      <c r="P2072" t="str">
        <f t="shared" si="131"/>
        <v>22000_0006</v>
      </c>
      <c r="Q2072" s="180">
        <v>0</v>
      </c>
    </row>
    <row r="2073" spans="1:17">
      <c r="A2073" t="str">
        <f t="shared" si="128"/>
        <v>ALSU_0007</v>
      </c>
      <c r="B2073" t="str">
        <f t="shared" si="129"/>
        <v>ALSU_G</v>
      </c>
      <c r="C2073" t="s">
        <v>444</v>
      </c>
      <c r="D2073" s="180" t="s">
        <v>18</v>
      </c>
      <c r="E2073" t="s">
        <v>872</v>
      </c>
      <c r="F2073" t="s">
        <v>4485</v>
      </c>
      <c r="G2073" s="180">
        <v>36921</v>
      </c>
      <c r="H2073">
        <v>1971</v>
      </c>
      <c r="J2073" s="1334" t="s">
        <v>475</v>
      </c>
      <c r="K2073" s="1335" t="s">
        <v>475</v>
      </c>
      <c r="L2073" s="180">
        <v>100</v>
      </c>
      <c r="M2073" t="s">
        <v>7819</v>
      </c>
      <c r="N2073" t="str">
        <f t="shared" si="130"/>
        <v>G (0007)</v>
      </c>
      <c r="O2073" t="s">
        <v>337</v>
      </c>
      <c r="P2073" t="str">
        <f t="shared" si="131"/>
        <v>22000_0007</v>
      </c>
      <c r="Q2073" s="180">
        <v>0</v>
      </c>
    </row>
    <row r="2074" spans="1:17">
      <c r="A2074" t="str">
        <f t="shared" si="128"/>
        <v>ALSU_0008</v>
      </c>
      <c r="B2074" t="str">
        <f t="shared" si="129"/>
        <v>ALSU_C</v>
      </c>
      <c r="C2074" t="s">
        <v>444</v>
      </c>
      <c r="D2074" s="180" t="s">
        <v>18</v>
      </c>
      <c r="E2074" t="s">
        <v>904</v>
      </c>
      <c r="F2074" t="s">
        <v>4499</v>
      </c>
      <c r="G2074" s="180">
        <v>78407</v>
      </c>
      <c r="H2074">
        <v>1973</v>
      </c>
      <c r="I2074">
        <v>2010</v>
      </c>
      <c r="J2074" s="1334" t="s">
        <v>1520</v>
      </c>
      <c r="K2074" s="1335" t="s">
        <v>475</v>
      </c>
      <c r="L2074" s="180">
        <v>75</v>
      </c>
      <c r="M2074" t="s">
        <v>7819</v>
      </c>
      <c r="N2074" t="str">
        <f t="shared" si="130"/>
        <v>C (0008)</v>
      </c>
      <c r="O2074" t="s">
        <v>337</v>
      </c>
      <c r="P2074" t="str">
        <f t="shared" si="131"/>
        <v>22000_0008</v>
      </c>
      <c r="Q2074" s="180">
        <v>0</v>
      </c>
    </row>
    <row r="2075" spans="1:17">
      <c r="A2075" t="str">
        <f t="shared" si="128"/>
        <v>ALSU_0009</v>
      </c>
      <c r="B2075" t="str">
        <f t="shared" si="129"/>
        <v>ALSU_H</v>
      </c>
      <c r="C2075" t="s">
        <v>444</v>
      </c>
      <c r="D2075" s="180" t="s">
        <v>18</v>
      </c>
      <c r="E2075" t="s">
        <v>502</v>
      </c>
      <c r="F2075" t="s">
        <v>4494</v>
      </c>
      <c r="G2075" s="180">
        <v>7784</v>
      </c>
      <c r="H2075">
        <v>1974</v>
      </c>
      <c r="J2075" s="1334" t="s">
        <v>475</v>
      </c>
      <c r="K2075" s="1335" t="s">
        <v>475</v>
      </c>
      <c r="L2075" s="180">
        <v>100</v>
      </c>
      <c r="M2075" t="s">
        <v>7819</v>
      </c>
      <c r="N2075" t="str">
        <f t="shared" si="130"/>
        <v>H (0009)</v>
      </c>
      <c r="O2075" t="s">
        <v>337</v>
      </c>
      <c r="P2075" t="str">
        <f t="shared" si="131"/>
        <v>22000_0009</v>
      </c>
      <c r="Q2075" s="180">
        <v>0</v>
      </c>
    </row>
    <row r="2076" spans="1:17">
      <c r="A2076" t="str">
        <f t="shared" si="128"/>
        <v>ALSU_0010</v>
      </c>
      <c r="B2076" t="str">
        <f t="shared" si="129"/>
        <v>ALSU_Paint Shed</v>
      </c>
      <c r="C2076" t="s">
        <v>444</v>
      </c>
      <c r="D2076" s="180" t="s">
        <v>18</v>
      </c>
      <c r="E2076" t="s">
        <v>815</v>
      </c>
      <c r="F2076" t="s">
        <v>4527</v>
      </c>
      <c r="G2076" s="180">
        <v>144</v>
      </c>
      <c r="H2076">
        <v>1972</v>
      </c>
      <c r="J2076" s="1334" t="s">
        <v>475</v>
      </c>
      <c r="K2076" s="1335" t="s">
        <v>475</v>
      </c>
      <c r="L2076" s="180">
        <v>100</v>
      </c>
      <c r="M2076" t="s">
        <v>7819</v>
      </c>
      <c r="N2076" t="str">
        <f t="shared" si="130"/>
        <v>Paint Shed (0010)</v>
      </c>
      <c r="O2076" t="s">
        <v>337</v>
      </c>
      <c r="P2076" t="str">
        <f t="shared" si="131"/>
        <v>22000_0010</v>
      </c>
      <c r="Q2076" s="180">
        <v>0</v>
      </c>
    </row>
    <row r="2077" spans="1:17">
      <c r="A2077" t="str">
        <f t="shared" si="128"/>
        <v>ALSU_0011</v>
      </c>
      <c r="B2077" t="str">
        <f t="shared" si="129"/>
        <v>ALSU_Maint Storerooms</v>
      </c>
      <c r="C2077" t="s">
        <v>444</v>
      </c>
      <c r="D2077" s="180" t="s">
        <v>18</v>
      </c>
      <c r="E2077" t="s">
        <v>504</v>
      </c>
      <c r="F2077" t="s">
        <v>4520</v>
      </c>
      <c r="G2077" s="180">
        <v>1720</v>
      </c>
      <c r="H2077">
        <v>1969</v>
      </c>
      <c r="J2077" s="1334" t="s">
        <v>475</v>
      </c>
      <c r="K2077" s="1335" t="s">
        <v>475</v>
      </c>
      <c r="L2077" s="180">
        <v>100</v>
      </c>
      <c r="M2077" t="s">
        <v>7819</v>
      </c>
      <c r="N2077" t="str">
        <f t="shared" si="130"/>
        <v>Maint Storerooms (0011)</v>
      </c>
      <c r="O2077" t="s">
        <v>337</v>
      </c>
      <c r="P2077" t="str">
        <f t="shared" si="131"/>
        <v>22000_0011</v>
      </c>
      <c r="Q2077" s="180">
        <v>0</v>
      </c>
    </row>
    <row r="2078" spans="1:17">
      <c r="A2078" t="str">
        <f t="shared" si="128"/>
        <v>ALSU_0012</v>
      </c>
      <c r="B2078" t="str">
        <f t="shared" si="129"/>
        <v>ALSU_PE Storage Shed</v>
      </c>
      <c r="C2078" t="s">
        <v>444</v>
      </c>
      <c r="D2078" s="180" t="s">
        <v>18</v>
      </c>
      <c r="E2078" t="s">
        <v>698</v>
      </c>
      <c r="F2078" t="s">
        <v>4517</v>
      </c>
      <c r="G2078" s="180">
        <v>96</v>
      </c>
      <c r="H2078">
        <v>1966</v>
      </c>
      <c r="J2078" s="1334" t="s">
        <v>475</v>
      </c>
      <c r="K2078" s="1335" t="s">
        <v>486</v>
      </c>
      <c r="L2078" s="180">
        <v>100</v>
      </c>
      <c r="M2078" t="s">
        <v>7819</v>
      </c>
      <c r="N2078" t="str">
        <f t="shared" si="130"/>
        <v>PE Storage Shed (0012)</v>
      </c>
      <c r="O2078" t="s">
        <v>337</v>
      </c>
      <c r="P2078" t="str">
        <f t="shared" si="131"/>
        <v>22000_0012</v>
      </c>
      <c r="Q2078" s="180">
        <v>0</v>
      </c>
    </row>
    <row r="2079" spans="1:17">
      <c r="A2079" t="str">
        <f t="shared" si="128"/>
        <v>ALSU_0013</v>
      </c>
      <c r="B2079" t="str">
        <f t="shared" si="129"/>
        <v>ALSU_Maint Shed</v>
      </c>
      <c r="C2079" t="s">
        <v>444</v>
      </c>
      <c r="D2079" s="180" t="s">
        <v>18</v>
      </c>
      <c r="E2079" t="s">
        <v>490</v>
      </c>
      <c r="F2079" t="s">
        <v>4538</v>
      </c>
      <c r="G2079" s="180">
        <v>6496</v>
      </c>
      <c r="H2079">
        <v>1976</v>
      </c>
      <c r="J2079" s="1334" t="s">
        <v>475</v>
      </c>
      <c r="K2079" s="1335" t="s">
        <v>475</v>
      </c>
      <c r="L2079" s="180">
        <v>100</v>
      </c>
      <c r="M2079" t="s">
        <v>7819</v>
      </c>
      <c r="N2079" t="str">
        <f t="shared" si="130"/>
        <v>Maint Shed (0013)</v>
      </c>
      <c r="O2079" t="s">
        <v>337</v>
      </c>
      <c r="P2079" t="str">
        <f t="shared" si="131"/>
        <v>22000_0013</v>
      </c>
      <c r="Q2079" s="180">
        <v>0</v>
      </c>
    </row>
    <row r="2080" spans="1:17">
      <c r="A2080" t="str">
        <f t="shared" si="128"/>
        <v>ALSU_0014</v>
      </c>
      <c r="B2080" t="str">
        <f t="shared" si="129"/>
        <v>ALSU_I</v>
      </c>
      <c r="C2080" t="s">
        <v>444</v>
      </c>
      <c r="D2080" s="180" t="s">
        <v>18</v>
      </c>
      <c r="E2080" t="s">
        <v>711</v>
      </c>
      <c r="F2080" t="s">
        <v>4482</v>
      </c>
      <c r="G2080" s="180">
        <v>33511</v>
      </c>
      <c r="H2080">
        <v>1980</v>
      </c>
      <c r="J2080" s="1334" t="s">
        <v>475</v>
      </c>
      <c r="K2080" s="1335" t="s">
        <v>475</v>
      </c>
      <c r="L2080" s="180">
        <v>100</v>
      </c>
      <c r="M2080" t="s">
        <v>7819</v>
      </c>
      <c r="N2080" t="str">
        <f t="shared" si="130"/>
        <v>I (0014)</v>
      </c>
      <c r="O2080" t="s">
        <v>337</v>
      </c>
      <c r="P2080" t="str">
        <f t="shared" si="131"/>
        <v>22000_0014</v>
      </c>
      <c r="Q2080" s="180">
        <v>0</v>
      </c>
    </row>
    <row r="2081" spans="1:17">
      <c r="A2081" t="str">
        <f t="shared" si="128"/>
        <v>ALSU_0015</v>
      </c>
      <c r="B2081" t="str">
        <f t="shared" si="129"/>
        <v>ALSU_J</v>
      </c>
      <c r="C2081" t="s">
        <v>444</v>
      </c>
      <c r="D2081" s="180" t="s">
        <v>18</v>
      </c>
      <c r="E2081" t="s">
        <v>624</v>
      </c>
      <c r="F2081" t="s">
        <v>4483</v>
      </c>
      <c r="G2081" s="180">
        <v>62100</v>
      </c>
      <c r="H2081">
        <v>1994</v>
      </c>
      <c r="J2081" s="1334" t="s">
        <v>520</v>
      </c>
      <c r="K2081" s="1335" t="s">
        <v>475</v>
      </c>
      <c r="L2081" s="180">
        <v>100</v>
      </c>
      <c r="M2081" t="s">
        <v>7819</v>
      </c>
      <c r="N2081" t="str">
        <f t="shared" si="130"/>
        <v>J (0015)</v>
      </c>
      <c r="O2081" t="s">
        <v>337</v>
      </c>
      <c r="P2081" t="str">
        <f t="shared" si="131"/>
        <v>22000_0015</v>
      </c>
      <c r="Q2081" s="180">
        <v>0</v>
      </c>
    </row>
    <row r="2082" spans="1:17">
      <c r="A2082" t="str">
        <f t="shared" si="128"/>
        <v>ALSU_0016</v>
      </c>
      <c r="B2082" t="str">
        <f t="shared" si="129"/>
        <v>ALSU_K</v>
      </c>
      <c r="C2082" t="s">
        <v>444</v>
      </c>
      <c r="D2082" s="180" t="s">
        <v>18</v>
      </c>
      <c r="E2082" t="s">
        <v>506</v>
      </c>
      <c r="F2082" t="s">
        <v>4528</v>
      </c>
      <c r="G2082" s="180">
        <v>33500</v>
      </c>
      <c r="H2082">
        <v>2008</v>
      </c>
      <c r="J2082" s="1334" t="s">
        <v>520</v>
      </c>
      <c r="K2082" s="1335" t="s">
        <v>475</v>
      </c>
      <c r="L2082" s="180">
        <v>100</v>
      </c>
      <c r="M2082" t="s">
        <v>7819</v>
      </c>
      <c r="N2082" t="str">
        <f t="shared" si="130"/>
        <v>K (0016)</v>
      </c>
      <c r="O2082" t="s">
        <v>337</v>
      </c>
      <c r="P2082" t="str">
        <f t="shared" si="131"/>
        <v>22000_0016</v>
      </c>
      <c r="Q2082" s="180">
        <v>0</v>
      </c>
    </row>
    <row r="2083" spans="1:17">
      <c r="A2083" t="str">
        <f t="shared" si="128"/>
        <v>ALSU_0017</v>
      </c>
      <c r="B2083" t="str">
        <f t="shared" si="129"/>
        <v>ALSU_L</v>
      </c>
      <c r="C2083" t="s">
        <v>444</v>
      </c>
      <c r="D2083" s="180" t="s">
        <v>18</v>
      </c>
      <c r="E2083" t="s">
        <v>680</v>
      </c>
      <c r="F2083" t="s">
        <v>4507</v>
      </c>
      <c r="G2083" s="180">
        <v>25600</v>
      </c>
      <c r="H2083">
        <v>2009</v>
      </c>
      <c r="J2083" s="1334" t="s">
        <v>520</v>
      </c>
      <c r="K2083" s="1335" t="s">
        <v>475</v>
      </c>
      <c r="L2083" s="180">
        <v>100</v>
      </c>
      <c r="M2083" t="s">
        <v>7819</v>
      </c>
      <c r="N2083" t="str">
        <f t="shared" si="130"/>
        <v>L (0017)</v>
      </c>
      <c r="O2083" t="s">
        <v>337</v>
      </c>
      <c r="P2083" t="str">
        <f t="shared" si="131"/>
        <v>22000_0017</v>
      </c>
      <c r="Q2083" s="180">
        <v>100</v>
      </c>
    </row>
    <row r="2084" spans="1:17">
      <c r="A2084" t="str">
        <f t="shared" si="128"/>
        <v>ALSU_0018</v>
      </c>
      <c r="B2084" t="str">
        <f t="shared" si="129"/>
        <v>ALSU_M</v>
      </c>
      <c r="C2084" t="s">
        <v>444</v>
      </c>
      <c r="D2084" s="180" t="s">
        <v>18</v>
      </c>
      <c r="E2084" t="s">
        <v>757</v>
      </c>
      <c r="F2084" t="s">
        <v>4484</v>
      </c>
      <c r="G2084" s="180">
        <v>5960</v>
      </c>
      <c r="H2084">
        <v>2011</v>
      </c>
      <c r="J2084" s="1334" t="s">
        <v>475</v>
      </c>
      <c r="K2084" s="1335" t="s">
        <v>475</v>
      </c>
      <c r="L2084" s="180">
        <v>100</v>
      </c>
      <c r="M2084" t="s">
        <v>7819</v>
      </c>
      <c r="N2084" t="str">
        <f t="shared" si="130"/>
        <v>M (0018)</v>
      </c>
      <c r="O2084" t="s">
        <v>337</v>
      </c>
      <c r="P2084" t="str">
        <f t="shared" si="131"/>
        <v>22000_0018</v>
      </c>
      <c r="Q2084" s="180">
        <v>100</v>
      </c>
    </row>
    <row r="2085" spans="1:17">
      <c r="A2085" t="str">
        <f t="shared" si="128"/>
        <v>ALSU_2001</v>
      </c>
      <c r="B2085" t="str">
        <f t="shared" si="129"/>
        <v>ALSU_Darton Commons</v>
      </c>
      <c r="C2085" t="s">
        <v>444</v>
      </c>
      <c r="D2085" s="180" t="s">
        <v>18</v>
      </c>
      <c r="E2085" t="s">
        <v>3846</v>
      </c>
      <c r="F2085" t="s">
        <v>4504</v>
      </c>
      <c r="G2085" s="180">
        <v>91009</v>
      </c>
      <c r="H2085">
        <v>2009</v>
      </c>
      <c r="J2085" s="1334" t="s">
        <v>486</v>
      </c>
      <c r="K2085" s="1335" t="s">
        <v>920</v>
      </c>
      <c r="L2085" s="180">
        <v>0</v>
      </c>
      <c r="M2085" t="s">
        <v>7819</v>
      </c>
      <c r="N2085" t="str">
        <f t="shared" si="130"/>
        <v>Darton Commons (2001)</v>
      </c>
      <c r="O2085" t="s">
        <v>337</v>
      </c>
      <c r="P2085" t="str">
        <f t="shared" si="131"/>
        <v>22000_2001</v>
      </c>
      <c r="Q2085" s="180">
        <v>100</v>
      </c>
    </row>
    <row r="2086" spans="1:17">
      <c r="A2086" t="str">
        <f t="shared" si="128"/>
        <v>ALSU_2002</v>
      </c>
      <c r="B2086" t="str">
        <f t="shared" si="129"/>
        <v>ALSU_Darton Villiage South</v>
      </c>
      <c r="C2086" t="s">
        <v>444</v>
      </c>
      <c r="D2086" s="180" t="s">
        <v>18</v>
      </c>
      <c r="E2086" t="s">
        <v>4474</v>
      </c>
      <c r="F2086" t="s">
        <v>4475</v>
      </c>
      <c r="G2086" s="180">
        <v>93941</v>
      </c>
      <c r="H2086">
        <v>2010</v>
      </c>
      <c r="J2086" s="1334" t="s">
        <v>486</v>
      </c>
      <c r="K2086" s="1335" t="s">
        <v>920</v>
      </c>
      <c r="L2086" s="180">
        <v>0</v>
      </c>
      <c r="M2086" t="s">
        <v>7819</v>
      </c>
      <c r="N2086" t="str">
        <f t="shared" si="130"/>
        <v>Darton Villiage South (2002)</v>
      </c>
      <c r="O2086" t="s">
        <v>337</v>
      </c>
      <c r="P2086" t="str">
        <f t="shared" si="131"/>
        <v>22000_2002</v>
      </c>
      <c r="Q2086" s="180">
        <v>100</v>
      </c>
    </row>
    <row r="2087" spans="1:17">
      <c r="A2087" t="str">
        <f t="shared" si="128"/>
        <v>ALSU_A104</v>
      </c>
      <c r="B2087" t="str">
        <f t="shared" si="129"/>
        <v>ALSU_Wiley Hall</v>
      </c>
      <c r="C2087" t="s">
        <v>444</v>
      </c>
      <c r="D2087" s="180" t="s">
        <v>18</v>
      </c>
      <c r="E2087" t="s">
        <v>4497</v>
      </c>
      <c r="F2087" t="s">
        <v>4498</v>
      </c>
      <c r="G2087" s="180">
        <v>27840</v>
      </c>
      <c r="H2087">
        <v>1965</v>
      </c>
      <c r="I2087">
        <v>1995</v>
      </c>
      <c r="J2087" s="1334" t="s">
        <v>475</v>
      </c>
      <c r="K2087" s="1335" t="s">
        <v>520</v>
      </c>
      <c r="L2087" s="180">
        <v>100</v>
      </c>
      <c r="M2087" t="s">
        <v>7820</v>
      </c>
      <c r="N2087" t="str">
        <f t="shared" si="130"/>
        <v>Wiley Hall (A104)</v>
      </c>
      <c r="O2087" t="s">
        <v>337</v>
      </c>
      <c r="P2087" t="str">
        <f t="shared" si="131"/>
        <v>22000_A104</v>
      </c>
      <c r="Q2087" s="180">
        <v>100</v>
      </c>
    </row>
    <row r="2088" spans="1:17">
      <c r="A2088" t="str">
        <f t="shared" si="128"/>
        <v>ALSU_A105</v>
      </c>
      <c r="B2088" t="str">
        <f t="shared" si="129"/>
        <v>ALSU_Gibson Hall</v>
      </c>
      <c r="C2088" t="s">
        <v>444</v>
      </c>
      <c r="D2088" s="180" t="s">
        <v>18</v>
      </c>
      <c r="E2088" t="s">
        <v>4545</v>
      </c>
      <c r="F2088" t="s">
        <v>4546</v>
      </c>
      <c r="G2088" s="180">
        <v>41400</v>
      </c>
      <c r="H2088">
        <v>1968</v>
      </c>
      <c r="I2088">
        <v>1995</v>
      </c>
      <c r="J2088" s="1334" t="s">
        <v>475</v>
      </c>
      <c r="K2088" s="1335" t="s">
        <v>520</v>
      </c>
      <c r="L2088" s="180">
        <v>100</v>
      </c>
      <c r="M2088" t="s">
        <v>7820</v>
      </c>
      <c r="N2088" t="str">
        <f t="shared" si="130"/>
        <v>Gibson Hall (A105)</v>
      </c>
      <c r="O2088" t="s">
        <v>337</v>
      </c>
      <c r="P2088" t="str">
        <f t="shared" si="131"/>
        <v>22000_A105</v>
      </c>
      <c r="Q2088" s="180">
        <v>100</v>
      </c>
    </row>
    <row r="2089" spans="1:17">
      <c r="A2089" t="str">
        <f t="shared" si="128"/>
        <v>ALSU_A109</v>
      </c>
      <c r="B2089" t="str">
        <f t="shared" si="129"/>
        <v>ALSU_Andrews Hall</v>
      </c>
      <c r="C2089" t="s">
        <v>444</v>
      </c>
      <c r="D2089" s="180" t="s">
        <v>18</v>
      </c>
      <c r="E2089" t="s">
        <v>4541</v>
      </c>
      <c r="F2089" t="s">
        <v>4542</v>
      </c>
      <c r="G2089" s="180">
        <v>40544</v>
      </c>
      <c r="H2089">
        <v>1970</v>
      </c>
      <c r="I2089">
        <v>2009</v>
      </c>
      <c r="J2089" s="1334" t="s">
        <v>475</v>
      </c>
      <c r="K2089" s="1335" t="s">
        <v>520</v>
      </c>
      <c r="L2089" s="180">
        <v>100</v>
      </c>
      <c r="M2089" t="s">
        <v>7820</v>
      </c>
      <c r="N2089" t="str">
        <f t="shared" si="130"/>
        <v>Andrews Hall (A109)</v>
      </c>
      <c r="O2089" t="s">
        <v>337</v>
      </c>
      <c r="P2089" t="str">
        <f t="shared" si="131"/>
        <v>22000_A109</v>
      </c>
      <c r="Q2089" s="180">
        <v>0</v>
      </c>
    </row>
    <row r="2090" spans="1:17">
      <c r="A2090" t="str">
        <f t="shared" si="128"/>
        <v>ALSU_A115</v>
      </c>
      <c r="B2090" t="str">
        <f t="shared" si="129"/>
        <v>ALSU_North Hall</v>
      </c>
      <c r="C2090" t="s">
        <v>444</v>
      </c>
      <c r="D2090" s="180" t="s">
        <v>18</v>
      </c>
      <c r="E2090" t="s">
        <v>4512</v>
      </c>
      <c r="F2090" t="s">
        <v>4513</v>
      </c>
      <c r="G2090" s="180">
        <v>29502</v>
      </c>
      <c r="H2090">
        <v>1996</v>
      </c>
      <c r="J2090" s="1334" t="s">
        <v>475</v>
      </c>
      <c r="K2090" s="1335" t="s">
        <v>920</v>
      </c>
      <c r="L2090" s="180">
        <v>0</v>
      </c>
      <c r="M2090" t="s">
        <v>7820</v>
      </c>
      <c r="N2090" t="str">
        <f t="shared" si="130"/>
        <v>North Hall (A115)</v>
      </c>
      <c r="O2090" t="s">
        <v>337</v>
      </c>
      <c r="P2090" t="str">
        <f t="shared" si="131"/>
        <v>22000_A115</v>
      </c>
      <c r="Q2090" s="180">
        <v>0</v>
      </c>
    </row>
    <row r="2091" spans="1:17">
      <c r="A2091" t="str">
        <f t="shared" si="128"/>
        <v>ALSU_A116</v>
      </c>
      <c r="B2091" t="str">
        <f t="shared" si="129"/>
        <v>ALSU_East Hall</v>
      </c>
      <c r="C2091" t="s">
        <v>444</v>
      </c>
      <c r="D2091" s="180" t="s">
        <v>18</v>
      </c>
      <c r="E2091" t="s">
        <v>4534</v>
      </c>
      <c r="F2091" t="s">
        <v>4535</v>
      </c>
      <c r="G2091" s="180">
        <v>46019</v>
      </c>
      <c r="H2091">
        <v>1996</v>
      </c>
      <c r="J2091" s="1334" t="s">
        <v>475</v>
      </c>
      <c r="K2091" s="1335" t="s">
        <v>920</v>
      </c>
      <c r="L2091" s="180">
        <v>0</v>
      </c>
      <c r="M2091" t="s">
        <v>7820</v>
      </c>
      <c r="N2091" t="str">
        <f t="shared" si="130"/>
        <v>East Hall (A116)</v>
      </c>
      <c r="O2091" t="s">
        <v>337</v>
      </c>
      <c r="P2091" t="str">
        <f t="shared" si="131"/>
        <v>22000_A116</v>
      </c>
      <c r="Q2091" s="180">
        <v>0</v>
      </c>
    </row>
    <row r="2092" spans="1:17">
      <c r="A2092" t="str">
        <f t="shared" si="128"/>
        <v>ALSU_A117</v>
      </c>
      <c r="B2092" t="str">
        <f t="shared" si="129"/>
        <v>ALSU_South Hall</v>
      </c>
      <c r="C2092" t="s">
        <v>444</v>
      </c>
      <c r="D2092" s="180" t="s">
        <v>18</v>
      </c>
      <c r="E2092" t="s">
        <v>4492</v>
      </c>
      <c r="F2092" t="s">
        <v>4493</v>
      </c>
      <c r="G2092" s="180">
        <v>29502</v>
      </c>
      <c r="H2092">
        <v>1996</v>
      </c>
      <c r="J2092" s="1334" t="s">
        <v>475</v>
      </c>
      <c r="K2092" s="1335" t="s">
        <v>920</v>
      </c>
      <c r="L2092" s="180">
        <v>0</v>
      </c>
      <c r="M2092" t="s">
        <v>7820</v>
      </c>
      <c r="N2092" t="str">
        <f t="shared" si="130"/>
        <v>South Hall (A117)</v>
      </c>
      <c r="O2092" t="s">
        <v>337</v>
      </c>
      <c r="P2092" t="str">
        <f t="shared" si="131"/>
        <v>22000_A117</v>
      </c>
      <c r="Q2092" s="180">
        <v>0</v>
      </c>
    </row>
    <row r="2093" spans="1:17">
      <c r="A2093" t="str">
        <f t="shared" si="128"/>
        <v>ALSU_A118</v>
      </c>
      <c r="B2093" t="str">
        <f t="shared" si="129"/>
        <v>ALSU_Dining Facility</v>
      </c>
      <c r="C2093" t="s">
        <v>444</v>
      </c>
      <c r="D2093" s="180" t="s">
        <v>18</v>
      </c>
      <c r="E2093" t="s">
        <v>4472</v>
      </c>
      <c r="F2093" t="s">
        <v>4473</v>
      </c>
      <c r="G2093" s="180">
        <v>23000</v>
      </c>
      <c r="H2093">
        <v>1997</v>
      </c>
      <c r="J2093" s="1334" t="s">
        <v>475</v>
      </c>
      <c r="K2093" s="1335" t="s">
        <v>920</v>
      </c>
      <c r="L2093" s="180">
        <v>0</v>
      </c>
      <c r="M2093" t="s">
        <v>7820</v>
      </c>
      <c r="N2093" t="str">
        <f t="shared" si="130"/>
        <v>Dining Facility (A118)</v>
      </c>
      <c r="O2093" t="s">
        <v>337</v>
      </c>
      <c r="P2093" t="str">
        <f t="shared" si="131"/>
        <v>22000_A118</v>
      </c>
      <c r="Q2093" s="180">
        <v>0</v>
      </c>
    </row>
    <row r="2094" spans="1:17">
      <c r="A2094" t="str">
        <f t="shared" si="128"/>
        <v>ALSU_A119</v>
      </c>
      <c r="B2094" t="str">
        <f t="shared" si="129"/>
        <v>ALSU_100a South Site</v>
      </c>
      <c r="C2094" t="s">
        <v>444</v>
      </c>
      <c r="D2094" s="180" t="s">
        <v>18</v>
      </c>
      <c r="E2094" t="s">
        <v>4521</v>
      </c>
      <c r="F2094" t="s">
        <v>4522</v>
      </c>
      <c r="G2094" s="180">
        <v>62138</v>
      </c>
      <c r="H2094">
        <v>2006</v>
      </c>
      <c r="J2094" s="1334" t="s">
        <v>486</v>
      </c>
      <c r="K2094" s="1335" t="s">
        <v>920</v>
      </c>
      <c r="L2094" s="180">
        <v>0</v>
      </c>
      <c r="M2094" t="s">
        <v>7820</v>
      </c>
      <c r="N2094" t="str">
        <f t="shared" si="130"/>
        <v>100a South Site (A119)</v>
      </c>
      <c r="O2094" t="s">
        <v>337</v>
      </c>
      <c r="P2094" t="str">
        <f t="shared" si="131"/>
        <v>22000_A119</v>
      </c>
      <c r="Q2094" s="180">
        <v>0</v>
      </c>
    </row>
    <row r="2095" spans="1:17">
      <c r="A2095" t="str">
        <f t="shared" si="128"/>
        <v>ALSU_A120</v>
      </c>
      <c r="B2095" t="str">
        <f t="shared" si="129"/>
        <v>ALSU_100b South Site</v>
      </c>
      <c r="C2095" t="s">
        <v>444</v>
      </c>
      <c r="D2095" s="180" t="s">
        <v>18</v>
      </c>
      <c r="E2095" t="s">
        <v>4486</v>
      </c>
      <c r="F2095" t="s">
        <v>4487</v>
      </c>
      <c r="G2095" s="180">
        <v>62138</v>
      </c>
      <c r="H2095">
        <v>2006</v>
      </c>
      <c r="J2095" s="1334" t="s">
        <v>486</v>
      </c>
      <c r="K2095" s="1335" t="s">
        <v>901</v>
      </c>
      <c r="L2095" s="180">
        <v>0</v>
      </c>
      <c r="M2095" t="s">
        <v>7820</v>
      </c>
      <c r="N2095" t="str">
        <f t="shared" si="130"/>
        <v>100b South Site (A120)</v>
      </c>
      <c r="O2095" t="s">
        <v>337</v>
      </c>
      <c r="P2095" t="str">
        <f t="shared" si="131"/>
        <v>22000_A120</v>
      </c>
      <c r="Q2095" s="180">
        <v>0</v>
      </c>
    </row>
    <row r="2096" spans="1:17">
      <c r="A2096" t="str">
        <f t="shared" si="128"/>
        <v>ALSU_A121</v>
      </c>
      <c r="B2096" t="str">
        <f t="shared" si="129"/>
        <v>ALSU_200a North Site</v>
      </c>
      <c r="C2096" t="s">
        <v>444</v>
      </c>
      <c r="D2096" s="180" t="s">
        <v>18</v>
      </c>
      <c r="E2096" t="s">
        <v>4536</v>
      </c>
      <c r="F2096" t="s">
        <v>4537</v>
      </c>
      <c r="G2096" s="180">
        <v>77588</v>
      </c>
      <c r="H2096">
        <v>2006</v>
      </c>
      <c r="J2096" s="1334" t="s">
        <v>486</v>
      </c>
      <c r="K2096" s="1335" t="s">
        <v>901</v>
      </c>
      <c r="L2096" s="180">
        <v>0</v>
      </c>
      <c r="M2096" t="s">
        <v>7820</v>
      </c>
      <c r="N2096" t="str">
        <f t="shared" si="130"/>
        <v>200a North Site (A121)</v>
      </c>
      <c r="O2096" t="s">
        <v>337</v>
      </c>
      <c r="P2096" t="str">
        <f t="shared" si="131"/>
        <v>22000_A121</v>
      </c>
      <c r="Q2096" s="180">
        <v>0</v>
      </c>
    </row>
    <row r="2097" spans="1:17">
      <c r="A2097" t="str">
        <f t="shared" si="128"/>
        <v>ALSU_A122</v>
      </c>
      <c r="B2097" t="str">
        <f t="shared" si="129"/>
        <v>ALSU_200b North Site</v>
      </c>
      <c r="C2097" t="s">
        <v>444</v>
      </c>
      <c r="D2097" s="180" t="s">
        <v>18</v>
      </c>
      <c r="E2097" t="s">
        <v>4508</v>
      </c>
      <c r="F2097" t="s">
        <v>4509</v>
      </c>
      <c r="G2097" s="180">
        <v>77588</v>
      </c>
      <c r="H2097">
        <v>2006</v>
      </c>
      <c r="J2097" s="1334" t="s">
        <v>486</v>
      </c>
      <c r="K2097" s="1335" t="s">
        <v>920</v>
      </c>
      <c r="L2097" s="180">
        <v>0</v>
      </c>
      <c r="M2097" t="s">
        <v>7820</v>
      </c>
      <c r="N2097" t="str">
        <f t="shared" si="130"/>
        <v>200b North Site (A122)</v>
      </c>
      <c r="O2097" t="s">
        <v>337</v>
      </c>
      <c r="P2097" t="str">
        <f t="shared" si="131"/>
        <v>22000_A122</v>
      </c>
      <c r="Q2097" s="180">
        <v>0</v>
      </c>
    </row>
    <row r="2098" spans="1:17">
      <c r="A2098" t="str">
        <f t="shared" si="128"/>
        <v>ALSU_A123</v>
      </c>
      <c r="B2098" t="str">
        <f t="shared" si="129"/>
        <v>ALSU_Hall 5</v>
      </c>
      <c r="C2098" t="s">
        <v>444</v>
      </c>
      <c r="D2098" s="180" t="s">
        <v>18</v>
      </c>
      <c r="E2098" t="s">
        <v>4547</v>
      </c>
      <c r="F2098" t="s">
        <v>4548</v>
      </c>
      <c r="G2098" s="180">
        <v>99294</v>
      </c>
      <c r="H2098">
        <v>2011</v>
      </c>
      <c r="J2098" s="1334" t="s">
        <v>486</v>
      </c>
      <c r="K2098" s="1335" t="s">
        <v>920</v>
      </c>
      <c r="L2098" s="180">
        <v>0</v>
      </c>
      <c r="M2098" t="s">
        <v>7820</v>
      </c>
      <c r="N2098" t="str">
        <f t="shared" si="130"/>
        <v>Hall 5 (A123)</v>
      </c>
      <c r="O2098" t="s">
        <v>337</v>
      </c>
      <c r="P2098" t="str">
        <f t="shared" si="131"/>
        <v>22000_A123</v>
      </c>
      <c r="Q2098" s="180">
        <v>0</v>
      </c>
    </row>
    <row r="2099" spans="1:17">
      <c r="A2099" t="str">
        <f t="shared" si="128"/>
        <v>ALSU_A124</v>
      </c>
      <c r="B2099" t="str">
        <f t="shared" si="129"/>
        <v>ALSU_Hall 6</v>
      </c>
      <c r="C2099" t="s">
        <v>444</v>
      </c>
      <c r="D2099" s="180" t="s">
        <v>18</v>
      </c>
      <c r="E2099" t="s">
        <v>4551</v>
      </c>
      <c r="F2099" t="s">
        <v>4552</v>
      </c>
      <c r="G2099" s="180">
        <v>79618</v>
      </c>
      <c r="H2099">
        <v>2011</v>
      </c>
      <c r="J2099" s="1334" t="s">
        <v>486</v>
      </c>
      <c r="K2099" s="1335" t="s">
        <v>920</v>
      </c>
      <c r="L2099" s="180">
        <v>0</v>
      </c>
      <c r="M2099" t="s">
        <v>7820</v>
      </c>
      <c r="N2099" t="str">
        <f t="shared" si="130"/>
        <v>Hall 6 (A124)</v>
      </c>
      <c r="O2099" t="s">
        <v>337</v>
      </c>
      <c r="P2099" t="str">
        <f t="shared" si="131"/>
        <v>22000_A124</v>
      </c>
      <c r="Q2099" s="180">
        <v>0</v>
      </c>
    </row>
    <row r="2100" spans="1:17">
      <c r="A2100" t="str">
        <f t="shared" si="128"/>
        <v>ALSU_E203</v>
      </c>
      <c r="B2100" t="str">
        <f t="shared" si="129"/>
        <v>ALSU_Simmons (RHS)</v>
      </c>
      <c r="C2100" t="s">
        <v>444</v>
      </c>
      <c r="D2100" s="180" t="s">
        <v>18</v>
      </c>
      <c r="E2100" t="s">
        <v>4525</v>
      </c>
      <c r="F2100" t="s">
        <v>4526</v>
      </c>
      <c r="G2100" s="180">
        <v>32370</v>
      </c>
      <c r="H2100">
        <v>1975</v>
      </c>
      <c r="J2100" s="1334" t="s">
        <v>475</v>
      </c>
      <c r="K2100" s="1335" t="s">
        <v>520</v>
      </c>
      <c r="L2100" s="180">
        <v>100</v>
      </c>
      <c r="M2100" t="s">
        <v>7820</v>
      </c>
      <c r="N2100" t="str">
        <f t="shared" si="130"/>
        <v>Simmons (RHS) (E203)</v>
      </c>
      <c r="O2100" t="s">
        <v>337</v>
      </c>
      <c r="P2100" t="str">
        <f t="shared" si="131"/>
        <v>22000_E203</v>
      </c>
      <c r="Q2100" s="180">
        <v>0</v>
      </c>
    </row>
    <row r="2101" spans="1:17">
      <c r="A2101" t="str">
        <f t="shared" si="128"/>
        <v>ALSU_E206</v>
      </c>
      <c r="B2101" t="str">
        <f t="shared" si="129"/>
        <v>ALSU_Orene Hall (Old Dining Hall)</v>
      </c>
      <c r="C2101" t="s">
        <v>444</v>
      </c>
      <c r="D2101" s="180" t="s">
        <v>18</v>
      </c>
      <c r="E2101" t="s">
        <v>4514</v>
      </c>
      <c r="F2101" t="s">
        <v>4515</v>
      </c>
      <c r="G2101" s="180">
        <v>7360</v>
      </c>
      <c r="H2101">
        <v>1931</v>
      </c>
      <c r="J2101" s="1334" t="s">
        <v>475</v>
      </c>
      <c r="K2101" s="1335" t="s">
        <v>486</v>
      </c>
      <c r="L2101" s="180">
        <v>100</v>
      </c>
      <c r="M2101" t="s">
        <v>7820</v>
      </c>
      <c r="N2101" t="str">
        <f t="shared" si="130"/>
        <v>Orene Hall (Old Dining Hall) (E206)</v>
      </c>
      <c r="O2101" t="s">
        <v>337</v>
      </c>
      <c r="P2101" t="str">
        <f t="shared" si="131"/>
        <v>22000_E206</v>
      </c>
      <c r="Q2101" s="180">
        <v>0</v>
      </c>
    </row>
    <row r="2102" spans="1:17">
      <c r="A2102" t="str">
        <f t="shared" si="128"/>
        <v>ALSU_E208</v>
      </c>
      <c r="B2102" t="str">
        <f t="shared" si="129"/>
        <v>ALSU_Daisy Brown (Pres Ofc)</v>
      </c>
      <c r="C2102" t="s">
        <v>444</v>
      </c>
      <c r="D2102" s="180" t="s">
        <v>18</v>
      </c>
      <c r="E2102" t="s">
        <v>4510</v>
      </c>
      <c r="F2102" t="s">
        <v>4511</v>
      </c>
      <c r="G2102" s="180">
        <v>4118</v>
      </c>
      <c r="H2102">
        <v>1935</v>
      </c>
      <c r="I2102">
        <v>1997</v>
      </c>
      <c r="J2102" s="1334" t="s">
        <v>475</v>
      </c>
      <c r="K2102" s="1335" t="s">
        <v>475</v>
      </c>
      <c r="L2102" s="180">
        <v>100</v>
      </c>
      <c r="M2102" t="s">
        <v>7820</v>
      </c>
      <c r="N2102" t="str">
        <f t="shared" si="130"/>
        <v>Daisy Brown (Pres Ofc) (E208)</v>
      </c>
      <c r="O2102" t="s">
        <v>337</v>
      </c>
      <c r="P2102" t="str">
        <f t="shared" si="131"/>
        <v>22000_E208</v>
      </c>
      <c r="Q2102" s="180">
        <v>0</v>
      </c>
    </row>
    <row r="2103" spans="1:17">
      <c r="A2103" t="str">
        <f t="shared" si="128"/>
        <v>ALSU_E209</v>
      </c>
      <c r="B2103" t="str">
        <f t="shared" si="129"/>
        <v>ALSU_Sanford (SH)</v>
      </c>
      <c r="C2103" t="s">
        <v>444</v>
      </c>
      <c r="D2103" s="180" t="s">
        <v>18</v>
      </c>
      <c r="E2103" t="s">
        <v>4539</v>
      </c>
      <c r="F2103" t="s">
        <v>4540</v>
      </c>
      <c r="G2103" s="180">
        <v>31037</v>
      </c>
      <c r="H2103">
        <v>1954</v>
      </c>
      <c r="I2103">
        <v>1996</v>
      </c>
      <c r="J2103" s="1334" t="s">
        <v>475</v>
      </c>
      <c r="K2103" s="1335" t="s">
        <v>475</v>
      </c>
      <c r="L2103" s="180">
        <v>100</v>
      </c>
      <c r="M2103" t="s">
        <v>7820</v>
      </c>
      <c r="N2103" t="str">
        <f t="shared" si="130"/>
        <v>Sanford (SH) (E209)</v>
      </c>
      <c r="O2103" t="s">
        <v>337</v>
      </c>
      <c r="P2103" t="str">
        <f t="shared" si="131"/>
        <v>22000_E209</v>
      </c>
      <c r="Q2103" s="180">
        <v>0</v>
      </c>
    </row>
    <row r="2104" spans="1:17">
      <c r="A2104" t="str">
        <f t="shared" si="128"/>
        <v>ALSU_E210</v>
      </c>
      <c r="B2104" t="str">
        <f t="shared" si="129"/>
        <v>ALSU_President's House (old)</v>
      </c>
      <c r="C2104" t="s">
        <v>444</v>
      </c>
      <c r="D2104" s="180" t="s">
        <v>18</v>
      </c>
      <c r="E2104" t="s">
        <v>4480</v>
      </c>
      <c r="F2104" t="s">
        <v>4481</v>
      </c>
      <c r="G2104" s="180">
        <v>3230</v>
      </c>
      <c r="H2104">
        <v>1930</v>
      </c>
      <c r="I2104">
        <v>1997</v>
      </c>
      <c r="J2104" s="1334" t="s">
        <v>475</v>
      </c>
      <c r="K2104" s="1335" t="s">
        <v>486</v>
      </c>
      <c r="L2104" s="180">
        <v>100</v>
      </c>
      <c r="M2104" t="s">
        <v>7820</v>
      </c>
      <c r="N2104" t="str">
        <f t="shared" si="130"/>
        <v>President's House (old) (E210)</v>
      </c>
      <c r="O2104" t="s">
        <v>337</v>
      </c>
      <c r="P2104" t="str">
        <f t="shared" si="131"/>
        <v>22000_E210</v>
      </c>
      <c r="Q2104" s="180">
        <v>0</v>
      </c>
    </row>
    <row r="2105" spans="1:17">
      <c r="A2105" t="str">
        <f t="shared" si="128"/>
        <v>ALSU_E215</v>
      </c>
      <c r="B2105" t="str">
        <f t="shared" si="129"/>
        <v>ALSU_Plant Operations</v>
      </c>
      <c r="C2105" t="s">
        <v>444</v>
      </c>
      <c r="D2105" s="180" t="s">
        <v>18</v>
      </c>
      <c r="E2105" t="s">
        <v>4553</v>
      </c>
      <c r="F2105" t="s">
        <v>4554</v>
      </c>
      <c r="G2105" s="180">
        <v>14966</v>
      </c>
      <c r="H2105">
        <v>1987</v>
      </c>
      <c r="I2105">
        <v>1995</v>
      </c>
      <c r="J2105" s="1334" t="s">
        <v>475</v>
      </c>
      <c r="K2105" s="1335" t="s">
        <v>475</v>
      </c>
      <c r="L2105" s="180">
        <v>100</v>
      </c>
      <c r="M2105" t="s">
        <v>7820</v>
      </c>
      <c r="N2105" t="str">
        <f t="shared" si="130"/>
        <v>Plant Operations (E215)</v>
      </c>
      <c r="O2105" t="s">
        <v>337</v>
      </c>
      <c r="P2105" t="str">
        <f t="shared" si="131"/>
        <v>22000_E215</v>
      </c>
      <c r="Q2105" s="180">
        <v>0</v>
      </c>
    </row>
    <row r="2106" spans="1:17">
      <c r="A2106" t="str">
        <f t="shared" si="128"/>
        <v>ALSU_E217</v>
      </c>
      <c r="B2106" t="str">
        <f t="shared" si="129"/>
        <v>ALSU_Peace Hall (PH)</v>
      </c>
      <c r="C2106" t="s">
        <v>444</v>
      </c>
      <c r="D2106" s="180" t="s">
        <v>18</v>
      </c>
      <c r="E2106" t="s">
        <v>4518</v>
      </c>
      <c r="F2106" t="s">
        <v>4519</v>
      </c>
      <c r="G2106" s="180">
        <v>26370</v>
      </c>
      <c r="H2106">
        <v>1980</v>
      </c>
      <c r="I2106">
        <v>1996</v>
      </c>
      <c r="J2106" s="1334" t="s">
        <v>475</v>
      </c>
      <c r="K2106" s="1335" t="s">
        <v>475</v>
      </c>
      <c r="L2106" s="180">
        <v>100</v>
      </c>
      <c r="M2106" t="s">
        <v>7820</v>
      </c>
      <c r="N2106" t="str">
        <f t="shared" si="130"/>
        <v>Peace Hall (PH) (E217)</v>
      </c>
      <c r="O2106" t="s">
        <v>337</v>
      </c>
      <c r="P2106" t="str">
        <f t="shared" si="131"/>
        <v>22000_E217</v>
      </c>
      <c r="Q2106" s="180">
        <v>0</v>
      </c>
    </row>
    <row r="2107" spans="1:17">
      <c r="A2107" t="str">
        <f t="shared" si="128"/>
        <v>ALSU_E218</v>
      </c>
      <c r="B2107" t="str">
        <f t="shared" si="129"/>
        <v>ALSU_Albany Municipal Coliseum</v>
      </c>
      <c r="C2107" t="s">
        <v>444</v>
      </c>
      <c r="D2107" s="180" t="s">
        <v>18</v>
      </c>
      <c r="E2107" t="s">
        <v>4529</v>
      </c>
      <c r="F2107" t="s">
        <v>4530</v>
      </c>
      <c r="G2107" s="180">
        <v>1152</v>
      </c>
      <c r="H2107">
        <v>2006</v>
      </c>
      <c r="J2107" s="1334" t="s">
        <v>475</v>
      </c>
      <c r="K2107" s="1335" t="s">
        <v>475</v>
      </c>
      <c r="L2107" s="180">
        <v>100</v>
      </c>
      <c r="M2107" t="s">
        <v>7820</v>
      </c>
      <c r="N2107" t="str">
        <f t="shared" si="130"/>
        <v>Albany Municipal Coliseum (E218)</v>
      </c>
      <c r="O2107" t="s">
        <v>337</v>
      </c>
      <c r="P2107" t="str">
        <f t="shared" si="131"/>
        <v>22000_E218</v>
      </c>
      <c r="Q2107" s="180">
        <v>0</v>
      </c>
    </row>
    <row r="2108" spans="1:17">
      <c r="A2108" t="str">
        <f t="shared" si="128"/>
        <v>ALSU_E219</v>
      </c>
      <c r="B2108" t="str">
        <f t="shared" si="129"/>
        <v>ALSU_Hartnett(CMH)</v>
      </c>
      <c r="C2108" t="s">
        <v>444</v>
      </c>
      <c r="D2108" s="180" t="s">
        <v>18</v>
      </c>
      <c r="E2108" t="s">
        <v>4555</v>
      </c>
      <c r="F2108" t="s">
        <v>4556</v>
      </c>
      <c r="G2108" s="180">
        <v>32477</v>
      </c>
      <c r="H2108">
        <v>1986</v>
      </c>
      <c r="I2108">
        <v>1995</v>
      </c>
      <c r="J2108" s="1334" t="s">
        <v>475</v>
      </c>
      <c r="K2108" s="1335" t="s">
        <v>475</v>
      </c>
      <c r="L2108" s="180">
        <v>100</v>
      </c>
      <c r="M2108" t="s">
        <v>7820</v>
      </c>
      <c r="N2108" t="str">
        <f t="shared" si="130"/>
        <v>Hartnett(CMH) (E219)</v>
      </c>
      <c r="O2108" t="s">
        <v>337</v>
      </c>
      <c r="P2108" t="str">
        <f t="shared" si="131"/>
        <v>22000_E219</v>
      </c>
      <c r="Q2108" s="180">
        <v>0</v>
      </c>
    </row>
    <row r="2109" spans="1:17">
      <c r="A2109" t="str">
        <f t="shared" si="128"/>
        <v>ALSU_E220</v>
      </c>
      <c r="B2109" t="str">
        <f t="shared" si="129"/>
        <v>ALSU_Staff Services</v>
      </c>
      <c r="C2109" t="s">
        <v>444</v>
      </c>
      <c r="D2109" s="180" t="s">
        <v>18</v>
      </c>
      <c r="E2109" t="s">
        <v>4549</v>
      </c>
      <c r="F2109" t="s">
        <v>4550</v>
      </c>
      <c r="G2109" s="180">
        <v>2437</v>
      </c>
      <c r="H2109">
        <v>1986</v>
      </c>
      <c r="J2109" s="1334" t="s">
        <v>475</v>
      </c>
      <c r="K2109" s="1335" t="s">
        <v>475</v>
      </c>
      <c r="L2109" s="180">
        <v>100</v>
      </c>
      <c r="M2109" t="s">
        <v>7820</v>
      </c>
      <c r="N2109" t="str">
        <f t="shared" si="130"/>
        <v>Staff Services (E220)</v>
      </c>
      <c r="O2109" t="s">
        <v>337</v>
      </c>
      <c r="P2109" t="str">
        <f t="shared" si="131"/>
        <v>22000_E220</v>
      </c>
      <c r="Q2109" s="180">
        <v>0</v>
      </c>
    </row>
    <row r="2110" spans="1:17">
      <c r="A2110" t="str">
        <f t="shared" si="128"/>
        <v>ALSU_E221</v>
      </c>
      <c r="B2110" t="str">
        <f t="shared" si="129"/>
        <v>ALSU_Plant Storage</v>
      </c>
      <c r="C2110" t="s">
        <v>444</v>
      </c>
      <c r="D2110" s="180" t="s">
        <v>18</v>
      </c>
      <c r="E2110" t="s">
        <v>4476</v>
      </c>
      <c r="F2110" t="s">
        <v>4477</v>
      </c>
      <c r="G2110" s="180">
        <v>3600</v>
      </c>
      <c r="H2110">
        <v>1986</v>
      </c>
      <c r="J2110" s="1334" t="s">
        <v>475</v>
      </c>
      <c r="K2110" s="1335" t="s">
        <v>475</v>
      </c>
      <c r="L2110" s="180">
        <v>100</v>
      </c>
      <c r="M2110" t="s">
        <v>7820</v>
      </c>
      <c r="N2110" t="str">
        <f t="shared" si="130"/>
        <v>Plant Storage (E221)</v>
      </c>
      <c r="O2110" t="s">
        <v>337</v>
      </c>
      <c r="P2110" t="str">
        <f t="shared" si="131"/>
        <v>22000_E221</v>
      </c>
      <c r="Q2110" s="180">
        <v>0</v>
      </c>
    </row>
    <row r="2111" spans="1:17">
      <c r="A2111" t="str">
        <f t="shared" si="128"/>
        <v>ALSU_E224</v>
      </c>
      <c r="B2111" t="str">
        <f t="shared" si="129"/>
        <v>ALSU_J C Reese</v>
      </c>
      <c r="C2111" t="s">
        <v>444</v>
      </c>
      <c r="D2111" s="180" t="s">
        <v>18</v>
      </c>
      <c r="E2111" t="s">
        <v>4543</v>
      </c>
      <c r="F2111" t="s">
        <v>4544</v>
      </c>
      <c r="G2111" s="180">
        <v>30433</v>
      </c>
      <c r="H2111">
        <v>1987</v>
      </c>
      <c r="J2111" s="1334" t="s">
        <v>475</v>
      </c>
      <c r="K2111" s="1335" t="s">
        <v>475</v>
      </c>
      <c r="L2111" s="180">
        <v>100</v>
      </c>
      <c r="M2111" t="s">
        <v>7820</v>
      </c>
      <c r="N2111" t="str">
        <f t="shared" si="130"/>
        <v>J C Reese (E224)</v>
      </c>
      <c r="O2111" t="s">
        <v>337</v>
      </c>
      <c r="P2111" t="str">
        <f t="shared" si="131"/>
        <v>22000_E224</v>
      </c>
      <c r="Q2111" s="180">
        <v>0</v>
      </c>
    </row>
    <row r="2112" spans="1:17">
      <c r="A2112" t="str">
        <f t="shared" si="128"/>
        <v>ALSU_E226</v>
      </c>
      <c r="B2112" t="str">
        <f t="shared" si="129"/>
        <v>ALSU_Library JPL</v>
      </c>
      <c r="C2112" t="s">
        <v>444</v>
      </c>
      <c r="D2112" s="180" t="s">
        <v>18</v>
      </c>
      <c r="E2112" t="s">
        <v>4478</v>
      </c>
      <c r="F2112" t="s">
        <v>4479</v>
      </c>
      <c r="G2112" s="180">
        <v>74197</v>
      </c>
      <c r="H2112">
        <v>1992</v>
      </c>
      <c r="I2112">
        <v>1995</v>
      </c>
      <c r="J2112" s="1334" t="s">
        <v>520</v>
      </c>
      <c r="K2112" s="1335" t="s">
        <v>475</v>
      </c>
      <c r="L2112" s="180">
        <v>100</v>
      </c>
      <c r="M2112" t="s">
        <v>7820</v>
      </c>
      <c r="N2112" t="str">
        <f t="shared" si="130"/>
        <v>Library JPL (E226)</v>
      </c>
      <c r="O2112" t="s">
        <v>337</v>
      </c>
      <c r="P2112" t="str">
        <f t="shared" si="131"/>
        <v>22000_E226</v>
      </c>
      <c r="Q2112" s="180">
        <v>0</v>
      </c>
    </row>
    <row r="2113" spans="1:17">
      <c r="A2113" t="str">
        <f t="shared" si="128"/>
        <v>ALSU_E227</v>
      </c>
      <c r="B2113" t="str">
        <f t="shared" si="129"/>
        <v>ALSU_Central Energy Plant</v>
      </c>
      <c r="C2113" t="s">
        <v>444</v>
      </c>
      <c r="D2113" s="180" t="s">
        <v>18</v>
      </c>
      <c r="E2113" t="s">
        <v>4491</v>
      </c>
      <c r="F2113" t="s">
        <v>1231</v>
      </c>
      <c r="G2113" s="180">
        <v>16276</v>
      </c>
      <c r="H2113">
        <v>1996</v>
      </c>
      <c r="J2113" s="1334" t="s">
        <v>475</v>
      </c>
      <c r="K2113" s="1335" t="s">
        <v>475</v>
      </c>
      <c r="L2113" s="180">
        <v>100</v>
      </c>
      <c r="M2113" t="s">
        <v>7820</v>
      </c>
      <c r="N2113" t="str">
        <f t="shared" si="130"/>
        <v>Central Energy Plant (E227)</v>
      </c>
      <c r="O2113" t="s">
        <v>337</v>
      </c>
      <c r="P2113" t="str">
        <f t="shared" si="131"/>
        <v>22000_E227</v>
      </c>
      <c r="Q2113" s="180">
        <v>0</v>
      </c>
    </row>
    <row r="2114" spans="1:17">
      <c r="A2114" t="str">
        <f t="shared" si="128"/>
        <v>ALSU_E228</v>
      </c>
      <c r="B2114" t="str">
        <f t="shared" si="129"/>
        <v>ALSU_Billy C. Black Building</v>
      </c>
      <c r="C2114" t="s">
        <v>444</v>
      </c>
      <c r="D2114" s="180" t="s">
        <v>18</v>
      </c>
      <c r="E2114" t="s">
        <v>4531</v>
      </c>
      <c r="F2114" t="s">
        <v>4532</v>
      </c>
      <c r="G2114" s="180">
        <v>136000</v>
      </c>
      <c r="H2114">
        <v>1997</v>
      </c>
      <c r="J2114" s="1334" t="s">
        <v>475</v>
      </c>
      <c r="K2114" s="1335" t="s">
        <v>475</v>
      </c>
      <c r="L2114" s="180">
        <v>100</v>
      </c>
      <c r="M2114" t="s">
        <v>7820</v>
      </c>
      <c r="N2114" t="str">
        <f t="shared" si="130"/>
        <v>Billy C. Black Building (E228)</v>
      </c>
      <c r="O2114" t="s">
        <v>337</v>
      </c>
      <c r="P2114" t="str">
        <f t="shared" si="131"/>
        <v>22000_E228</v>
      </c>
      <c r="Q2114" s="180">
        <v>0</v>
      </c>
    </row>
    <row r="2115" spans="1:17">
      <c r="A2115" t="str">
        <f t="shared" ref="A2115:A2178" si="132">_xlfn.CONCAT(D2115,"_",E2115)</f>
        <v>ALSU_E229</v>
      </c>
      <c r="B2115" t="str">
        <f t="shared" ref="B2115:B2178" si="133">_xlfn.CONCAT(D2115,"_",F2115)</f>
        <v>ALSU_HPER Bldg</v>
      </c>
      <c r="C2115" t="s">
        <v>444</v>
      </c>
      <c r="D2115" s="180" t="s">
        <v>18</v>
      </c>
      <c r="E2115" t="s">
        <v>4500</v>
      </c>
      <c r="F2115" t="s">
        <v>4501</v>
      </c>
      <c r="G2115" s="180">
        <v>108000</v>
      </c>
      <c r="H2115">
        <v>1997</v>
      </c>
      <c r="J2115" s="1334" t="s">
        <v>475</v>
      </c>
      <c r="K2115" s="1335" t="s">
        <v>475</v>
      </c>
      <c r="L2115" s="180">
        <v>100</v>
      </c>
      <c r="M2115" t="s">
        <v>7820</v>
      </c>
      <c r="N2115" t="str">
        <f t="shared" ref="N2115:N2178" si="134">_xlfn.CONCAT(F2115," (",E2115,")")</f>
        <v>HPER Bldg (E229)</v>
      </c>
      <c r="O2115" t="s">
        <v>337</v>
      </c>
      <c r="P2115" t="str">
        <f t="shared" ref="P2115:P2178" si="135">_xlfn.CONCAT(C2115,"_",E2115)</f>
        <v>22000_E229</v>
      </c>
      <c r="Q2115" s="180">
        <v>0</v>
      </c>
    </row>
    <row r="2116" spans="1:17">
      <c r="A2116" t="str">
        <f t="shared" si="132"/>
        <v>ALSU_E230</v>
      </c>
      <c r="B2116" t="str">
        <f t="shared" si="133"/>
        <v>ALSU_Chemical Storage</v>
      </c>
      <c r="C2116" t="s">
        <v>444</v>
      </c>
      <c r="D2116" s="180" t="s">
        <v>18</v>
      </c>
      <c r="E2116" t="s">
        <v>4505</v>
      </c>
      <c r="F2116" t="s">
        <v>4506</v>
      </c>
      <c r="G2116" s="180">
        <v>198</v>
      </c>
      <c r="H2116">
        <v>1997</v>
      </c>
      <c r="J2116" s="1334" t="s">
        <v>475</v>
      </c>
      <c r="K2116" s="1335" t="s">
        <v>475</v>
      </c>
      <c r="L2116" s="180">
        <v>0</v>
      </c>
      <c r="M2116" t="s">
        <v>7820</v>
      </c>
      <c r="N2116" t="str">
        <f t="shared" si="134"/>
        <v>Chemical Storage (E230)</v>
      </c>
      <c r="O2116" t="s">
        <v>337</v>
      </c>
      <c r="P2116" t="str">
        <f t="shared" si="135"/>
        <v>22000_E230</v>
      </c>
      <c r="Q2116" s="180">
        <v>0</v>
      </c>
    </row>
    <row r="2117" spans="1:17">
      <c r="A2117" t="str">
        <f t="shared" si="132"/>
        <v>ALSU_E231</v>
      </c>
      <c r="B2117" t="str">
        <f t="shared" si="133"/>
        <v>ALSU_Military Science</v>
      </c>
      <c r="C2117" t="s">
        <v>444</v>
      </c>
      <c r="D2117" s="180" t="s">
        <v>18</v>
      </c>
      <c r="E2117" t="s">
        <v>4488</v>
      </c>
      <c r="F2117" t="s">
        <v>4489</v>
      </c>
      <c r="G2117" s="180">
        <v>3344</v>
      </c>
      <c r="H2117">
        <v>1994</v>
      </c>
      <c r="J2117" s="1334" t="s">
        <v>475</v>
      </c>
      <c r="K2117" s="1335" t="s">
        <v>475</v>
      </c>
      <c r="L2117" s="180">
        <v>100</v>
      </c>
      <c r="M2117" t="s">
        <v>7820</v>
      </c>
      <c r="N2117" t="str">
        <f t="shared" si="134"/>
        <v>Military Science (E231)</v>
      </c>
      <c r="O2117" t="s">
        <v>337</v>
      </c>
      <c r="P2117" t="str">
        <f t="shared" si="135"/>
        <v>22000_E231</v>
      </c>
      <c r="Q2117" s="180">
        <v>0</v>
      </c>
    </row>
    <row r="2118" spans="1:17">
      <c r="A2118" t="str">
        <f t="shared" si="132"/>
        <v>ALSU_E234</v>
      </c>
      <c r="B2118" t="str">
        <f t="shared" si="133"/>
        <v>ALSU_Early Learning Center</v>
      </c>
      <c r="C2118" t="s">
        <v>444</v>
      </c>
      <c r="D2118" s="180" t="s">
        <v>18</v>
      </c>
      <c r="E2118" t="s">
        <v>4495</v>
      </c>
      <c r="F2118" t="s">
        <v>4496</v>
      </c>
      <c r="G2118" s="180">
        <v>8100</v>
      </c>
      <c r="H2118">
        <v>2006</v>
      </c>
      <c r="J2118" s="1334" t="s">
        <v>486</v>
      </c>
      <c r="K2118" s="1335" t="s">
        <v>475</v>
      </c>
      <c r="L2118" s="180">
        <v>100</v>
      </c>
      <c r="M2118" t="s">
        <v>7820</v>
      </c>
      <c r="N2118" t="str">
        <f t="shared" si="134"/>
        <v>Early Learning Center (E234)</v>
      </c>
      <c r="O2118" t="s">
        <v>337</v>
      </c>
      <c r="P2118" t="str">
        <f t="shared" si="135"/>
        <v>22000_E234</v>
      </c>
      <c r="Q2118" s="180">
        <v>0</v>
      </c>
    </row>
    <row r="2119" spans="1:17">
      <c r="A2119" t="str">
        <f t="shared" si="132"/>
        <v>ALSU_E235</v>
      </c>
      <c r="B2119" t="str">
        <f t="shared" si="133"/>
        <v>ALSU_Student Center</v>
      </c>
      <c r="C2119" t="s">
        <v>444</v>
      </c>
      <c r="D2119" s="180" t="s">
        <v>18</v>
      </c>
      <c r="E2119" t="s">
        <v>4470</v>
      </c>
      <c r="F2119" t="s">
        <v>4471</v>
      </c>
      <c r="G2119" s="180">
        <v>75000</v>
      </c>
      <c r="H2119">
        <v>2011</v>
      </c>
      <c r="I2119">
        <v>2011</v>
      </c>
      <c r="J2119" s="1334" t="s">
        <v>1520</v>
      </c>
      <c r="K2119" s="1335" t="s">
        <v>920</v>
      </c>
      <c r="L2119" s="180">
        <v>0</v>
      </c>
      <c r="M2119" t="s">
        <v>7820</v>
      </c>
      <c r="N2119" t="str">
        <f t="shared" si="134"/>
        <v>Student Center (E235)</v>
      </c>
      <c r="O2119" t="s">
        <v>337</v>
      </c>
      <c r="P2119" t="str">
        <f t="shared" si="135"/>
        <v>22000_E235</v>
      </c>
      <c r="Q2119" s="180">
        <v>0</v>
      </c>
    </row>
    <row r="2120" spans="1:17">
      <c r="A2120" t="str">
        <f t="shared" si="132"/>
        <v>ALSU_E236</v>
      </c>
      <c r="B2120" t="str">
        <f t="shared" si="133"/>
        <v>ALSU_Fine Arts Center</v>
      </c>
      <c r="C2120" t="s">
        <v>444</v>
      </c>
      <c r="D2120" s="180" t="s">
        <v>18</v>
      </c>
      <c r="E2120" t="s">
        <v>4516</v>
      </c>
      <c r="F2120" t="s">
        <v>1154</v>
      </c>
      <c r="G2120" s="180">
        <v>80279</v>
      </c>
      <c r="H2120">
        <v>2017</v>
      </c>
      <c r="I2120">
        <v>2018</v>
      </c>
      <c r="J2120" s="1334" t="s">
        <v>520</v>
      </c>
      <c r="K2120" s="1335" t="s">
        <v>475</v>
      </c>
      <c r="L2120" s="180">
        <v>100</v>
      </c>
      <c r="M2120" t="s">
        <v>7820</v>
      </c>
      <c r="N2120" t="str">
        <f t="shared" si="134"/>
        <v>Fine Arts Center (E236)</v>
      </c>
      <c r="O2120" t="s">
        <v>337</v>
      </c>
      <c r="P2120" t="str">
        <f t="shared" si="135"/>
        <v>22000_E236</v>
      </c>
      <c r="Q2120" s="180">
        <v>0</v>
      </c>
    </row>
    <row r="2121" spans="1:17">
      <c r="A2121" t="str">
        <f t="shared" si="132"/>
        <v>CLSU_0001</v>
      </c>
      <c r="B2121" t="str">
        <f t="shared" si="133"/>
        <v>CLSU_Faculty Hall</v>
      </c>
      <c r="C2121" t="s">
        <v>445</v>
      </c>
      <c r="D2121" s="180" t="s">
        <v>19</v>
      </c>
      <c r="E2121" t="s">
        <v>4502</v>
      </c>
      <c r="F2121" t="s">
        <v>4560</v>
      </c>
      <c r="G2121" s="180">
        <v>12641</v>
      </c>
      <c r="H2121">
        <v>1969</v>
      </c>
      <c r="I2121">
        <v>2012</v>
      </c>
      <c r="J2121" s="1334" t="s">
        <v>475</v>
      </c>
      <c r="K2121" s="1335" t="s">
        <v>486</v>
      </c>
      <c r="L2121" s="180">
        <v>100</v>
      </c>
      <c r="M2121" t="s">
        <v>7821</v>
      </c>
      <c r="N2121" t="str">
        <f t="shared" si="134"/>
        <v>Faculty Hall (0001)</v>
      </c>
      <c r="O2121" t="s">
        <v>36</v>
      </c>
      <c r="P2121" t="str">
        <f t="shared" si="135"/>
        <v>28000_0001</v>
      </c>
      <c r="Q2121" s="180">
        <v>0</v>
      </c>
    </row>
    <row r="2122" spans="1:17">
      <c r="A2122" t="str">
        <f t="shared" si="132"/>
        <v>CLSU_0002</v>
      </c>
      <c r="B2122" t="str">
        <f t="shared" si="133"/>
        <v>CLSU_Lecture Hall</v>
      </c>
      <c r="C2122" t="s">
        <v>445</v>
      </c>
      <c r="D2122" s="180" t="s">
        <v>19</v>
      </c>
      <c r="E2122" t="s">
        <v>769</v>
      </c>
      <c r="F2122" t="s">
        <v>4580</v>
      </c>
      <c r="G2122" s="180">
        <v>13588</v>
      </c>
      <c r="H2122">
        <v>1969</v>
      </c>
      <c r="I2122">
        <v>2018</v>
      </c>
      <c r="J2122" s="1334" t="s">
        <v>520</v>
      </c>
      <c r="K2122" s="1335" t="s">
        <v>486</v>
      </c>
      <c r="L2122" s="180">
        <v>100</v>
      </c>
      <c r="M2122" t="s">
        <v>7821</v>
      </c>
      <c r="N2122" t="str">
        <f t="shared" si="134"/>
        <v>Lecture Hall (0002)</v>
      </c>
      <c r="O2122" t="s">
        <v>36</v>
      </c>
      <c r="P2122" t="str">
        <f t="shared" si="135"/>
        <v>28000_0002</v>
      </c>
      <c r="Q2122" s="180">
        <v>0</v>
      </c>
    </row>
    <row r="2123" spans="1:17">
      <c r="A2123" t="str">
        <f t="shared" si="132"/>
        <v>CLSU_0003</v>
      </c>
      <c r="B2123" t="str">
        <f t="shared" si="133"/>
        <v>CLSU_Magnolia Hall</v>
      </c>
      <c r="C2123" t="s">
        <v>445</v>
      </c>
      <c r="D2123" s="180" t="s">
        <v>19</v>
      </c>
      <c r="E2123" t="s">
        <v>524</v>
      </c>
      <c r="F2123" t="s">
        <v>4613</v>
      </c>
      <c r="G2123" s="180">
        <v>46292</v>
      </c>
      <c r="H2123">
        <v>1969</v>
      </c>
      <c r="I2123">
        <v>2011</v>
      </c>
      <c r="J2123" s="1334" t="s">
        <v>520</v>
      </c>
      <c r="K2123" s="1335" t="s">
        <v>475</v>
      </c>
      <c r="L2123" s="180">
        <v>100</v>
      </c>
      <c r="M2123" t="s">
        <v>7821</v>
      </c>
      <c r="N2123" t="str">
        <f t="shared" si="134"/>
        <v>Magnolia Hall (0003)</v>
      </c>
      <c r="O2123" t="s">
        <v>36</v>
      </c>
      <c r="P2123" t="str">
        <f t="shared" si="135"/>
        <v>28000_0003</v>
      </c>
      <c r="Q2123" s="180">
        <v>0</v>
      </c>
    </row>
    <row r="2124" spans="1:17">
      <c r="A2124" t="str">
        <f t="shared" si="132"/>
        <v>CLSU_0004</v>
      </c>
      <c r="B2124" t="str">
        <f t="shared" si="133"/>
        <v>CLSU_Edgewater Hall</v>
      </c>
      <c r="C2124" t="s">
        <v>445</v>
      </c>
      <c r="D2124" s="180" t="s">
        <v>19</v>
      </c>
      <c r="E2124" t="s">
        <v>1059</v>
      </c>
      <c r="F2124" t="s">
        <v>4577</v>
      </c>
      <c r="G2124" s="180">
        <v>57584</v>
      </c>
      <c r="H2124">
        <v>1969</v>
      </c>
      <c r="I2124">
        <v>2005</v>
      </c>
      <c r="J2124" s="1334" t="s">
        <v>475</v>
      </c>
      <c r="K2124" s="1335" t="s">
        <v>486</v>
      </c>
      <c r="L2124" s="180">
        <v>86</v>
      </c>
      <c r="M2124" t="s">
        <v>7821</v>
      </c>
      <c r="N2124" t="str">
        <f t="shared" si="134"/>
        <v>Edgewater Hall (0004)</v>
      </c>
      <c r="O2124" t="s">
        <v>36</v>
      </c>
      <c r="P2124" t="str">
        <f t="shared" si="135"/>
        <v>28000_0004</v>
      </c>
      <c r="Q2124" s="180">
        <v>0</v>
      </c>
    </row>
    <row r="2125" spans="1:17">
      <c r="A2125" t="str">
        <f t="shared" si="132"/>
        <v>CLSU_0005</v>
      </c>
      <c r="B2125" t="str">
        <f t="shared" si="133"/>
        <v>CLSU_Athletics Center</v>
      </c>
      <c r="C2125" t="s">
        <v>445</v>
      </c>
      <c r="D2125" s="180" t="s">
        <v>19</v>
      </c>
      <c r="E2125" t="s">
        <v>1139</v>
      </c>
      <c r="F2125" t="s">
        <v>4570</v>
      </c>
      <c r="G2125" s="180">
        <v>43435</v>
      </c>
      <c r="H2125">
        <v>1970</v>
      </c>
      <c r="I2125">
        <v>2018</v>
      </c>
      <c r="J2125" s="1334" t="s">
        <v>520</v>
      </c>
      <c r="K2125" s="1335" t="s">
        <v>475</v>
      </c>
      <c r="L2125" s="180">
        <v>100</v>
      </c>
      <c r="M2125" t="s">
        <v>7821</v>
      </c>
      <c r="N2125" t="str">
        <f t="shared" si="134"/>
        <v>Athletics Center (0005)</v>
      </c>
      <c r="O2125" t="s">
        <v>36</v>
      </c>
      <c r="P2125" t="str">
        <f t="shared" si="135"/>
        <v>28000_0005</v>
      </c>
      <c r="Q2125" s="180">
        <v>0</v>
      </c>
    </row>
    <row r="2126" spans="1:17">
      <c r="A2126" t="str">
        <f t="shared" si="132"/>
        <v>CLSU_0006</v>
      </c>
      <c r="B2126" t="str">
        <f t="shared" si="133"/>
        <v>CLSU_Facilities Management</v>
      </c>
      <c r="C2126" t="s">
        <v>445</v>
      </c>
      <c r="D2126" s="180" t="s">
        <v>19</v>
      </c>
      <c r="E2126" t="s">
        <v>855</v>
      </c>
      <c r="F2126" t="s">
        <v>4585</v>
      </c>
      <c r="G2126" s="180">
        <v>24018</v>
      </c>
      <c r="H2126">
        <v>1969</v>
      </c>
      <c r="I2126">
        <v>2012</v>
      </c>
      <c r="J2126" s="1334" t="s">
        <v>475</v>
      </c>
      <c r="K2126" s="1335" t="s">
        <v>486</v>
      </c>
      <c r="L2126" s="180">
        <v>100</v>
      </c>
      <c r="M2126" t="s">
        <v>7821</v>
      </c>
      <c r="N2126" t="str">
        <f t="shared" si="134"/>
        <v>Facilities Management (0006)</v>
      </c>
      <c r="O2126" t="s">
        <v>36</v>
      </c>
      <c r="P2126" t="str">
        <f t="shared" si="135"/>
        <v>28000_0006</v>
      </c>
      <c r="Q2126" s="180">
        <v>0</v>
      </c>
    </row>
    <row r="2127" spans="1:17">
      <c r="A2127" t="str">
        <f t="shared" si="132"/>
        <v>CLSU_0007</v>
      </c>
      <c r="B2127" t="str">
        <f t="shared" si="133"/>
        <v>CLSU_Arts &amp; Sciences</v>
      </c>
      <c r="C2127" t="s">
        <v>445</v>
      </c>
      <c r="D2127" s="180" t="s">
        <v>19</v>
      </c>
      <c r="E2127" t="s">
        <v>872</v>
      </c>
      <c r="F2127" t="s">
        <v>4575</v>
      </c>
      <c r="G2127" s="180">
        <v>38908</v>
      </c>
      <c r="H2127">
        <v>1974</v>
      </c>
      <c r="I2127">
        <v>2018</v>
      </c>
      <c r="J2127" s="1334" t="s">
        <v>520</v>
      </c>
      <c r="K2127" s="1335" t="s">
        <v>486</v>
      </c>
      <c r="L2127" s="180">
        <v>100</v>
      </c>
      <c r="M2127" t="s">
        <v>7821</v>
      </c>
      <c r="N2127" t="str">
        <f t="shared" si="134"/>
        <v>Arts &amp; Sciences (0007)</v>
      </c>
      <c r="O2127" t="s">
        <v>36</v>
      </c>
      <c r="P2127" t="str">
        <f t="shared" si="135"/>
        <v>28000_0007</v>
      </c>
      <c r="Q2127" s="180">
        <v>0</v>
      </c>
    </row>
    <row r="2128" spans="1:17">
      <c r="A2128" t="str">
        <f t="shared" si="132"/>
        <v>CLSU_0008</v>
      </c>
      <c r="B2128" t="str">
        <f t="shared" si="133"/>
        <v>CLSU_Library</v>
      </c>
      <c r="C2128" t="s">
        <v>445</v>
      </c>
      <c r="D2128" s="180" t="s">
        <v>19</v>
      </c>
      <c r="E2128" t="s">
        <v>904</v>
      </c>
      <c r="F2128" t="s">
        <v>4597</v>
      </c>
      <c r="G2128" s="180">
        <v>56400</v>
      </c>
      <c r="H2128">
        <v>1979</v>
      </c>
      <c r="I2128">
        <v>2018</v>
      </c>
      <c r="J2128" s="1334" t="s">
        <v>475</v>
      </c>
      <c r="K2128" s="1335" t="s">
        <v>486</v>
      </c>
      <c r="L2128" s="180">
        <v>100</v>
      </c>
      <c r="M2128" t="s">
        <v>7821</v>
      </c>
      <c r="N2128" t="str">
        <f t="shared" si="134"/>
        <v>Library (0008)</v>
      </c>
      <c r="O2128" t="s">
        <v>36</v>
      </c>
      <c r="P2128" t="str">
        <f t="shared" si="135"/>
        <v>28000_0008</v>
      </c>
      <c r="Q2128" s="180">
        <v>0</v>
      </c>
    </row>
    <row r="2129" spans="1:17">
      <c r="A2129" t="str">
        <f t="shared" si="132"/>
        <v>CLSU_0009</v>
      </c>
      <c r="B2129" t="str">
        <f t="shared" si="133"/>
        <v>CLSU_Lucy Huie Hall</v>
      </c>
      <c r="C2129" t="s">
        <v>445</v>
      </c>
      <c r="D2129" s="180" t="s">
        <v>19</v>
      </c>
      <c r="E2129" t="s">
        <v>502</v>
      </c>
      <c r="F2129" t="s">
        <v>4561</v>
      </c>
      <c r="G2129" s="180">
        <v>20240</v>
      </c>
      <c r="H2129">
        <v>1987</v>
      </c>
      <c r="I2129">
        <v>2015</v>
      </c>
      <c r="J2129" s="1334" t="s">
        <v>475</v>
      </c>
      <c r="K2129" s="1335" t="s">
        <v>481</v>
      </c>
      <c r="L2129" s="180">
        <v>100</v>
      </c>
      <c r="M2129" t="s">
        <v>7821</v>
      </c>
      <c r="N2129" t="str">
        <f t="shared" si="134"/>
        <v>Lucy Huie Hall (0009)</v>
      </c>
      <c r="O2129" t="s">
        <v>36</v>
      </c>
      <c r="P2129" t="str">
        <f t="shared" si="135"/>
        <v>28000_0009</v>
      </c>
      <c r="Q2129" s="180">
        <v>0</v>
      </c>
    </row>
    <row r="2130" spans="1:17">
      <c r="A2130" t="str">
        <f t="shared" si="132"/>
        <v>CLSU_0010</v>
      </c>
      <c r="B2130" t="str">
        <f t="shared" si="133"/>
        <v>CLSU_Clayton Hall</v>
      </c>
      <c r="C2130" t="s">
        <v>445</v>
      </c>
      <c r="D2130" s="180" t="s">
        <v>19</v>
      </c>
      <c r="E2130" t="s">
        <v>815</v>
      </c>
      <c r="F2130" t="s">
        <v>4592</v>
      </c>
      <c r="G2130" s="180">
        <v>34213</v>
      </c>
      <c r="H2130">
        <v>1988</v>
      </c>
      <c r="J2130" s="1334" t="s">
        <v>475</v>
      </c>
      <c r="K2130" s="1335" t="s">
        <v>486</v>
      </c>
      <c r="L2130" s="180">
        <v>100</v>
      </c>
      <c r="M2130" t="s">
        <v>7821</v>
      </c>
      <c r="N2130" t="str">
        <f t="shared" si="134"/>
        <v>Clayton Hall (0010)</v>
      </c>
      <c r="O2130" t="s">
        <v>36</v>
      </c>
      <c r="P2130" t="str">
        <f t="shared" si="135"/>
        <v>28000_0010</v>
      </c>
      <c r="Q2130" s="180">
        <v>0</v>
      </c>
    </row>
    <row r="2131" spans="1:17">
      <c r="A2131" t="str">
        <f t="shared" si="132"/>
        <v>CLSU_0011</v>
      </c>
      <c r="B2131" t="str">
        <f t="shared" si="133"/>
        <v>CLSU_Harry S. Downs Center</v>
      </c>
      <c r="C2131" t="s">
        <v>445</v>
      </c>
      <c r="D2131" s="180" t="s">
        <v>19</v>
      </c>
      <c r="E2131" t="s">
        <v>504</v>
      </c>
      <c r="F2131" t="s">
        <v>4600</v>
      </c>
      <c r="G2131" s="180">
        <v>47844</v>
      </c>
      <c r="H2131">
        <v>1990</v>
      </c>
      <c r="I2131">
        <v>2012</v>
      </c>
      <c r="J2131" s="1334" t="s">
        <v>520</v>
      </c>
      <c r="K2131" s="1335" t="s">
        <v>475</v>
      </c>
      <c r="L2131" s="180">
        <v>97</v>
      </c>
      <c r="M2131" t="s">
        <v>7821</v>
      </c>
      <c r="N2131" t="str">
        <f t="shared" si="134"/>
        <v>Harry S. Downs Center (0011)</v>
      </c>
      <c r="O2131" t="s">
        <v>36</v>
      </c>
      <c r="P2131" t="str">
        <f t="shared" si="135"/>
        <v>28000_0011</v>
      </c>
      <c r="Q2131" s="180">
        <v>0</v>
      </c>
    </row>
    <row r="2132" spans="1:17">
      <c r="A2132" t="str">
        <f t="shared" si="132"/>
        <v>CLSU_0012</v>
      </c>
      <c r="B2132" t="str">
        <f t="shared" si="133"/>
        <v>CLSU_Spivey Hall</v>
      </c>
      <c r="C2132" t="s">
        <v>445</v>
      </c>
      <c r="D2132" s="180" t="s">
        <v>19</v>
      </c>
      <c r="E2132" t="s">
        <v>698</v>
      </c>
      <c r="F2132" t="s">
        <v>4557</v>
      </c>
      <c r="G2132" s="180">
        <v>33121</v>
      </c>
      <c r="H2132">
        <v>1990</v>
      </c>
      <c r="J2132" s="1334" t="s">
        <v>475</v>
      </c>
      <c r="K2132" s="1335" t="s">
        <v>1520</v>
      </c>
      <c r="L2132" s="180">
        <v>100</v>
      </c>
      <c r="M2132" t="s">
        <v>7821</v>
      </c>
      <c r="N2132" t="str">
        <f t="shared" si="134"/>
        <v>Spivey Hall (0012)</v>
      </c>
      <c r="O2132" t="s">
        <v>36</v>
      </c>
      <c r="P2132" t="str">
        <f t="shared" si="135"/>
        <v>28000_0012</v>
      </c>
      <c r="Q2132" s="180">
        <v>0</v>
      </c>
    </row>
    <row r="2133" spans="1:17">
      <c r="A2133" t="str">
        <f t="shared" si="132"/>
        <v>CLSU_0013</v>
      </c>
      <c r="B2133" t="str">
        <f t="shared" si="133"/>
        <v>CLSU_Carnes Hall for Music</v>
      </c>
      <c r="C2133" t="s">
        <v>445</v>
      </c>
      <c r="D2133" s="180" t="s">
        <v>19</v>
      </c>
      <c r="E2133" t="s">
        <v>490</v>
      </c>
      <c r="F2133" t="s">
        <v>7077</v>
      </c>
      <c r="G2133" s="180">
        <v>28620</v>
      </c>
      <c r="H2133">
        <v>1998</v>
      </c>
      <c r="J2133" s="1334" t="s">
        <v>520</v>
      </c>
      <c r="K2133" s="1335" t="s">
        <v>486</v>
      </c>
      <c r="L2133" s="180">
        <v>100</v>
      </c>
      <c r="M2133" t="s">
        <v>7821</v>
      </c>
      <c r="N2133" t="str">
        <f t="shared" si="134"/>
        <v>Carnes Hall for Music (0013)</v>
      </c>
      <c r="O2133" t="s">
        <v>36</v>
      </c>
      <c r="P2133" t="str">
        <f t="shared" si="135"/>
        <v>28000_0013</v>
      </c>
      <c r="Q2133" s="180">
        <v>0</v>
      </c>
    </row>
    <row r="2134" spans="1:17">
      <c r="A2134" t="str">
        <f t="shared" si="132"/>
        <v>CLSU_0014</v>
      </c>
      <c r="B2134" t="str">
        <f t="shared" si="133"/>
        <v>CLSU_James M. Baker University Ctr.</v>
      </c>
      <c r="C2134" t="s">
        <v>445</v>
      </c>
      <c r="D2134" s="180" t="s">
        <v>19</v>
      </c>
      <c r="E2134" t="s">
        <v>711</v>
      </c>
      <c r="F2134" t="s">
        <v>4614</v>
      </c>
      <c r="G2134" s="180">
        <v>127000</v>
      </c>
      <c r="H2134">
        <v>2002</v>
      </c>
      <c r="J2134" s="1334" t="s">
        <v>520</v>
      </c>
      <c r="K2134" s="1335" t="s">
        <v>475</v>
      </c>
      <c r="L2134" s="180">
        <v>91</v>
      </c>
      <c r="M2134" t="s">
        <v>7821</v>
      </c>
      <c r="N2134" t="str">
        <f t="shared" si="134"/>
        <v>James M. Baker University Ctr. (0014)</v>
      </c>
      <c r="O2134" t="s">
        <v>36</v>
      </c>
      <c r="P2134" t="str">
        <f t="shared" si="135"/>
        <v>28000_0014</v>
      </c>
      <c r="Q2134" s="180">
        <v>0</v>
      </c>
    </row>
    <row r="2135" spans="1:17">
      <c r="A2135" t="str">
        <f t="shared" si="132"/>
        <v>CLSU_0015</v>
      </c>
      <c r="B2135" t="str">
        <f t="shared" si="133"/>
        <v>CLSU_Student Activities Center</v>
      </c>
      <c r="C2135" t="s">
        <v>445</v>
      </c>
      <c r="D2135" s="180" t="s">
        <v>19</v>
      </c>
      <c r="E2135" t="s">
        <v>624</v>
      </c>
      <c r="F2135" t="s">
        <v>4588</v>
      </c>
      <c r="G2135" s="180">
        <v>62645</v>
      </c>
      <c r="H2135">
        <v>2007</v>
      </c>
      <c r="J2135" s="1334" t="s">
        <v>486</v>
      </c>
      <c r="K2135" s="1335" t="s">
        <v>475</v>
      </c>
      <c r="L2135" s="180">
        <v>98</v>
      </c>
      <c r="M2135" t="s">
        <v>7821</v>
      </c>
      <c r="N2135" t="str">
        <f t="shared" si="134"/>
        <v>Student Activities Center (0015)</v>
      </c>
      <c r="O2135" t="s">
        <v>36</v>
      </c>
      <c r="P2135" t="str">
        <f t="shared" si="135"/>
        <v>28000_0015</v>
      </c>
      <c r="Q2135" s="180">
        <v>0</v>
      </c>
    </row>
    <row r="2136" spans="1:17">
      <c r="A2136" t="str">
        <f t="shared" si="132"/>
        <v>CLSU_0016</v>
      </c>
      <c r="B2136" t="str">
        <f t="shared" si="133"/>
        <v>CLSU_College of Business</v>
      </c>
      <c r="C2136" t="s">
        <v>445</v>
      </c>
      <c r="D2136" s="180" t="s">
        <v>19</v>
      </c>
      <c r="E2136" t="s">
        <v>506</v>
      </c>
      <c r="F2136" t="s">
        <v>4562</v>
      </c>
      <c r="G2136" s="180">
        <v>16555</v>
      </c>
      <c r="H2136">
        <v>2007</v>
      </c>
      <c r="J2136" s="1334" t="s">
        <v>520</v>
      </c>
      <c r="K2136" s="1335" t="s">
        <v>475</v>
      </c>
      <c r="L2136" s="180">
        <v>100</v>
      </c>
      <c r="M2136" t="s">
        <v>7821</v>
      </c>
      <c r="N2136" t="str">
        <f t="shared" si="134"/>
        <v>College of Business (0016)</v>
      </c>
      <c r="O2136" t="s">
        <v>36</v>
      </c>
      <c r="P2136" t="str">
        <f t="shared" si="135"/>
        <v>28000_0016</v>
      </c>
      <c r="Q2136" s="180">
        <v>0</v>
      </c>
    </row>
    <row r="2137" spans="1:17">
      <c r="A2137" t="str">
        <f t="shared" si="132"/>
        <v>CLSU_0017</v>
      </c>
      <c r="B2137" t="str">
        <f t="shared" si="133"/>
        <v>CLSU_CSU East - Arbor Hall</v>
      </c>
      <c r="C2137" t="s">
        <v>445</v>
      </c>
      <c r="D2137" s="180" t="s">
        <v>19</v>
      </c>
      <c r="E2137" t="s">
        <v>680</v>
      </c>
      <c r="F2137" t="s">
        <v>4576</v>
      </c>
      <c r="G2137" s="180">
        <v>16316</v>
      </c>
      <c r="H2137">
        <v>1991</v>
      </c>
      <c r="I2137">
        <v>2021</v>
      </c>
      <c r="J2137" s="1334" t="s">
        <v>475</v>
      </c>
      <c r="K2137" s="1335" t="s">
        <v>475</v>
      </c>
      <c r="L2137" s="180">
        <v>100</v>
      </c>
      <c r="M2137" t="s">
        <v>7821</v>
      </c>
      <c r="N2137" t="str">
        <f t="shared" si="134"/>
        <v>CSU East - Arbor Hall (0017)</v>
      </c>
      <c r="O2137" t="s">
        <v>36</v>
      </c>
      <c r="P2137" t="str">
        <f t="shared" si="135"/>
        <v>28000_0017</v>
      </c>
      <c r="Q2137" s="180">
        <v>0</v>
      </c>
    </row>
    <row r="2138" spans="1:17">
      <c r="A2138" t="str">
        <f t="shared" si="132"/>
        <v>CLSU_0018</v>
      </c>
      <c r="B2138" t="str">
        <f t="shared" si="133"/>
        <v>CLSU_CSU East - Woodlands Hall</v>
      </c>
      <c r="C2138" t="s">
        <v>445</v>
      </c>
      <c r="D2138" s="180" t="s">
        <v>19</v>
      </c>
      <c r="E2138" t="s">
        <v>757</v>
      </c>
      <c r="F2138" t="s">
        <v>4593</v>
      </c>
      <c r="G2138" s="180">
        <v>13542</v>
      </c>
      <c r="H2138">
        <v>1991</v>
      </c>
      <c r="I2138">
        <v>2011</v>
      </c>
      <c r="J2138" s="1334" t="s">
        <v>475</v>
      </c>
      <c r="K2138" s="1335" t="s">
        <v>475</v>
      </c>
      <c r="L2138" s="180">
        <v>100</v>
      </c>
      <c r="M2138" t="s">
        <v>7821</v>
      </c>
      <c r="N2138" t="str">
        <f t="shared" si="134"/>
        <v>CSU East - Woodlands Hall (0018)</v>
      </c>
      <c r="O2138" t="s">
        <v>36</v>
      </c>
      <c r="P2138" t="str">
        <f t="shared" si="135"/>
        <v>28000_0018</v>
      </c>
      <c r="Q2138" s="180">
        <v>0</v>
      </c>
    </row>
    <row r="2139" spans="1:17">
      <c r="A2139" t="str">
        <f t="shared" si="132"/>
        <v>CLSU_0019</v>
      </c>
      <c r="B2139" t="str">
        <f t="shared" si="133"/>
        <v>CLSU_COOLING TOWER &amp; PUMP HOUSE</v>
      </c>
      <c r="C2139" t="s">
        <v>445</v>
      </c>
      <c r="D2139" s="180" t="s">
        <v>19</v>
      </c>
      <c r="E2139" t="s">
        <v>1068</v>
      </c>
      <c r="F2139" t="s">
        <v>4558</v>
      </c>
      <c r="G2139" s="180">
        <v>2634</v>
      </c>
      <c r="H2139">
        <v>2002</v>
      </c>
      <c r="J2139" s="1334" t="s">
        <v>520</v>
      </c>
      <c r="K2139" s="1335" t="s">
        <v>486</v>
      </c>
      <c r="L2139" s="180">
        <v>100</v>
      </c>
      <c r="M2139" t="s">
        <v>7821</v>
      </c>
      <c r="N2139" t="str">
        <f t="shared" si="134"/>
        <v>COOLING TOWER &amp; PUMP HOUSE (0019)</v>
      </c>
      <c r="O2139" t="s">
        <v>36</v>
      </c>
      <c r="P2139" t="str">
        <f t="shared" si="135"/>
        <v>28000_0019</v>
      </c>
      <c r="Q2139" s="180">
        <v>0</v>
      </c>
    </row>
    <row r="2140" spans="1:17">
      <c r="A2140" t="str">
        <f t="shared" si="132"/>
        <v>CLSU_0020</v>
      </c>
      <c r="B2140" t="str">
        <f t="shared" si="133"/>
        <v>CLSU_PUMP HOUSE</v>
      </c>
      <c r="C2140" t="s">
        <v>445</v>
      </c>
      <c r="D2140" s="180" t="s">
        <v>19</v>
      </c>
      <c r="E2140" t="s">
        <v>529</v>
      </c>
      <c r="F2140" t="s">
        <v>1503</v>
      </c>
      <c r="G2140" s="180">
        <v>144</v>
      </c>
      <c r="H2140">
        <v>1989</v>
      </c>
      <c r="J2140" s="1334" t="s">
        <v>475</v>
      </c>
      <c r="K2140" s="1335" t="s">
        <v>1520</v>
      </c>
      <c r="L2140" s="180">
        <v>100</v>
      </c>
      <c r="M2140" t="s">
        <v>7821</v>
      </c>
      <c r="N2140" t="str">
        <f t="shared" si="134"/>
        <v>PUMP HOUSE (0020)</v>
      </c>
      <c r="O2140" t="s">
        <v>36</v>
      </c>
      <c r="P2140" t="str">
        <f t="shared" si="135"/>
        <v>28000_0020</v>
      </c>
      <c r="Q2140" s="180">
        <v>0</v>
      </c>
    </row>
    <row r="2141" spans="1:17">
      <c r="A2141" t="str">
        <f t="shared" si="132"/>
        <v>CLSU_0021</v>
      </c>
      <c r="B2141" t="str">
        <f t="shared" si="133"/>
        <v>CLSU_SECURITY STATION</v>
      </c>
      <c r="C2141" t="s">
        <v>445</v>
      </c>
      <c r="D2141" s="180" t="s">
        <v>19</v>
      </c>
      <c r="E2141" t="s">
        <v>930</v>
      </c>
      <c r="F2141" t="s">
        <v>4565</v>
      </c>
      <c r="G2141" s="180">
        <v>216</v>
      </c>
      <c r="H2141">
        <v>2008</v>
      </c>
      <c r="J2141" s="1334" t="s">
        <v>475</v>
      </c>
      <c r="K2141" s="1335" t="s">
        <v>475</v>
      </c>
      <c r="L2141" s="180">
        <v>100</v>
      </c>
      <c r="M2141" t="s">
        <v>7821</v>
      </c>
      <c r="N2141" t="str">
        <f t="shared" si="134"/>
        <v>SECURITY STATION (0021)</v>
      </c>
      <c r="O2141" t="s">
        <v>36</v>
      </c>
      <c r="P2141" t="str">
        <f t="shared" si="135"/>
        <v>28000_0021</v>
      </c>
      <c r="Q2141" s="180">
        <v>0</v>
      </c>
    </row>
    <row r="2142" spans="1:17">
      <c r="A2142" t="str">
        <f t="shared" si="132"/>
        <v>CLSU_0024</v>
      </c>
      <c r="B2142" t="str">
        <f t="shared" si="133"/>
        <v>CLSU_Laboratory Annex Building</v>
      </c>
      <c r="C2142" t="s">
        <v>445</v>
      </c>
      <c r="D2142" s="180" t="s">
        <v>19</v>
      </c>
      <c r="E2142" t="s">
        <v>548</v>
      </c>
      <c r="F2142" t="s">
        <v>4559</v>
      </c>
      <c r="G2142" s="180">
        <v>18000</v>
      </c>
      <c r="H2142">
        <v>2010</v>
      </c>
      <c r="J2142" s="1334" t="s">
        <v>520</v>
      </c>
      <c r="K2142" s="1335" t="s">
        <v>475</v>
      </c>
      <c r="L2142" s="180">
        <v>100</v>
      </c>
      <c r="M2142" t="s">
        <v>7821</v>
      </c>
      <c r="N2142" t="str">
        <f t="shared" si="134"/>
        <v>Laboratory Annex Building (0024)</v>
      </c>
      <c r="O2142" t="s">
        <v>36</v>
      </c>
      <c r="P2142" t="str">
        <f t="shared" si="135"/>
        <v>28000_0024</v>
      </c>
      <c r="Q2142" s="180">
        <v>0</v>
      </c>
    </row>
    <row r="2143" spans="1:17">
      <c r="A2143" t="str">
        <f t="shared" si="132"/>
        <v>CLSU_0025</v>
      </c>
      <c r="B2143" t="str">
        <f t="shared" si="133"/>
        <v>CLSU_Lakeview Discovery &amp; Science</v>
      </c>
      <c r="C2143" t="s">
        <v>445</v>
      </c>
      <c r="D2143" s="180" t="s">
        <v>19</v>
      </c>
      <c r="E2143" t="s">
        <v>682</v>
      </c>
      <c r="F2143" t="s">
        <v>4586</v>
      </c>
      <c r="G2143" s="180">
        <v>62598</v>
      </c>
      <c r="H2143">
        <v>2014</v>
      </c>
      <c r="J2143" s="1334" t="s">
        <v>520</v>
      </c>
      <c r="K2143" s="1335" t="s">
        <v>475</v>
      </c>
      <c r="L2143" s="180">
        <v>100</v>
      </c>
      <c r="M2143" t="s">
        <v>7821</v>
      </c>
      <c r="N2143" t="str">
        <f t="shared" si="134"/>
        <v>Lakeview Discovery &amp; Science (0025)</v>
      </c>
      <c r="O2143" t="s">
        <v>36</v>
      </c>
      <c r="P2143" t="str">
        <f t="shared" si="135"/>
        <v>28000_0025</v>
      </c>
      <c r="Q2143" s="180">
        <v>0</v>
      </c>
    </row>
    <row r="2144" spans="1:17">
      <c r="A2144" t="str">
        <f t="shared" si="132"/>
        <v>CLSU_0026</v>
      </c>
      <c r="B2144" t="str">
        <f t="shared" si="133"/>
        <v>CLSU_CSU East Trammell Rd</v>
      </c>
      <c r="C2144" t="s">
        <v>445</v>
      </c>
      <c r="D2144" s="180" t="s">
        <v>19</v>
      </c>
      <c r="E2144" t="s">
        <v>692</v>
      </c>
      <c r="F2144" t="s">
        <v>4589</v>
      </c>
      <c r="G2144" s="180">
        <v>3940</v>
      </c>
      <c r="H2144">
        <v>1971</v>
      </c>
      <c r="J2144" s="1334" t="s">
        <v>475</v>
      </c>
      <c r="K2144" s="1335" t="s">
        <v>481</v>
      </c>
      <c r="L2144" s="180">
        <v>100</v>
      </c>
      <c r="M2144" t="s">
        <v>7821</v>
      </c>
      <c r="N2144" t="str">
        <f t="shared" si="134"/>
        <v>CSU East Trammell Rd (0026)</v>
      </c>
      <c r="O2144" t="s">
        <v>36</v>
      </c>
      <c r="P2144" t="str">
        <f t="shared" si="135"/>
        <v>28000_0026</v>
      </c>
      <c r="Q2144" s="180">
        <v>0</v>
      </c>
    </row>
    <row r="2145" spans="1:17">
      <c r="A2145" t="str">
        <f t="shared" si="132"/>
        <v>CLSU_0027</v>
      </c>
      <c r="B2145" t="str">
        <f t="shared" si="133"/>
        <v>CLSU_Irrigation Pump House</v>
      </c>
      <c r="C2145" t="s">
        <v>445</v>
      </c>
      <c r="D2145" s="180" t="s">
        <v>19</v>
      </c>
      <c r="E2145" t="s">
        <v>4571</v>
      </c>
      <c r="F2145" t="s">
        <v>4572</v>
      </c>
      <c r="G2145" s="180">
        <v>170</v>
      </c>
      <c r="H2145">
        <v>2015</v>
      </c>
      <c r="J2145" s="1334" t="s">
        <v>475</v>
      </c>
      <c r="K2145" s="1335" t="s">
        <v>475</v>
      </c>
      <c r="L2145" s="180">
        <v>100</v>
      </c>
      <c r="M2145" t="s">
        <v>7821</v>
      </c>
      <c r="N2145" t="str">
        <f t="shared" si="134"/>
        <v>Irrigation Pump House (0027)</v>
      </c>
      <c r="O2145" t="s">
        <v>36</v>
      </c>
      <c r="P2145" t="str">
        <f t="shared" si="135"/>
        <v>28000_0027</v>
      </c>
      <c r="Q2145" s="180">
        <v>0</v>
      </c>
    </row>
    <row r="2146" spans="1:17">
      <c r="A2146" t="str">
        <f t="shared" si="132"/>
        <v>CLSU_0028</v>
      </c>
      <c r="B2146" t="str">
        <f t="shared" si="133"/>
        <v>CLSU_West Side Chiller Plant</v>
      </c>
      <c r="C2146" t="s">
        <v>445</v>
      </c>
      <c r="D2146" s="180" t="s">
        <v>19</v>
      </c>
      <c r="E2146" t="s">
        <v>5575</v>
      </c>
      <c r="F2146" t="s">
        <v>7078</v>
      </c>
      <c r="G2146" s="180">
        <v>6600</v>
      </c>
      <c r="H2146">
        <v>2021</v>
      </c>
      <c r="J2146" s="1334" t="s">
        <v>475</v>
      </c>
      <c r="K2146" s="1335" t="s">
        <v>920</v>
      </c>
      <c r="L2146" s="180">
        <v>100</v>
      </c>
      <c r="M2146" t="s">
        <v>7821</v>
      </c>
      <c r="N2146" t="str">
        <f t="shared" si="134"/>
        <v>West Side Chiller Plant (0028)</v>
      </c>
      <c r="O2146" t="s">
        <v>36</v>
      </c>
      <c r="P2146" t="str">
        <f t="shared" si="135"/>
        <v>28000_0028</v>
      </c>
      <c r="Q2146" s="180">
        <v>0</v>
      </c>
    </row>
    <row r="2147" spans="1:17">
      <c r="A2147" t="str">
        <f t="shared" si="132"/>
        <v>CLSU_100</v>
      </c>
      <c r="B2147" t="str">
        <f t="shared" si="133"/>
        <v>CLSU_Laker Village Bldg 100</v>
      </c>
      <c r="C2147" t="s">
        <v>445</v>
      </c>
      <c r="D2147" s="180" t="s">
        <v>19</v>
      </c>
      <c r="E2147" t="s">
        <v>4578</v>
      </c>
      <c r="F2147" t="s">
        <v>4579</v>
      </c>
      <c r="G2147" s="180">
        <v>20884</v>
      </c>
      <c r="H2147">
        <v>1999</v>
      </c>
      <c r="I2147">
        <v>2015</v>
      </c>
      <c r="J2147" s="1334" t="s">
        <v>486</v>
      </c>
      <c r="K2147" s="1335" t="s">
        <v>475</v>
      </c>
      <c r="L2147" s="180">
        <v>0</v>
      </c>
      <c r="M2147" t="s">
        <v>7821</v>
      </c>
      <c r="N2147" t="str">
        <f t="shared" si="134"/>
        <v>Laker Village Bldg 100 (100)</v>
      </c>
      <c r="O2147" t="s">
        <v>36</v>
      </c>
      <c r="P2147" t="str">
        <f t="shared" si="135"/>
        <v>28000_100</v>
      </c>
      <c r="Q2147" s="180">
        <v>0</v>
      </c>
    </row>
    <row r="2148" spans="1:17">
      <c r="A2148" t="str">
        <f t="shared" si="132"/>
        <v>CLSU_1000</v>
      </c>
      <c r="B2148" t="str">
        <f t="shared" si="133"/>
        <v>CLSU_Laker Village Bldg 1000</v>
      </c>
      <c r="C2148" t="s">
        <v>445</v>
      </c>
      <c r="D2148" s="180" t="s">
        <v>19</v>
      </c>
      <c r="E2148" t="s">
        <v>2749</v>
      </c>
      <c r="F2148" t="s">
        <v>4587</v>
      </c>
      <c r="G2148" s="180">
        <v>38800</v>
      </c>
      <c r="H2148">
        <v>2004</v>
      </c>
      <c r="I2148">
        <v>2011</v>
      </c>
      <c r="J2148" s="1334" t="s">
        <v>486</v>
      </c>
      <c r="K2148" s="1335" t="s">
        <v>486</v>
      </c>
      <c r="L2148" s="180">
        <v>0</v>
      </c>
      <c r="M2148" t="s">
        <v>7821</v>
      </c>
      <c r="N2148" t="str">
        <f t="shared" si="134"/>
        <v>Laker Village Bldg 1000 (1000)</v>
      </c>
      <c r="O2148" t="s">
        <v>36</v>
      </c>
      <c r="P2148" t="str">
        <f t="shared" si="135"/>
        <v>28000_1000</v>
      </c>
      <c r="Q2148" s="180">
        <v>0</v>
      </c>
    </row>
    <row r="2149" spans="1:17">
      <c r="A2149" t="str">
        <f t="shared" si="132"/>
        <v>CLSU_101</v>
      </c>
      <c r="B2149" t="str">
        <f t="shared" si="133"/>
        <v>CLSU_Laker Village Club House</v>
      </c>
      <c r="C2149" t="s">
        <v>445</v>
      </c>
      <c r="D2149" s="180" t="s">
        <v>19</v>
      </c>
      <c r="E2149" t="s">
        <v>4590</v>
      </c>
      <c r="F2149" t="s">
        <v>4591</v>
      </c>
      <c r="G2149" s="180">
        <v>3302</v>
      </c>
      <c r="H2149">
        <v>1999</v>
      </c>
      <c r="J2149" s="1334" t="s">
        <v>486</v>
      </c>
      <c r="K2149" s="1335" t="s">
        <v>1520</v>
      </c>
      <c r="L2149" s="180">
        <v>0</v>
      </c>
      <c r="M2149" t="s">
        <v>7821</v>
      </c>
      <c r="N2149" t="str">
        <f t="shared" si="134"/>
        <v>Laker Village Club House (101)</v>
      </c>
      <c r="O2149" t="s">
        <v>36</v>
      </c>
      <c r="P2149" t="str">
        <f t="shared" si="135"/>
        <v>28000_101</v>
      </c>
      <c r="Q2149" s="180">
        <v>0</v>
      </c>
    </row>
    <row r="2150" spans="1:17">
      <c r="A2150" t="str">
        <f t="shared" si="132"/>
        <v>CLSU_102</v>
      </c>
      <c r="B2150" t="str">
        <f t="shared" si="133"/>
        <v>CLSU_Laker Village Pool House</v>
      </c>
      <c r="C2150" t="s">
        <v>445</v>
      </c>
      <c r="D2150" s="180" t="s">
        <v>19</v>
      </c>
      <c r="E2150" t="s">
        <v>4566</v>
      </c>
      <c r="F2150" t="s">
        <v>4567</v>
      </c>
      <c r="G2150" s="180">
        <v>300</v>
      </c>
      <c r="H2150">
        <v>1999</v>
      </c>
      <c r="J2150" s="1334" t="s">
        <v>486</v>
      </c>
      <c r="K2150" s="1335" t="s">
        <v>486</v>
      </c>
      <c r="L2150" s="180">
        <v>100</v>
      </c>
      <c r="M2150" t="s">
        <v>7821</v>
      </c>
      <c r="N2150" t="str">
        <f t="shared" si="134"/>
        <v>Laker Village Pool House (102)</v>
      </c>
      <c r="O2150" t="s">
        <v>36</v>
      </c>
      <c r="P2150" t="str">
        <f t="shared" si="135"/>
        <v>28000_102</v>
      </c>
      <c r="Q2150" s="180">
        <v>0</v>
      </c>
    </row>
    <row r="2151" spans="1:17">
      <c r="A2151" t="str">
        <f t="shared" si="132"/>
        <v>CLSU_103</v>
      </c>
      <c r="B2151" t="str">
        <f t="shared" si="133"/>
        <v>CLSU_Laker Village Maintenance Bldg</v>
      </c>
      <c r="C2151" t="s">
        <v>445</v>
      </c>
      <c r="D2151" s="180" t="s">
        <v>19</v>
      </c>
      <c r="E2151" t="s">
        <v>4601</v>
      </c>
      <c r="F2151" t="s">
        <v>4602</v>
      </c>
      <c r="G2151" s="180">
        <v>840</v>
      </c>
      <c r="H2151">
        <v>2004</v>
      </c>
      <c r="J2151" s="1334" t="s">
        <v>486</v>
      </c>
      <c r="K2151" s="1335" t="s">
        <v>481</v>
      </c>
      <c r="L2151" s="180">
        <v>100</v>
      </c>
      <c r="M2151" t="s">
        <v>7821</v>
      </c>
      <c r="N2151" t="str">
        <f t="shared" si="134"/>
        <v>Laker Village Maintenance Bldg (103)</v>
      </c>
      <c r="O2151" t="s">
        <v>36</v>
      </c>
      <c r="P2151" t="str">
        <f t="shared" si="135"/>
        <v>28000_103</v>
      </c>
      <c r="Q2151" s="180">
        <v>0</v>
      </c>
    </row>
    <row r="2152" spans="1:17">
      <c r="A2152" t="str">
        <f t="shared" si="132"/>
        <v>CLSU_200</v>
      </c>
      <c r="B2152" t="str">
        <f t="shared" si="133"/>
        <v>CLSU_Laker Village Bldg 200</v>
      </c>
      <c r="C2152" t="s">
        <v>445</v>
      </c>
      <c r="D2152" s="180" t="s">
        <v>19</v>
      </c>
      <c r="E2152" t="s">
        <v>4606</v>
      </c>
      <c r="F2152" t="s">
        <v>4607</v>
      </c>
      <c r="G2152" s="180">
        <v>20884</v>
      </c>
      <c r="H2152">
        <v>1999</v>
      </c>
      <c r="I2152">
        <v>2015</v>
      </c>
      <c r="J2152" s="1334" t="s">
        <v>486</v>
      </c>
      <c r="K2152" s="1335" t="s">
        <v>475</v>
      </c>
      <c r="L2152" s="180">
        <v>0</v>
      </c>
      <c r="M2152" t="s">
        <v>7821</v>
      </c>
      <c r="N2152" t="str">
        <f t="shared" si="134"/>
        <v>Laker Village Bldg 200 (200)</v>
      </c>
      <c r="O2152" t="s">
        <v>36</v>
      </c>
      <c r="P2152" t="str">
        <f t="shared" si="135"/>
        <v>28000_200</v>
      </c>
      <c r="Q2152" s="180">
        <v>0</v>
      </c>
    </row>
    <row r="2153" spans="1:17">
      <c r="A2153" t="str">
        <f t="shared" si="132"/>
        <v>CLSU_2000</v>
      </c>
      <c r="B2153" t="str">
        <f t="shared" si="133"/>
        <v>CLSU_Laker Village Bldg 2000</v>
      </c>
      <c r="C2153" t="s">
        <v>445</v>
      </c>
      <c r="D2153" s="180" t="s">
        <v>19</v>
      </c>
      <c r="E2153" t="s">
        <v>4203</v>
      </c>
      <c r="F2153" t="s">
        <v>4612</v>
      </c>
      <c r="G2153" s="180">
        <v>53576</v>
      </c>
      <c r="H2153">
        <v>2004</v>
      </c>
      <c r="I2153">
        <v>2011</v>
      </c>
      <c r="J2153" s="1334" t="s">
        <v>486</v>
      </c>
      <c r="K2153" s="1335" t="s">
        <v>486</v>
      </c>
      <c r="L2153" s="180">
        <v>0</v>
      </c>
      <c r="M2153" t="s">
        <v>7821</v>
      </c>
      <c r="N2153" t="str">
        <f t="shared" si="134"/>
        <v>Laker Village Bldg 2000 (2000)</v>
      </c>
      <c r="O2153" t="s">
        <v>36</v>
      </c>
      <c r="P2153" t="str">
        <f t="shared" si="135"/>
        <v>28000_2000</v>
      </c>
      <c r="Q2153" s="180">
        <v>0</v>
      </c>
    </row>
    <row r="2154" spans="1:17">
      <c r="A2154" t="str">
        <f t="shared" si="132"/>
        <v>CLSU_300</v>
      </c>
      <c r="B2154" t="str">
        <f t="shared" si="133"/>
        <v>CLSU_Laker Village Bldg 300</v>
      </c>
      <c r="C2154" t="s">
        <v>445</v>
      </c>
      <c r="D2154" s="180" t="s">
        <v>19</v>
      </c>
      <c r="E2154" t="s">
        <v>4568</v>
      </c>
      <c r="F2154" t="s">
        <v>4569</v>
      </c>
      <c r="G2154" s="180">
        <v>20884</v>
      </c>
      <c r="H2154">
        <v>1999</v>
      </c>
      <c r="J2154" s="1334" t="s">
        <v>486</v>
      </c>
      <c r="K2154" s="1335" t="s">
        <v>520</v>
      </c>
      <c r="L2154" s="180">
        <v>0</v>
      </c>
      <c r="M2154" t="s">
        <v>7821</v>
      </c>
      <c r="N2154" t="str">
        <f t="shared" si="134"/>
        <v>Laker Village Bldg 300 (300)</v>
      </c>
      <c r="O2154" t="s">
        <v>36</v>
      </c>
      <c r="P2154" t="str">
        <f t="shared" si="135"/>
        <v>28000_300</v>
      </c>
      <c r="Q2154" s="180">
        <v>0</v>
      </c>
    </row>
    <row r="2155" spans="1:17">
      <c r="A2155" t="str">
        <f t="shared" si="132"/>
        <v>CLSU_3000</v>
      </c>
      <c r="B2155" t="str">
        <f t="shared" si="133"/>
        <v>CLSU_Laker Village Bldg 3000</v>
      </c>
      <c r="C2155" t="s">
        <v>445</v>
      </c>
      <c r="D2155" s="180" t="s">
        <v>19</v>
      </c>
      <c r="E2155" t="s">
        <v>4598</v>
      </c>
      <c r="F2155" t="s">
        <v>4599</v>
      </c>
      <c r="G2155" s="180">
        <v>44499</v>
      </c>
      <c r="H2155">
        <v>2004</v>
      </c>
      <c r="I2155">
        <v>2011</v>
      </c>
      <c r="J2155" s="1334" t="s">
        <v>486</v>
      </c>
      <c r="K2155" s="1335" t="s">
        <v>486</v>
      </c>
      <c r="L2155" s="180">
        <v>0</v>
      </c>
      <c r="M2155" t="s">
        <v>7821</v>
      </c>
      <c r="N2155" t="str">
        <f t="shared" si="134"/>
        <v>Laker Village Bldg 3000 (3000)</v>
      </c>
      <c r="O2155" t="s">
        <v>36</v>
      </c>
      <c r="P2155" t="str">
        <f t="shared" si="135"/>
        <v>28000_3000</v>
      </c>
      <c r="Q2155" s="180">
        <v>0</v>
      </c>
    </row>
    <row r="2156" spans="1:17">
      <c r="A2156" t="str">
        <f t="shared" si="132"/>
        <v>CLSU_400</v>
      </c>
      <c r="B2156" t="str">
        <f t="shared" si="133"/>
        <v>CLSU_Laker Village Bldg 400 Lower</v>
      </c>
      <c r="C2156" t="s">
        <v>445</v>
      </c>
      <c r="D2156" s="180" t="s">
        <v>19</v>
      </c>
      <c r="E2156" t="s">
        <v>4594</v>
      </c>
      <c r="F2156" t="s">
        <v>7753</v>
      </c>
      <c r="G2156" s="180">
        <v>41768</v>
      </c>
      <c r="H2156">
        <v>1999</v>
      </c>
      <c r="I2156">
        <v>2015</v>
      </c>
      <c r="J2156" s="1334" t="s">
        <v>486</v>
      </c>
      <c r="K2156" s="1335" t="s">
        <v>481</v>
      </c>
      <c r="L2156" s="180">
        <v>0</v>
      </c>
      <c r="M2156" t="s">
        <v>7821</v>
      </c>
      <c r="N2156" t="str">
        <f t="shared" si="134"/>
        <v>Laker Village Bldg 400 Lower (400)</v>
      </c>
      <c r="O2156" t="s">
        <v>36</v>
      </c>
      <c r="P2156" t="str">
        <f t="shared" si="135"/>
        <v>28000_400</v>
      </c>
      <c r="Q2156" s="180">
        <v>0</v>
      </c>
    </row>
    <row r="2157" spans="1:17">
      <c r="A2157" t="str">
        <f t="shared" si="132"/>
        <v>CLSU_4000</v>
      </c>
      <c r="B2157" t="str">
        <f t="shared" si="133"/>
        <v>CLSU_Laker Village Bldg 4000</v>
      </c>
      <c r="C2157" t="s">
        <v>445</v>
      </c>
      <c r="D2157" s="180" t="s">
        <v>19</v>
      </c>
      <c r="E2157" t="s">
        <v>4595</v>
      </c>
      <c r="F2157" t="s">
        <v>4596</v>
      </c>
      <c r="G2157" s="180">
        <v>6568</v>
      </c>
      <c r="H2157">
        <v>2004</v>
      </c>
      <c r="I2157">
        <v>2011</v>
      </c>
      <c r="J2157" s="1334" t="s">
        <v>486</v>
      </c>
      <c r="K2157" s="1335" t="s">
        <v>486</v>
      </c>
      <c r="L2157" s="180">
        <v>0</v>
      </c>
      <c r="M2157" t="s">
        <v>7821</v>
      </c>
      <c r="N2157" t="str">
        <f t="shared" si="134"/>
        <v>Laker Village Bldg 4000 (4000)</v>
      </c>
      <c r="O2157" t="s">
        <v>36</v>
      </c>
      <c r="P2157" t="str">
        <f t="shared" si="135"/>
        <v>28000_4000</v>
      </c>
      <c r="Q2157" s="180">
        <v>0</v>
      </c>
    </row>
    <row r="2158" spans="1:17">
      <c r="A2158" t="str">
        <f t="shared" si="132"/>
        <v>CLSU_400U</v>
      </c>
      <c r="B2158" t="str">
        <f t="shared" si="133"/>
        <v>CLSU_Laker Village Bldg 400 Upper</v>
      </c>
      <c r="C2158" t="s">
        <v>445</v>
      </c>
      <c r="D2158" s="180" t="s">
        <v>19</v>
      </c>
      <c r="E2158" t="s">
        <v>7627</v>
      </c>
      <c r="F2158" t="s">
        <v>7754</v>
      </c>
      <c r="G2158" s="180">
        <v>41768</v>
      </c>
      <c r="H2158">
        <v>1999</v>
      </c>
      <c r="J2158" s="1334" t="s">
        <v>486</v>
      </c>
      <c r="K2158" s="1335" t="s">
        <v>475</v>
      </c>
      <c r="L2158" s="180">
        <v>0</v>
      </c>
      <c r="M2158" t="s">
        <v>7821</v>
      </c>
      <c r="N2158" t="str">
        <f t="shared" si="134"/>
        <v>Laker Village Bldg 400 Upper (400U)</v>
      </c>
      <c r="O2158" t="s">
        <v>36</v>
      </c>
      <c r="P2158" t="str">
        <f t="shared" si="135"/>
        <v>28000_400U</v>
      </c>
      <c r="Q2158" s="180">
        <v>0</v>
      </c>
    </row>
    <row r="2159" spans="1:17">
      <c r="A2159" t="str">
        <f t="shared" si="132"/>
        <v>CLSU_500</v>
      </c>
      <c r="B2159" t="str">
        <f t="shared" si="133"/>
        <v>CLSU_Laker Village Bldg 500</v>
      </c>
      <c r="C2159" t="s">
        <v>445</v>
      </c>
      <c r="D2159" s="180" t="s">
        <v>19</v>
      </c>
      <c r="E2159" t="s">
        <v>4563</v>
      </c>
      <c r="F2159" t="s">
        <v>4564</v>
      </c>
      <c r="G2159" s="180">
        <v>20884</v>
      </c>
      <c r="H2159">
        <v>1999</v>
      </c>
      <c r="I2159">
        <v>2015</v>
      </c>
      <c r="J2159" s="1334" t="s">
        <v>486</v>
      </c>
      <c r="K2159" s="1335" t="s">
        <v>475</v>
      </c>
      <c r="L2159" s="180">
        <v>0</v>
      </c>
      <c r="M2159" t="s">
        <v>7821</v>
      </c>
      <c r="N2159" t="str">
        <f t="shared" si="134"/>
        <v>Laker Village Bldg 500 (500)</v>
      </c>
      <c r="O2159" t="s">
        <v>36</v>
      </c>
      <c r="P2159" t="str">
        <f t="shared" si="135"/>
        <v>28000_500</v>
      </c>
      <c r="Q2159" s="180">
        <v>0</v>
      </c>
    </row>
    <row r="2160" spans="1:17">
      <c r="A2160" t="str">
        <f t="shared" si="132"/>
        <v>CLSU_5000</v>
      </c>
      <c r="B2160" t="str">
        <f t="shared" si="133"/>
        <v>CLSU_Laker Village 5000</v>
      </c>
      <c r="C2160" t="s">
        <v>445</v>
      </c>
      <c r="D2160" s="180" t="s">
        <v>19</v>
      </c>
      <c r="E2160" t="s">
        <v>4581</v>
      </c>
      <c r="F2160" t="s">
        <v>4582</v>
      </c>
      <c r="G2160" s="180">
        <v>30468</v>
      </c>
      <c r="H2160">
        <v>2004</v>
      </c>
      <c r="I2160">
        <v>2011</v>
      </c>
      <c r="J2160" s="1334" t="s">
        <v>486</v>
      </c>
      <c r="K2160" s="1335" t="s">
        <v>486</v>
      </c>
      <c r="L2160" s="180">
        <v>0</v>
      </c>
      <c r="M2160" t="s">
        <v>7821</v>
      </c>
      <c r="N2160" t="str">
        <f t="shared" si="134"/>
        <v>Laker Village 5000 (5000)</v>
      </c>
      <c r="O2160" t="s">
        <v>36</v>
      </c>
      <c r="P2160" t="str">
        <f t="shared" si="135"/>
        <v>28000_5000</v>
      </c>
      <c r="Q2160" s="180">
        <v>0</v>
      </c>
    </row>
    <row r="2161" spans="1:17">
      <c r="A2161" t="str">
        <f t="shared" si="132"/>
        <v>CLSU_600</v>
      </c>
      <c r="B2161" t="str">
        <f t="shared" si="133"/>
        <v>CLSU_Laker Village Bldg 600</v>
      </c>
      <c r="C2161" t="s">
        <v>445</v>
      </c>
      <c r="D2161" s="180" t="s">
        <v>19</v>
      </c>
      <c r="E2161" t="s">
        <v>4583</v>
      </c>
      <c r="F2161" t="s">
        <v>4584</v>
      </c>
      <c r="G2161" s="180">
        <v>20884</v>
      </c>
      <c r="H2161">
        <v>1999</v>
      </c>
      <c r="I2161">
        <v>2015</v>
      </c>
      <c r="J2161" s="1334" t="s">
        <v>486</v>
      </c>
      <c r="K2161" s="1335" t="s">
        <v>475</v>
      </c>
      <c r="L2161" s="180">
        <v>0</v>
      </c>
      <c r="M2161" t="s">
        <v>7821</v>
      </c>
      <c r="N2161" t="str">
        <f t="shared" si="134"/>
        <v>Laker Village Bldg 600 (600)</v>
      </c>
      <c r="O2161" t="s">
        <v>36</v>
      </c>
      <c r="P2161" t="str">
        <f t="shared" si="135"/>
        <v>28000_600</v>
      </c>
      <c r="Q2161" s="180">
        <v>0</v>
      </c>
    </row>
    <row r="2162" spans="1:17">
      <c r="A2162" t="str">
        <f t="shared" si="132"/>
        <v>CLSU_700</v>
      </c>
      <c r="B2162" t="str">
        <f t="shared" si="133"/>
        <v>CLSU_Laker Village Bldg 700</v>
      </c>
      <c r="C2162" t="s">
        <v>445</v>
      </c>
      <c r="D2162" s="180" t="s">
        <v>19</v>
      </c>
      <c r="E2162" t="s">
        <v>4603</v>
      </c>
      <c r="F2162" t="s">
        <v>4604</v>
      </c>
      <c r="G2162" s="180">
        <v>20884</v>
      </c>
      <c r="H2162">
        <v>1999</v>
      </c>
      <c r="I2162">
        <v>2015</v>
      </c>
      <c r="J2162" s="1334" t="s">
        <v>486</v>
      </c>
      <c r="K2162" s="1335" t="s">
        <v>475</v>
      </c>
      <c r="L2162" s="180">
        <v>0</v>
      </c>
      <c r="M2162" t="s">
        <v>7821</v>
      </c>
      <c r="N2162" t="str">
        <f t="shared" si="134"/>
        <v>Laker Village Bldg 700 (700)</v>
      </c>
      <c r="O2162" t="s">
        <v>36</v>
      </c>
      <c r="P2162" t="str">
        <f t="shared" si="135"/>
        <v>28000_700</v>
      </c>
      <c r="Q2162" s="180">
        <v>0</v>
      </c>
    </row>
    <row r="2163" spans="1:17">
      <c r="A2163" t="str">
        <f t="shared" si="132"/>
        <v>CLSU_800</v>
      </c>
      <c r="B2163" t="str">
        <f t="shared" si="133"/>
        <v>CLSU_Laker Village Bldg 800</v>
      </c>
      <c r="C2163" t="s">
        <v>445</v>
      </c>
      <c r="D2163" s="180" t="s">
        <v>19</v>
      </c>
      <c r="E2163" t="s">
        <v>4608</v>
      </c>
      <c r="F2163" t="s">
        <v>4609</v>
      </c>
      <c r="G2163" s="180">
        <v>20884</v>
      </c>
      <c r="H2163">
        <v>1999</v>
      </c>
      <c r="I2163">
        <v>2015</v>
      </c>
      <c r="J2163" s="1334" t="s">
        <v>486</v>
      </c>
      <c r="K2163" s="1335" t="s">
        <v>475</v>
      </c>
      <c r="L2163" s="180">
        <v>0</v>
      </c>
      <c r="M2163" t="s">
        <v>7821</v>
      </c>
      <c r="N2163" t="str">
        <f t="shared" si="134"/>
        <v>Laker Village Bldg 800 (800)</v>
      </c>
      <c r="O2163" t="s">
        <v>36</v>
      </c>
      <c r="P2163" t="str">
        <f t="shared" si="135"/>
        <v>28000_800</v>
      </c>
      <c r="Q2163" s="180">
        <v>0</v>
      </c>
    </row>
    <row r="2164" spans="1:17">
      <c r="A2164" t="str">
        <f t="shared" si="132"/>
        <v>CLSU_900</v>
      </c>
      <c r="B2164" t="str">
        <f t="shared" si="133"/>
        <v>CLSU_Laker Village Bldg 900</v>
      </c>
      <c r="C2164" t="s">
        <v>445</v>
      </c>
      <c r="D2164" s="180" t="s">
        <v>19</v>
      </c>
      <c r="E2164" t="s">
        <v>4610</v>
      </c>
      <c r="F2164" t="s">
        <v>4611</v>
      </c>
      <c r="G2164" s="180">
        <v>20884</v>
      </c>
      <c r="H2164">
        <v>1999</v>
      </c>
      <c r="I2164">
        <v>2015</v>
      </c>
      <c r="J2164" s="1334" t="s">
        <v>486</v>
      </c>
      <c r="K2164" s="1335" t="s">
        <v>486</v>
      </c>
      <c r="L2164" s="180">
        <v>0</v>
      </c>
      <c r="M2164" t="s">
        <v>7821</v>
      </c>
      <c r="N2164" t="str">
        <f t="shared" si="134"/>
        <v>Laker Village Bldg 900 (900)</v>
      </c>
      <c r="O2164" t="s">
        <v>36</v>
      </c>
      <c r="P2164" t="str">
        <f t="shared" si="135"/>
        <v>28000_900</v>
      </c>
      <c r="Q2164" s="180">
        <v>0</v>
      </c>
    </row>
    <row r="2165" spans="1:17">
      <c r="A2165" t="str">
        <f t="shared" si="132"/>
        <v>CLSU_HOUS</v>
      </c>
      <c r="B2165" t="str">
        <f t="shared" si="133"/>
        <v>CLSU_Laker Hall</v>
      </c>
      <c r="C2165" t="s">
        <v>445</v>
      </c>
      <c r="D2165" s="180" t="s">
        <v>19</v>
      </c>
      <c r="E2165" t="s">
        <v>4573</v>
      </c>
      <c r="F2165" t="s">
        <v>4574</v>
      </c>
      <c r="G2165" s="180">
        <v>178000</v>
      </c>
      <c r="H2165">
        <v>2007</v>
      </c>
      <c r="J2165" s="1334" t="s">
        <v>486</v>
      </c>
      <c r="K2165" s="1335" t="s">
        <v>486</v>
      </c>
      <c r="L2165" s="180">
        <v>0</v>
      </c>
      <c r="M2165" t="s">
        <v>7821</v>
      </c>
      <c r="N2165" t="str">
        <f t="shared" si="134"/>
        <v>Laker Hall (HOUS)</v>
      </c>
      <c r="O2165" t="s">
        <v>36</v>
      </c>
      <c r="P2165" t="str">
        <f t="shared" si="135"/>
        <v>28000_HOUS</v>
      </c>
      <c r="Q2165" s="180">
        <v>0</v>
      </c>
    </row>
    <row r="2166" spans="1:17">
      <c r="A2166" t="str">
        <f t="shared" si="132"/>
        <v>CSU_000E</v>
      </c>
      <c r="B2166" t="str">
        <f t="shared" si="133"/>
        <v>CSU_Maryland Circle 3629</v>
      </c>
      <c r="C2166" t="s">
        <v>446</v>
      </c>
      <c r="D2166" s="180" t="s">
        <v>20</v>
      </c>
      <c r="E2166" t="s">
        <v>4756</v>
      </c>
      <c r="F2166" t="s">
        <v>4757</v>
      </c>
      <c r="G2166" s="180">
        <v>1307</v>
      </c>
      <c r="H2166">
        <v>1948</v>
      </c>
      <c r="I2166">
        <v>2002</v>
      </c>
      <c r="J2166" s="1334" t="s">
        <v>486</v>
      </c>
      <c r="K2166" s="1335" t="s">
        <v>475</v>
      </c>
      <c r="L2166" s="180">
        <v>0</v>
      </c>
      <c r="M2166" t="s">
        <v>4</v>
      </c>
      <c r="N2166" t="str">
        <f t="shared" si="134"/>
        <v>Maryland Circle 3629 (000E)</v>
      </c>
      <c r="O2166" t="s">
        <v>37</v>
      </c>
      <c r="P2166" t="str">
        <f t="shared" si="135"/>
        <v>30000_000E</v>
      </c>
      <c r="Q2166" s="180">
        <v>0</v>
      </c>
    </row>
    <row r="2167" spans="1:17">
      <c r="A2167" t="str">
        <f t="shared" si="132"/>
        <v>CSU_0010</v>
      </c>
      <c r="B2167" t="str">
        <f t="shared" si="133"/>
        <v>CSU_RICHARDS HALL</v>
      </c>
      <c r="C2167" t="s">
        <v>446</v>
      </c>
      <c r="D2167" s="180" t="s">
        <v>20</v>
      </c>
      <c r="E2167" t="s">
        <v>815</v>
      </c>
      <c r="F2167" t="s">
        <v>4617</v>
      </c>
      <c r="G2167" s="180">
        <v>14160</v>
      </c>
      <c r="H2167">
        <v>1966</v>
      </c>
      <c r="I2167">
        <v>1983</v>
      </c>
      <c r="J2167" s="1334" t="s">
        <v>475</v>
      </c>
      <c r="K2167" s="1335" t="s">
        <v>475</v>
      </c>
      <c r="L2167" s="180">
        <v>100</v>
      </c>
      <c r="M2167" t="s">
        <v>68</v>
      </c>
      <c r="N2167" t="str">
        <f t="shared" si="134"/>
        <v>RICHARDS HALL (0010)</v>
      </c>
      <c r="O2167" t="s">
        <v>37</v>
      </c>
      <c r="P2167" t="str">
        <f t="shared" si="135"/>
        <v>30000_0010</v>
      </c>
      <c r="Q2167" s="180">
        <v>0</v>
      </c>
    </row>
    <row r="2168" spans="1:17">
      <c r="A2168" t="str">
        <f t="shared" si="132"/>
        <v>CSU_001A</v>
      </c>
      <c r="B2168" t="str">
        <f t="shared" si="133"/>
        <v>CSU_RICHARDS HALL ADDITION</v>
      </c>
      <c r="C2168" t="s">
        <v>446</v>
      </c>
      <c r="D2168" s="180" t="s">
        <v>20</v>
      </c>
      <c r="E2168" t="s">
        <v>4627</v>
      </c>
      <c r="F2168" t="s">
        <v>4628</v>
      </c>
      <c r="G2168" s="180">
        <v>22401</v>
      </c>
      <c r="H2168">
        <v>1975</v>
      </c>
      <c r="I2168">
        <v>1994</v>
      </c>
      <c r="J2168" s="1334" t="s">
        <v>475</v>
      </c>
      <c r="K2168" s="1335" t="s">
        <v>475</v>
      </c>
      <c r="L2168" s="180">
        <v>100</v>
      </c>
      <c r="M2168" t="s">
        <v>68</v>
      </c>
      <c r="N2168" t="str">
        <f t="shared" si="134"/>
        <v>RICHARDS HALL ADDITION (001A)</v>
      </c>
      <c r="O2168" t="s">
        <v>37</v>
      </c>
      <c r="P2168" t="str">
        <f t="shared" si="135"/>
        <v>30000_001A</v>
      </c>
      <c r="Q2168" s="180">
        <v>0</v>
      </c>
    </row>
    <row r="2169" spans="1:17">
      <c r="A2169" t="str">
        <f t="shared" si="132"/>
        <v>CSU_0020</v>
      </c>
      <c r="B2169" t="str">
        <f t="shared" si="133"/>
        <v>CSU_PRO SHOP</v>
      </c>
      <c r="C2169" t="s">
        <v>446</v>
      </c>
      <c r="D2169" s="180" t="s">
        <v>20</v>
      </c>
      <c r="E2169" t="s">
        <v>529</v>
      </c>
      <c r="F2169" t="s">
        <v>4662</v>
      </c>
      <c r="G2169" s="180">
        <v>774</v>
      </c>
      <c r="H2169">
        <v>1976</v>
      </c>
      <c r="J2169" s="1334" t="s">
        <v>475</v>
      </c>
      <c r="K2169" s="1335" t="s">
        <v>475</v>
      </c>
      <c r="L2169" s="180">
        <v>80</v>
      </c>
      <c r="M2169" t="s">
        <v>68</v>
      </c>
      <c r="N2169" t="str">
        <f t="shared" si="134"/>
        <v>PRO SHOP (0020)</v>
      </c>
      <c r="O2169" t="s">
        <v>37</v>
      </c>
      <c r="P2169" t="str">
        <f t="shared" si="135"/>
        <v>30000_0020</v>
      </c>
      <c r="Q2169" s="180">
        <v>0</v>
      </c>
    </row>
    <row r="2170" spans="1:17">
      <c r="A2170" t="str">
        <f t="shared" si="132"/>
        <v>CSU_0030</v>
      </c>
      <c r="B2170" t="str">
        <f t="shared" si="133"/>
        <v>CSU_P. E. STORAGE</v>
      </c>
      <c r="C2170" t="s">
        <v>446</v>
      </c>
      <c r="D2170" s="180" t="s">
        <v>20</v>
      </c>
      <c r="E2170" t="s">
        <v>561</v>
      </c>
      <c r="F2170" t="s">
        <v>4731</v>
      </c>
      <c r="G2170" s="180">
        <v>406</v>
      </c>
      <c r="H2170">
        <v>1964</v>
      </c>
      <c r="J2170" s="1334" t="s">
        <v>475</v>
      </c>
      <c r="K2170" s="1335" t="s">
        <v>475</v>
      </c>
      <c r="L2170" s="180">
        <v>100</v>
      </c>
      <c r="M2170" t="s">
        <v>68</v>
      </c>
      <c r="N2170" t="str">
        <f t="shared" si="134"/>
        <v>P. E. STORAGE (0030)</v>
      </c>
      <c r="O2170" t="s">
        <v>37</v>
      </c>
      <c r="P2170" t="str">
        <f t="shared" si="135"/>
        <v>30000_0030</v>
      </c>
      <c r="Q2170" s="180">
        <v>0</v>
      </c>
    </row>
    <row r="2171" spans="1:17">
      <c r="A2171" t="str">
        <f t="shared" si="132"/>
        <v>CSU_0040</v>
      </c>
      <c r="B2171" t="str">
        <f t="shared" si="133"/>
        <v>CSU_WOODRUFF GYMNASIUM</v>
      </c>
      <c r="C2171" t="s">
        <v>446</v>
      </c>
      <c r="D2171" s="180" t="s">
        <v>20</v>
      </c>
      <c r="E2171" t="s">
        <v>724</v>
      </c>
      <c r="F2171" t="s">
        <v>4632</v>
      </c>
      <c r="G2171" s="180">
        <v>26545</v>
      </c>
      <c r="H2171">
        <v>1963</v>
      </c>
      <c r="I2171">
        <v>2007</v>
      </c>
      <c r="J2171" s="1334" t="s">
        <v>475</v>
      </c>
      <c r="K2171" s="1335" t="s">
        <v>475</v>
      </c>
      <c r="L2171" s="180">
        <v>100</v>
      </c>
      <c r="M2171" t="s">
        <v>68</v>
      </c>
      <c r="N2171" t="str">
        <f t="shared" si="134"/>
        <v>WOODRUFF GYMNASIUM (0040)</v>
      </c>
      <c r="O2171" t="s">
        <v>37</v>
      </c>
      <c r="P2171" t="str">
        <f t="shared" si="135"/>
        <v>30000_0040</v>
      </c>
      <c r="Q2171" s="180">
        <v>0</v>
      </c>
    </row>
    <row r="2172" spans="1:17">
      <c r="A2172" t="str">
        <f t="shared" si="132"/>
        <v>CSU_0050</v>
      </c>
      <c r="B2172" t="str">
        <f t="shared" si="133"/>
        <v>CSU_Health and Wellness Center</v>
      </c>
      <c r="C2172" t="s">
        <v>446</v>
      </c>
      <c r="D2172" s="180" t="s">
        <v>20</v>
      </c>
      <c r="E2172" t="s">
        <v>906</v>
      </c>
      <c r="F2172" t="s">
        <v>4732</v>
      </c>
      <c r="G2172" s="180">
        <v>23668</v>
      </c>
      <c r="H2172">
        <v>1968</v>
      </c>
      <c r="I2172">
        <v>1999</v>
      </c>
      <c r="J2172" s="1334" t="s">
        <v>475</v>
      </c>
      <c r="K2172" s="1335" t="s">
        <v>475</v>
      </c>
      <c r="L2172" s="180">
        <v>100</v>
      </c>
      <c r="M2172" t="s">
        <v>68</v>
      </c>
      <c r="N2172" t="str">
        <f t="shared" si="134"/>
        <v>Health and Wellness Center (0050)</v>
      </c>
      <c r="O2172" t="s">
        <v>37</v>
      </c>
      <c r="P2172" t="str">
        <f t="shared" si="135"/>
        <v>30000_0050</v>
      </c>
      <c r="Q2172" s="180">
        <v>0</v>
      </c>
    </row>
    <row r="2173" spans="1:17">
      <c r="A2173" t="str">
        <f t="shared" si="132"/>
        <v>CSU_005A</v>
      </c>
      <c r="B2173" t="str">
        <f t="shared" si="133"/>
        <v>CSU_BASEBALL CONCESSION</v>
      </c>
      <c r="C2173" t="s">
        <v>446</v>
      </c>
      <c r="D2173" s="180" t="s">
        <v>20</v>
      </c>
      <c r="E2173" t="s">
        <v>4678</v>
      </c>
      <c r="F2173" t="s">
        <v>4679</v>
      </c>
      <c r="G2173" s="180">
        <v>1500</v>
      </c>
      <c r="H2173">
        <v>1996</v>
      </c>
      <c r="J2173" s="1334" t="s">
        <v>475</v>
      </c>
      <c r="K2173" s="1335" t="s">
        <v>475</v>
      </c>
      <c r="L2173" s="180">
        <v>0</v>
      </c>
      <c r="M2173" t="s">
        <v>68</v>
      </c>
      <c r="N2173" t="str">
        <f t="shared" si="134"/>
        <v>BASEBALL CONCESSION (005A)</v>
      </c>
      <c r="O2173" t="s">
        <v>37</v>
      </c>
      <c r="P2173" t="str">
        <f t="shared" si="135"/>
        <v>30000_005A</v>
      </c>
      <c r="Q2173" s="180">
        <v>0</v>
      </c>
    </row>
    <row r="2174" spans="1:17">
      <c r="A2174" t="str">
        <f t="shared" si="132"/>
        <v>CSU_005B</v>
      </c>
      <c r="B2174" t="str">
        <f t="shared" si="133"/>
        <v>CSU_CHARLIE MORROW FIELD HOUSE</v>
      </c>
      <c r="C2174" t="s">
        <v>446</v>
      </c>
      <c r="D2174" s="180" t="s">
        <v>20</v>
      </c>
      <c r="E2174" t="s">
        <v>4690</v>
      </c>
      <c r="F2174" t="s">
        <v>4691</v>
      </c>
      <c r="G2174" s="180">
        <v>4100</v>
      </c>
      <c r="H2174">
        <v>1996</v>
      </c>
      <c r="J2174" s="1334" t="s">
        <v>475</v>
      </c>
      <c r="K2174" s="1335" t="s">
        <v>475</v>
      </c>
      <c r="L2174" s="180">
        <v>50</v>
      </c>
      <c r="M2174" t="s">
        <v>68</v>
      </c>
      <c r="N2174" t="str">
        <f t="shared" si="134"/>
        <v>CHARLIE MORROW FIELD HOUSE (005B)</v>
      </c>
      <c r="O2174" t="s">
        <v>37</v>
      </c>
      <c r="P2174" t="str">
        <f t="shared" si="135"/>
        <v>30000_005B</v>
      </c>
      <c r="Q2174" s="180">
        <v>0</v>
      </c>
    </row>
    <row r="2175" spans="1:17">
      <c r="A2175" t="str">
        <f t="shared" si="132"/>
        <v>CSU_005C</v>
      </c>
      <c r="B2175" t="str">
        <f t="shared" si="133"/>
        <v>CSU_Base Ball Dougout Home</v>
      </c>
      <c r="C2175" t="s">
        <v>446</v>
      </c>
      <c r="D2175" s="180" t="s">
        <v>20</v>
      </c>
      <c r="E2175" t="s">
        <v>4629</v>
      </c>
      <c r="F2175" t="s">
        <v>4630</v>
      </c>
      <c r="G2175" s="180">
        <v>589</v>
      </c>
      <c r="H2175">
        <v>1995</v>
      </c>
      <c r="J2175" s="1334" t="s">
        <v>475</v>
      </c>
      <c r="K2175" s="1335" t="s">
        <v>475</v>
      </c>
      <c r="L2175" s="180">
        <v>0</v>
      </c>
      <c r="M2175" t="s">
        <v>68</v>
      </c>
      <c r="N2175" t="str">
        <f t="shared" si="134"/>
        <v>Base Ball Dougout Home (005C)</v>
      </c>
      <c r="O2175" t="s">
        <v>37</v>
      </c>
      <c r="P2175" t="str">
        <f t="shared" si="135"/>
        <v>30000_005C</v>
      </c>
      <c r="Q2175" s="180">
        <v>0</v>
      </c>
    </row>
    <row r="2176" spans="1:17">
      <c r="A2176" t="str">
        <f t="shared" si="132"/>
        <v>CSU_005D</v>
      </c>
      <c r="B2176" t="str">
        <f t="shared" si="133"/>
        <v>CSU_Base Ball Dougout Visitors</v>
      </c>
      <c r="C2176" t="s">
        <v>446</v>
      </c>
      <c r="D2176" s="180" t="s">
        <v>20</v>
      </c>
      <c r="E2176" t="s">
        <v>4652</v>
      </c>
      <c r="F2176" t="s">
        <v>4653</v>
      </c>
      <c r="G2176" s="180">
        <v>589</v>
      </c>
      <c r="H2176">
        <v>1995</v>
      </c>
      <c r="J2176" s="1334" t="s">
        <v>475</v>
      </c>
      <c r="K2176" s="1335" t="s">
        <v>475</v>
      </c>
      <c r="L2176" s="180">
        <v>0</v>
      </c>
      <c r="M2176" t="s">
        <v>68</v>
      </c>
      <c r="N2176" t="str">
        <f t="shared" si="134"/>
        <v>Base Ball Dougout Visitors (005D)</v>
      </c>
      <c r="O2176" t="s">
        <v>37</v>
      </c>
      <c r="P2176" t="str">
        <f t="shared" si="135"/>
        <v>30000_005D</v>
      </c>
      <c r="Q2176" s="180">
        <v>0</v>
      </c>
    </row>
    <row r="2177" spans="1:17">
      <c r="A2177" t="str">
        <f t="shared" si="132"/>
        <v>CSU_005E</v>
      </c>
      <c r="B2177" t="str">
        <f t="shared" si="133"/>
        <v>CSU_Base Ball Batting Cage</v>
      </c>
      <c r="C2177" t="s">
        <v>446</v>
      </c>
      <c r="D2177" s="180" t="s">
        <v>20</v>
      </c>
      <c r="E2177" t="s">
        <v>4715</v>
      </c>
      <c r="F2177" t="s">
        <v>4716</v>
      </c>
      <c r="G2177" s="180">
        <v>2604</v>
      </c>
      <c r="H2177">
        <v>2003</v>
      </c>
      <c r="J2177" s="1334" t="s">
        <v>475</v>
      </c>
      <c r="K2177" s="1335" t="s">
        <v>475</v>
      </c>
      <c r="L2177" s="180">
        <v>0</v>
      </c>
      <c r="M2177" t="s">
        <v>68</v>
      </c>
      <c r="N2177" t="str">
        <f t="shared" si="134"/>
        <v>Base Ball Batting Cage (005E)</v>
      </c>
      <c r="O2177" t="s">
        <v>37</v>
      </c>
      <c r="P2177" t="str">
        <f t="shared" si="135"/>
        <v>30000_005E</v>
      </c>
      <c r="Q2177" s="180">
        <v>0</v>
      </c>
    </row>
    <row r="2178" spans="1:17">
      <c r="A2178" t="str">
        <f t="shared" si="132"/>
        <v>CSU_005F</v>
      </c>
      <c r="B2178" t="str">
        <f t="shared" si="133"/>
        <v>CSU_Press Box Base Ball Field</v>
      </c>
      <c r="C2178" t="s">
        <v>446</v>
      </c>
      <c r="D2178" s="180" t="s">
        <v>20</v>
      </c>
      <c r="E2178" t="s">
        <v>4669</v>
      </c>
      <c r="F2178" t="s">
        <v>4670</v>
      </c>
      <c r="G2178" s="180">
        <v>380</v>
      </c>
      <c r="H2178">
        <v>1989</v>
      </c>
      <c r="J2178" s="1334" t="s">
        <v>475</v>
      </c>
      <c r="K2178" s="1335" t="s">
        <v>475</v>
      </c>
      <c r="L2178" s="180">
        <v>0</v>
      </c>
      <c r="M2178" t="s">
        <v>68</v>
      </c>
      <c r="N2178" t="str">
        <f t="shared" si="134"/>
        <v>Press Box Base Ball Field (005F)</v>
      </c>
      <c r="O2178" t="s">
        <v>37</v>
      </c>
      <c r="P2178" t="str">
        <f t="shared" si="135"/>
        <v>30000_005F</v>
      </c>
      <c r="Q2178" s="180">
        <v>0</v>
      </c>
    </row>
    <row r="2179" spans="1:17">
      <c r="A2179" t="str">
        <f t="shared" ref="A2179:A2242" si="136">_xlfn.CONCAT(D2179,"_",E2179)</f>
        <v>CSU_005G</v>
      </c>
      <c r="B2179" t="str">
        <f t="shared" ref="B2179:B2242" si="137">_xlfn.CONCAT(D2179,"_",F2179)</f>
        <v>CSU_Softball Dougout Home</v>
      </c>
      <c r="C2179" t="s">
        <v>446</v>
      </c>
      <c r="D2179" s="180" t="s">
        <v>20</v>
      </c>
      <c r="E2179" t="s">
        <v>4615</v>
      </c>
      <c r="F2179" t="s">
        <v>4616</v>
      </c>
      <c r="G2179" s="180">
        <v>1282</v>
      </c>
      <c r="H2179">
        <v>1995</v>
      </c>
      <c r="J2179" s="1334" t="s">
        <v>475</v>
      </c>
      <c r="K2179" s="1335" t="s">
        <v>475</v>
      </c>
      <c r="L2179" s="180">
        <v>0</v>
      </c>
      <c r="M2179" t="s">
        <v>68</v>
      </c>
      <c r="N2179" t="str">
        <f t="shared" ref="N2179:N2242" si="138">_xlfn.CONCAT(F2179," (",E2179,")")</f>
        <v>Softball Dougout Home (005G)</v>
      </c>
      <c r="O2179" t="s">
        <v>37</v>
      </c>
      <c r="P2179" t="str">
        <f t="shared" ref="P2179:P2242" si="139">_xlfn.CONCAT(C2179,"_",E2179)</f>
        <v>30000_005G</v>
      </c>
      <c r="Q2179" s="180">
        <v>0</v>
      </c>
    </row>
    <row r="2180" spans="1:17">
      <c r="A2180" t="str">
        <f t="shared" si="136"/>
        <v>CSU_005H</v>
      </c>
      <c r="B2180" t="str">
        <f t="shared" si="137"/>
        <v>CSU_Softball Dougout Visitors</v>
      </c>
      <c r="C2180" t="s">
        <v>446</v>
      </c>
      <c r="D2180" s="180" t="s">
        <v>20</v>
      </c>
      <c r="E2180" t="s">
        <v>4717</v>
      </c>
      <c r="F2180" t="s">
        <v>4718</v>
      </c>
      <c r="G2180" s="180">
        <v>830</v>
      </c>
      <c r="H2180">
        <v>1995</v>
      </c>
      <c r="J2180" s="1334" t="s">
        <v>475</v>
      </c>
      <c r="K2180" s="1335" t="s">
        <v>475</v>
      </c>
      <c r="L2180" s="180">
        <v>0</v>
      </c>
      <c r="M2180" t="s">
        <v>68</v>
      </c>
      <c r="N2180" t="str">
        <f t="shared" si="138"/>
        <v>Softball Dougout Visitors (005H)</v>
      </c>
      <c r="O2180" t="s">
        <v>37</v>
      </c>
      <c r="P2180" t="str">
        <f t="shared" si="139"/>
        <v>30000_005H</v>
      </c>
      <c r="Q2180" s="180">
        <v>0</v>
      </c>
    </row>
    <row r="2181" spans="1:17">
      <c r="A2181" t="str">
        <f t="shared" si="136"/>
        <v>CSU_005I</v>
      </c>
      <c r="B2181" t="str">
        <f t="shared" si="137"/>
        <v>CSU_Softball Press Box</v>
      </c>
      <c r="C2181" t="s">
        <v>446</v>
      </c>
      <c r="D2181" s="180" t="s">
        <v>20</v>
      </c>
      <c r="E2181" t="s">
        <v>4760</v>
      </c>
      <c r="F2181" t="s">
        <v>4761</v>
      </c>
      <c r="G2181" s="180">
        <v>648</v>
      </c>
      <c r="H2181">
        <v>2010</v>
      </c>
      <c r="J2181" s="1334" t="s">
        <v>475</v>
      </c>
      <c r="K2181" s="1335" t="s">
        <v>475</v>
      </c>
      <c r="L2181" s="180">
        <v>0</v>
      </c>
      <c r="M2181" t="s">
        <v>68</v>
      </c>
      <c r="N2181" t="str">
        <f t="shared" si="138"/>
        <v>Softball Press Box (005I)</v>
      </c>
      <c r="O2181" t="s">
        <v>37</v>
      </c>
      <c r="P2181" t="str">
        <f t="shared" si="139"/>
        <v>30000_005I</v>
      </c>
      <c r="Q2181" s="180">
        <v>0</v>
      </c>
    </row>
    <row r="2182" spans="1:17">
      <c r="A2182" t="str">
        <f t="shared" si="136"/>
        <v>CSU_005J</v>
      </c>
      <c r="B2182" t="str">
        <f t="shared" si="137"/>
        <v>CSU_Softball Batting Cage</v>
      </c>
      <c r="C2182" t="s">
        <v>446</v>
      </c>
      <c r="D2182" s="180" t="s">
        <v>20</v>
      </c>
      <c r="E2182" t="s">
        <v>4711</v>
      </c>
      <c r="F2182" t="s">
        <v>4712</v>
      </c>
      <c r="G2182" s="180">
        <v>6000</v>
      </c>
      <c r="H2182">
        <v>2017</v>
      </c>
      <c r="J2182" s="1334" t="s">
        <v>475</v>
      </c>
      <c r="K2182" s="1335" t="s">
        <v>475</v>
      </c>
      <c r="L2182" s="180">
        <v>0</v>
      </c>
      <c r="M2182" t="s">
        <v>68</v>
      </c>
      <c r="N2182" t="str">
        <f t="shared" si="138"/>
        <v>Softball Batting Cage (005J)</v>
      </c>
      <c r="O2182" t="s">
        <v>37</v>
      </c>
      <c r="P2182" t="str">
        <f t="shared" si="139"/>
        <v>30000_005J</v>
      </c>
      <c r="Q2182" s="180">
        <v>0</v>
      </c>
    </row>
    <row r="2183" spans="1:17">
      <c r="A2183" t="str">
        <f t="shared" si="136"/>
        <v>CSU_0060</v>
      </c>
      <c r="B2183" t="str">
        <f t="shared" si="137"/>
        <v>CSU_DAVIDSON STUDENT CENTER</v>
      </c>
      <c r="C2183" t="s">
        <v>446</v>
      </c>
      <c r="D2183" s="180" t="s">
        <v>20</v>
      </c>
      <c r="E2183" t="s">
        <v>1113</v>
      </c>
      <c r="F2183" t="s">
        <v>4727</v>
      </c>
      <c r="G2183" s="180">
        <v>39884</v>
      </c>
      <c r="H2183">
        <v>1968</v>
      </c>
      <c r="I2183">
        <v>2001</v>
      </c>
      <c r="J2183" s="1334" t="s">
        <v>475</v>
      </c>
      <c r="K2183" s="1335" t="s">
        <v>475</v>
      </c>
      <c r="L2183" s="180">
        <v>60</v>
      </c>
      <c r="M2183" t="s">
        <v>68</v>
      </c>
      <c r="N2183" t="str">
        <f t="shared" si="138"/>
        <v>DAVIDSON STUDENT CENTER (0060)</v>
      </c>
      <c r="O2183" t="s">
        <v>37</v>
      </c>
      <c r="P2183" t="str">
        <f t="shared" si="139"/>
        <v>30000_0060</v>
      </c>
      <c r="Q2183" s="180">
        <v>0</v>
      </c>
    </row>
    <row r="2184" spans="1:17">
      <c r="A2184" t="str">
        <f t="shared" si="136"/>
        <v>CSU_006A</v>
      </c>
      <c r="B2184" t="str">
        <f t="shared" si="137"/>
        <v>CSU_DAVIDSON STUDENT CTR. ADDITION</v>
      </c>
      <c r="C2184" t="s">
        <v>446</v>
      </c>
      <c r="D2184" s="180" t="s">
        <v>20</v>
      </c>
      <c r="E2184" t="s">
        <v>4738</v>
      </c>
      <c r="F2184" t="s">
        <v>4739</v>
      </c>
      <c r="G2184" s="180">
        <v>32661</v>
      </c>
      <c r="H2184">
        <v>1978</v>
      </c>
      <c r="J2184" s="1334" t="s">
        <v>475</v>
      </c>
      <c r="K2184" s="1335" t="s">
        <v>475</v>
      </c>
      <c r="L2184" s="180">
        <v>70</v>
      </c>
      <c r="M2184" t="s">
        <v>68</v>
      </c>
      <c r="N2184" t="str">
        <f t="shared" si="138"/>
        <v>DAVIDSON STUDENT CTR. ADDITION (006A)</v>
      </c>
      <c r="O2184" t="s">
        <v>37</v>
      </c>
      <c r="P2184" t="str">
        <f t="shared" si="139"/>
        <v>30000_006A</v>
      </c>
      <c r="Q2184" s="180">
        <v>0</v>
      </c>
    </row>
    <row r="2185" spans="1:17">
      <c r="A2185" t="str">
        <f t="shared" si="136"/>
        <v>CSU_0070</v>
      </c>
      <c r="B2185" t="str">
        <f t="shared" si="137"/>
        <v>CSU_University Hall</v>
      </c>
      <c r="C2185" t="s">
        <v>446</v>
      </c>
      <c r="D2185" s="180" t="s">
        <v>20</v>
      </c>
      <c r="E2185" t="s">
        <v>4621</v>
      </c>
      <c r="F2185" t="s">
        <v>1253</v>
      </c>
      <c r="G2185" s="180">
        <v>72822</v>
      </c>
      <c r="H2185">
        <v>1969</v>
      </c>
      <c r="I2185">
        <v>2001</v>
      </c>
      <c r="J2185" s="1334" t="s">
        <v>475</v>
      </c>
      <c r="K2185" s="1335" t="s">
        <v>475</v>
      </c>
      <c r="L2185" s="180">
        <v>100</v>
      </c>
      <c r="M2185" t="s">
        <v>68</v>
      </c>
      <c r="N2185" t="str">
        <f t="shared" si="138"/>
        <v>University Hall (0070)</v>
      </c>
      <c r="O2185" t="s">
        <v>37</v>
      </c>
      <c r="P2185" t="str">
        <f t="shared" si="139"/>
        <v>30000_0070</v>
      </c>
      <c r="Q2185" s="180">
        <v>0</v>
      </c>
    </row>
    <row r="2186" spans="1:17">
      <c r="A2186" t="str">
        <f t="shared" si="136"/>
        <v>CSU_0080</v>
      </c>
      <c r="B2186" t="str">
        <f t="shared" si="137"/>
        <v>CSU_Woodall Hall</v>
      </c>
      <c r="C2186" t="s">
        <v>446</v>
      </c>
      <c r="D2186" s="180" t="s">
        <v>20</v>
      </c>
      <c r="E2186" t="s">
        <v>1050</v>
      </c>
      <c r="F2186" t="s">
        <v>4656</v>
      </c>
      <c r="G2186" s="180">
        <v>19709</v>
      </c>
      <c r="H2186">
        <v>1963</v>
      </c>
      <c r="I2186">
        <v>1999</v>
      </c>
      <c r="J2186" s="1334" t="s">
        <v>475</v>
      </c>
      <c r="K2186" s="1335" t="s">
        <v>475</v>
      </c>
      <c r="L2186" s="180">
        <v>100</v>
      </c>
      <c r="M2186" t="s">
        <v>68</v>
      </c>
      <c r="N2186" t="str">
        <f t="shared" si="138"/>
        <v>Woodall Hall (0080)</v>
      </c>
      <c r="O2186" t="s">
        <v>37</v>
      </c>
      <c r="P2186" t="str">
        <f t="shared" si="139"/>
        <v>30000_0080</v>
      </c>
      <c r="Q2186" s="180">
        <v>0</v>
      </c>
    </row>
    <row r="2187" spans="1:17">
      <c r="A2187" t="str">
        <f t="shared" si="136"/>
        <v>CSU_0090</v>
      </c>
      <c r="B2187" t="str">
        <f t="shared" si="137"/>
        <v>CSU_Simon Schwob Memorial Library</v>
      </c>
      <c r="C2187" t="s">
        <v>446</v>
      </c>
      <c r="D2187" s="180" t="s">
        <v>20</v>
      </c>
      <c r="E2187" t="s">
        <v>656</v>
      </c>
      <c r="F2187" t="s">
        <v>4694</v>
      </c>
      <c r="G2187" s="180">
        <v>98652</v>
      </c>
      <c r="H2187">
        <v>1975</v>
      </c>
      <c r="I2187">
        <v>2020</v>
      </c>
      <c r="J2187" s="1334" t="s">
        <v>475</v>
      </c>
      <c r="K2187" s="1335" t="s">
        <v>475</v>
      </c>
      <c r="L2187" s="180">
        <v>100</v>
      </c>
      <c r="M2187" t="s">
        <v>68</v>
      </c>
      <c r="N2187" t="str">
        <f t="shared" si="138"/>
        <v>Simon Schwob Memorial Library (0090)</v>
      </c>
      <c r="O2187" t="s">
        <v>37</v>
      </c>
      <c r="P2187" t="str">
        <f t="shared" si="139"/>
        <v>30000_0090</v>
      </c>
      <c r="Q2187" s="180">
        <v>0</v>
      </c>
    </row>
    <row r="2188" spans="1:17">
      <c r="A2188" t="str">
        <f t="shared" si="136"/>
        <v>CSU_0100</v>
      </c>
      <c r="B2188" t="str">
        <f t="shared" si="137"/>
        <v>CSU_Howard Hall</v>
      </c>
      <c r="C2188" t="s">
        <v>446</v>
      </c>
      <c r="D2188" s="180" t="s">
        <v>20</v>
      </c>
      <c r="E2188" t="s">
        <v>684</v>
      </c>
      <c r="F2188" t="s">
        <v>4736</v>
      </c>
      <c r="G2188" s="180">
        <v>27561</v>
      </c>
      <c r="H2188">
        <v>1963</v>
      </c>
      <c r="I2188">
        <v>2015</v>
      </c>
      <c r="J2188" s="1334" t="s">
        <v>520</v>
      </c>
      <c r="K2188" s="1335" t="s">
        <v>475</v>
      </c>
      <c r="L2188" s="180">
        <v>100</v>
      </c>
      <c r="M2188" t="s">
        <v>68</v>
      </c>
      <c r="N2188" t="str">
        <f t="shared" si="138"/>
        <v>Howard Hall (0100)</v>
      </c>
      <c r="O2188" t="s">
        <v>37</v>
      </c>
      <c r="P2188" t="str">
        <f t="shared" si="139"/>
        <v>30000_0100</v>
      </c>
      <c r="Q2188" s="180">
        <v>0</v>
      </c>
    </row>
    <row r="2189" spans="1:17">
      <c r="A2189" t="str">
        <f t="shared" si="136"/>
        <v>CSU_0110</v>
      </c>
      <c r="B2189" t="str">
        <f t="shared" si="137"/>
        <v>CSU_Tucker Hall</v>
      </c>
      <c r="C2189" t="s">
        <v>446</v>
      </c>
      <c r="D2189" s="180" t="s">
        <v>20</v>
      </c>
      <c r="E2189" t="s">
        <v>666</v>
      </c>
      <c r="F2189" t="s">
        <v>4625</v>
      </c>
      <c r="G2189" s="180">
        <v>9492</v>
      </c>
      <c r="H2189">
        <v>1963</v>
      </c>
      <c r="I2189">
        <v>1998</v>
      </c>
      <c r="J2189" s="1334" t="s">
        <v>475</v>
      </c>
      <c r="K2189" s="1335" t="s">
        <v>475</v>
      </c>
      <c r="L2189" s="180">
        <v>100</v>
      </c>
      <c r="M2189" t="s">
        <v>68</v>
      </c>
      <c r="N2189" t="str">
        <f t="shared" si="138"/>
        <v>Tucker Hall (0110)</v>
      </c>
      <c r="O2189" t="s">
        <v>37</v>
      </c>
      <c r="P2189" t="str">
        <f t="shared" si="139"/>
        <v>30000_0110</v>
      </c>
      <c r="Q2189" s="180">
        <v>0</v>
      </c>
    </row>
    <row r="2190" spans="1:17">
      <c r="A2190" t="str">
        <f t="shared" si="136"/>
        <v>CSU_0119</v>
      </c>
      <c r="B2190" t="str">
        <f t="shared" si="137"/>
        <v>CSU_Lynn Haven, Harris County</v>
      </c>
      <c r="C2190" t="s">
        <v>446</v>
      </c>
      <c r="D2190" s="180" t="s">
        <v>20</v>
      </c>
      <c r="E2190" t="s">
        <v>771</v>
      </c>
      <c r="F2190" t="s">
        <v>4758</v>
      </c>
      <c r="G2190" s="180">
        <v>2250</v>
      </c>
      <c r="H2190">
        <v>2008</v>
      </c>
      <c r="J2190" s="1334" t="s">
        <v>475</v>
      </c>
      <c r="K2190" s="1335" t="s">
        <v>475</v>
      </c>
      <c r="L2190" s="180">
        <v>100</v>
      </c>
      <c r="M2190" t="s">
        <v>4</v>
      </c>
      <c r="N2190" t="str">
        <f t="shared" si="138"/>
        <v>Lynn Haven, Harris County (0119)</v>
      </c>
      <c r="O2190" t="s">
        <v>37</v>
      </c>
      <c r="P2190" t="str">
        <f t="shared" si="139"/>
        <v>30000_0119</v>
      </c>
      <c r="Q2190" s="180">
        <v>0</v>
      </c>
    </row>
    <row r="2191" spans="1:17">
      <c r="A2191" t="str">
        <f t="shared" si="136"/>
        <v>CSU_0120</v>
      </c>
      <c r="B2191" t="str">
        <f t="shared" si="137"/>
        <v>CSU_Illges Hall</v>
      </c>
      <c r="C2191" t="s">
        <v>446</v>
      </c>
      <c r="D2191" s="180" t="s">
        <v>20</v>
      </c>
      <c r="E2191" t="s">
        <v>1812</v>
      </c>
      <c r="F2191" t="s">
        <v>4626</v>
      </c>
      <c r="G2191" s="180">
        <v>25500</v>
      </c>
      <c r="H2191">
        <v>1971</v>
      </c>
      <c r="I2191">
        <v>1999</v>
      </c>
      <c r="J2191" s="1334" t="s">
        <v>475</v>
      </c>
      <c r="K2191" s="1335" t="s">
        <v>475</v>
      </c>
      <c r="L2191" s="180">
        <v>100</v>
      </c>
      <c r="M2191" t="s">
        <v>68</v>
      </c>
      <c r="N2191" t="str">
        <f t="shared" si="138"/>
        <v>Illges Hall (0120)</v>
      </c>
      <c r="O2191" t="s">
        <v>37</v>
      </c>
      <c r="P2191" t="str">
        <f t="shared" si="139"/>
        <v>30000_0120</v>
      </c>
      <c r="Q2191" s="180">
        <v>0</v>
      </c>
    </row>
    <row r="2192" spans="1:17">
      <c r="A2192" t="str">
        <f t="shared" si="136"/>
        <v>CSU_0130</v>
      </c>
      <c r="B2192" t="str">
        <f t="shared" si="137"/>
        <v>CSU_Arnold Hall</v>
      </c>
      <c r="C2192" t="s">
        <v>446</v>
      </c>
      <c r="D2192" s="180" t="s">
        <v>20</v>
      </c>
      <c r="E2192" t="s">
        <v>753</v>
      </c>
      <c r="F2192" t="s">
        <v>4720</v>
      </c>
      <c r="G2192" s="180">
        <v>28722</v>
      </c>
      <c r="H2192">
        <v>1966</v>
      </c>
      <c r="I2192">
        <v>2010</v>
      </c>
      <c r="J2192" s="1334" t="s">
        <v>520</v>
      </c>
      <c r="K2192" s="1335" t="s">
        <v>475</v>
      </c>
      <c r="L2192" s="180">
        <v>100</v>
      </c>
      <c r="M2192" t="s">
        <v>68</v>
      </c>
      <c r="N2192" t="str">
        <f t="shared" si="138"/>
        <v>Arnold Hall (0130)</v>
      </c>
      <c r="O2192" t="s">
        <v>37</v>
      </c>
      <c r="P2192" t="str">
        <f t="shared" si="139"/>
        <v>30000_0130</v>
      </c>
      <c r="Q2192" s="180">
        <v>0</v>
      </c>
    </row>
    <row r="2193" spans="1:17">
      <c r="A2193" t="str">
        <f t="shared" si="136"/>
        <v>CSU_0140</v>
      </c>
      <c r="B2193" t="str">
        <f t="shared" si="137"/>
        <v>CSU_Shannon Hall</v>
      </c>
      <c r="C2193" t="s">
        <v>446</v>
      </c>
      <c r="D2193" s="180" t="s">
        <v>20</v>
      </c>
      <c r="E2193" t="s">
        <v>700</v>
      </c>
      <c r="F2193" t="s">
        <v>4734</v>
      </c>
      <c r="G2193" s="180">
        <v>21737</v>
      </c>
      <c r="H2193">
        <v>1971</v>
      </c>
      <c r="J2193" s="1334" t="s">
        <v>475</v>
      </c>
      <c r="K2193" s="1335" t="s">
        <v>475</v>
      </c>
      <c r="L2193" s="180">
        <v>100</v>
      </c>
      <c r="M2193" t="s">
        <v>68</v>
      </c>
      <c r="N2193" t="str">
        <f t="shared" si="138"/>
        <v>Shannon Hall (0140)</v>
      </c>
      <c r="O2193" t="s">
        <v>37</v>
      </c>
      <c r="P2193" t="str">
        <f t="shared" si="139"/>
        <v>30000_0140</v>
      </c>
      <c r="Q2193" s="180">
        <v>0</v>
      </c>
    </row>
    <row r="2194" spans="1:17">
      <c r="A2194" t="str">
        <f t="shared" si="136"/>
        <v>CSU_0150</v>
      </c>
      <c r="B2194" t="str">
        <f t="shared" si="137"/>
        <v>CSU_Stanley Hall</v>
      </c>
      <c r="C2194" t="s">
        <v>446</v>
      </c>
      <c r="D2194" s="180" t="s">
        <v>20</v>
      </c>
      <c r="E2194" t="s">
        <v>3961</v>
      </c>
      <c r="F2194" t="s">
        <v>4697</v>
      </c>
      <c r="G2194" s="180">
        <v>30270</v>
      </c>
      <c r="H2194">
        <v>1974</v>
      </c>
      <c r="J2194" s="1334" t="s">
        <v>475</v>
      </c>
      <c r="K2194" s="1335" t="s">
        <v>475</v>
      </c>
      <c r="L2194" s="180">
        <v>100</v>
      </c>
      <c r="M2194" t="s">
        <v>68</v>
      </c>
      <c r="N2194" t="str">
        <f t="shared" si="138"/>
        <v>Stanley Hall (0150)</v>
      </c>
      <c r="O2194" t="s">
        <v>37</v>
      </c>
      <c r="P2194" t="str">
        <f t="shared" si="139"/>
        <v>30000_0150</v>
      </c>
      <c r="Q2194" s="180">
        <v>0</v>
      </c>
    </row>
    <row r="2195" spans="1:17">
      <c r="A2195" t="str">
        <f t="shared" si="136"/>
        <v>CSU_0160</v>
      </c>
      <c r="B2195" t="str">
        <f t="shared" si="137"/>
        <v>CSU_Jordan Hall</v>
      </c>
      <c r="C2195" t="s">
        <v>446</v>
      </c>
      <c r="D2195" s="180" t="s">
        <v>20</v>
      </c>
      <c r="E2195" t="s">
        <v>677</v>
      </c>
      <c r="F2195" t="s">
        <v>4642</v>
      </c>
      <c r="G2195" s="180">
        <v>47057</v>
      </c>
      <c r="H2195">
        <v>1976</v>
      </c>
      <c r="I2195">
        <v>2003</v>
      </c>
      <c r="J2195" s="1334" t="s">
        <v>475</v>
      </c>
      <c r="K2195" s="1335" t="s">
        <v>475</v>
      </c>
      <c r="L2195" s="180">
        <v>100</v>
      </c>
      <c r="M2195" t="s">
        <v>68</v>
      </c>
      <c r="N2195" t="str">
        <f t="shared" si="138"/>
        <v>Jordan Hall (0160)</v>
      </c>
      <c r="O2195" t="s">
        <v>37</v>
      </c>
      <c r="P2195" t="str">
        <f t="shared" si="139"/>
        <v>30000_0160</v>
      </c>
      <c r="Q2195" s="180">
        <v>0</v>
      </c>
    </row>
    <row r="2196" spans="1:17">
      <c r="A2196" t="str">
        <f t="shared" si="136"/>
        <v>CSU_0165</v>
      </c>
      <c r="B2196" t="str">
        <f t="shared" si="137"/>
        <v>CSU_LeNoir Hall</v>
      </c>
      <c r="C2196" t="s">
        <v>446</v>
      </c>
      <c r="D2196" s="180" t="s">
        <v>20</v>
      </c>
      <c r="E2196" t="s">
        <v>539</v>
      </c>
      <c r="F2196" t="s">
        <v>4657</v>
      </c>
      <c r="G2196" s="180">
        <v>74114</v>
      </c>
      <c r="H2196">
        <v>1989</v>
      </c>
      <c r="J2196" s="1334" t="s">
        <v>520</v>
      </c>
      <c r="K2196" s="1335" t="s">
        <v>475</v>
      </c>
      <c r="L2196" s="180">
        <v>100</v>
      </c>
      <c r="M2196" t="s">
        <v>68</v>
      </c>
      <c r="N2196" t="str">
        <f t="shared" si="138"/>
        <v>LeNoir Hall (0165)</v>
      </c>
      <c r="O2196" t="s">
        <v>37</v>
      </c>
      <c r="P2196" t="str">
        <f t="shared" si="139"/>
        <v>30000_0165</v>
      </c>
      <c r="Q2196" s="180">
        <v>0</v>
      </c>
    </row>
    <row r="2197" spans="1:17">
      <c r="A2197" t="str">
        <f t="shared" si="136"/>
        <v>CSU_0166</v>
      </c>
      <c r="B2197" t="str">
        <f t="shared" si="137"/>
        <v>CSU_LeNoir Hall Annex</v>
      </c>
      <c r="C2197" t="s">
        <v>446</v>
      </c>
      <c r="D2197" s="180" t="s">
        <v>20</v>
      </c>
      <c r="E2197" t="s">
        <v>734</v>
      </c>
      <c r="F2197" t="s">
        <v>4631</v>
      </c>
      <c r="G2197" s="180">
        <v>6000</v>
      </c>
      <c r="H2197">
        <v>2006</v>
      </c>
      <c r="J2197" s="1334" t="s">
        <v>475</v>
      </c>
      <c r="K2197" s="1335" t="s">
        <v>475</v>
      </c>
      <c r="L2197" s="180">
        <v>100</v>
      </c>
      <c r="M2197" t="s">
        <v>68</v>
      </c>
      <c r="N2197" t="str">
        <f t="shared" si="138"/>
        <v>LeNoir Hall Annex (0166)</v>
      </c>
      <c r="O2197" t="s">
        <v>37</v>
      </c>
      <c r="P2197" t="str">
        <f t="shared" si="139"/>
        <v>30000_0166</v>
      </c>
      <c r="Q2197" s="180">
        <v>0</v>
      </c>
    </row>
    <row r="2198" spans="1:17">
      <c r="A2198" t="str">
        <f t="shared" si="136"/>
        <v>CSU_0167</v>
      </c>
      <c r="B2198" t="str">
        <f t="shared" si="137"/>
        <v>CSU_LeNoir Hall</v>
      </c>
      <c r="C2198" t="s">
        <v>446</v>
      </c>
      <c r="D2198" s="180" t="s">
        <v>20</v>
      </c>
      <c r="E2198" t="s">
        <v>807</v>
      </c>
      <c r="F2198" t="s">
        <v>4657</v>
      </c>
      <c r="G2198" s="180">
        <v>22731</v>
      </c>
      <c r="H2198">
        <v>2017</v>
      </c>
      <c r="J2198" s="1334" t="s">
        <v>520</v>
      </c>
      <c r="K2198" s="1335" t="s">
        <v>475</v>
      </c>
      <c r="L2198" s="180">
        <v>100</v>
      </c>
      <c r="M2198" t="s">
        <v>68</v>
      </c>
      <c r="N2198" t="str">
        <f t="shared" si="138"/>
        <v>LeNoir Hall (0167)</v>
      </c>
      <c r="O2198" t="s">
        <v>37</v>
      </c>
      <c r="P2198" t="str">
        <f t="shared" si="139"/>
        <v>30000_0167</v>
      </c>
      <c r="Q2198" s="180">
        <v>0</v>
      </c>
    </row>
    <row r="2199" spans="1:17">
      <c r="A2199" t="str">
        <f t="shared" si="136"/>
        <v>CSU_0170</v>
      </c>
      <c r="B2199" t="str">
        <f t="shared" si="137"/>
        <v>CSU_PLANT OPERATIONS BUILDING</v>
      </c>
      <c r="C2199" t="s">
        <v>446</v>
      </c>
      <c r="D2199" s="180" t="s">
        <v>20</v>
      </c>
      <c r="E2199" t="s">
        <v>884</v>
      </c>
      <c r="F2199" t="s">
        <v>4721</v>
      </c>
      <c r="G2199" s="180">
        <v>16875</v>
      </c>
      <c r="H2199">
        <v>1963</v>
      </c>
      <c r="I2199">
        <v>2005</v>
      </c>
      <c r="J2199" s="1334" t="s">
        <v>475</v>
      </c>
      <c r="K2199" s="1335" t="s">
        <v>475</v>
      </c>
      <c r="L2199" s="180">
        <v>100</v>
      </c>
      <c r="M2199" t="s">
        <v>68</v>
      </c>
      <c r="N2199" t="str">
        <f t="shared" si="138"/>
        <v>PLANT OPERATIONS BUILDING (0170)</v>
      </c>
      <c r="O2199" t="s">
        <v>37</v>
      </c>
      <c r="P2199" t="str">
        <f t="shared" si="139"/>
        <v>30000_0170</v>
      </c>
      <c r="Q2199" s="180">
        <v>0</v>
      </c>
    </row>
    <row r="2200" spans="1:17">
      <c r="A2200" t="str">
        <f t="shared" si="136"/>
        <v>CSU_017A</v>
      </c>
      <c r="B2200" t="str">
        <f t="shared" si="137"/>
        <v>CSU_PLANT OPERATIONS ANNEX</v>
      </c>
      <c r="C2200" t="s">
        <v>446</v>
      </c>
      <c r="D2200" s="180" t="s">
        <v>20</v>
      </c>
      <c r="E2200" t="s">
        <v>4618</v>
      </c>
      <c r="F2200" t="s">
        <v>4619</v>
      </c>
      <c r="G2200" s="180">
        <v>1500</v>
      </c>
      <c r="H2200">
        <v>1947</v>
      </c>
      <c r="I2200">
        <v>2006</v>
      </c>
      <c r="J2200" s="1334" t="s">
        <v>475</v>
      </c>
      <c r="K2200" s="1335" t="s">
        <v>475</v>
      </c>
      <c r="L2200" s="180">
        <v>100</v>
      </c>
      <c r="M2200" t="s">
        <v>68</v>
      </c>
      <c r="N2200" t="str">
        <f t="shared" si="138"/>
        <v>PLANT OPERATIONS ANNEX (017A)</v>
      </c>
      <c r="O2200" t="s">
        <v>37</v>
      </c>
      <c r="P2200" t="str">
        <f t="shared" si="139"/>
        <v>30000_017A</v>
      </c>
      <c r="Q2200" s="180">
        <v>0</v>
      </c>
    </row>
    <row r="2201" spans="1:17">
      <c r="A2201" t="str">
        <f t="shared" si="136"/>
        <v>CSU_017C</v>
      </c>
      <c r="B2201" t="str">
        <f t="shared" si="137"/>
        <v>CSU_LANDSCAPING SHOP</v>
      </c>
      <c r="C2201" t="s">
        <v>446</v>
      </c>
      <c r="D2201" s="180" t="s">
        <v>20</v>
      </c>
      <c r="E2201" t="s">
        <v>4700</v>
      </c>
      <c r="F2201" t="s">
        <v>4701</v>
      </c>
      <c r="G2201" s="180">
        <v>3456</v>
      </c>
      <c r="H2201">
        <v>1974</v>
      </c>
      <c r="I2201">
        <v>1988</v>
      </c>
      <c r="J2201" s="1334" t="s">
        <v>475</v>
      </c>
      <c r="K2201" s="1335" t="s">
        <v>475</v>
      </c>
      <c r="L2201" s="180">
        <v>100</v>
      </c>
      <c r="M2201" t="s">
        <v>68</v>
      </c>
      <c r="N2201" t="str">
        <f t="shared" si="138"/>
        <v>LANDSCAPING SHOP (017C)</v>
      </c>
      <c r="O2201" t="s">
        <v>37</v>
      </c>
      <c r="P2201" t="str">
        <f t="shared" si="139"/>
        <v>30000_017C</v>
      </c>
      <c r="Q2201" s="180">
        <v>0</v>
      </c>
    </row>
    <row r="2202" spans="1:17">
      <c r="A2202" t="str">
        <f t="shared" si="136"/>
        <v>CSU_017D</v>
      </c>
      <c r="B2202" t="str">
        <f t="shared" si="137"/>
        <v>CSU_TOOL SHED</v>
      </c>
      <c r="C2202" t="s">
        <v>446</v>
      </c>
      <c r="D2202" s="180" t="s">
        <v>20</v>
      </c>
      <c r="E2202" t="s">
        <v>4742</v>
      </c>
      <c r="F2202" t="s">
        <v>4743</v>
      </c>
      <c r="G2202" s="180">
        <v>1104</v>
      </c>
      <c r="H2202">
        <v>1974</v>
      </c>
      <c r="I2202">
        <v>2007</v>
      </c>
      <c r="J2202" s="1334" t="s">
        <v>475</v>
      </c>
      <c r="K2202" s="1335" t="s">
        <v>475</v>
      </c>
      <c r="L2202" s="180">
        <v>100</v>
      </c>
      <c r="M2202" t="s">
        <v>68</v>
      </c>
      <c r="N2202" t="str">
        <f t="shared" si="138"/>
        <v>TOOL SHED (017D)</v>
      </c>
      <c r="O2202" t="s">
        <v>37</v>
      </c>
      <c r="P2202" t="str">
        <f t="shared" si="139"/>
        <v>30000_017D</v>
      </c>
      <c r="Q2202" s="180">
        <v>0</v>
      </c>
    </row>
    <row r="2203" spans="1:17">
      <c r="A2203" t="str">
        <f t="shared" si="136"/>
        <v>CSU_017E</v>
      </c>
      <c r="B2203" t="str">
        <f t="shared" si="137"/>
        <v>CSU_Transportation Building</v>
      </c>
      <c r="C2203" t="s">
        <v>446</v>
      </c>
      <c r="D2203" s="180" t="s">
        <v>20</v>
      </c>
      <c r="E2203" t="s">
        <v>4664</v>
      </c>
      <c r="F2203" t="s">
        <v>4665</v>
      </c>
      <c r="G2203" s="180">
        <v>450</v>
      </c>
      <c r="H2203">
        <v>1982</v>
      </c>
      <c r="J2203" s="1334" t="s">
        <v>475</v>
      </c>
      <c r="K2203" s="1335" t="s">
        <v>475</v>
      </c>
      <c r="L2203" s="180">
        <v>100</v>
      </c>
      <c r="M2203" t="s">
        <v>68</v>
      </c>
      <c r="N2203" t="str">
        <f t="shared" si="138"/>
        <v>Transportation Building (017E)</v>
      </c>
      <c r="O2203" t="s">
        <v>37</v>
      </c>
      <c r="P2203" t="str">
        <f t="shared" si="139"/>
        <v>30000_017E</v>
      </c>
      <c r="Q2203" s="180">
        <v>0</v>
      </c>
    </row>
    <row r="2204" spans="1:17">
      <c r="A2204" t="str">
        <f t="shared" si="136"/>
        <v>CSU_017H</v>
      </c>
      <c r="B2204" t="str">
        <f t="shared" si="137"/>
        <v>CSU_Central Receiving</v>
      </c>
      <c r="C2204" t="s">
        <v>446</v>
      </c>
      <c r="D2204" s="180" t="s">
        <v>20</v>
      </c>
      <c r="E2204" t="s">
        <v>4749</v>
      </c>
      <c r="F2204" t="s">
        <v>4750</v>
      </c>
      <c r="G2204" s="180">
        <v>25338</v>
      </c>
      <c r="H2204">
        <v>1992</v>
      </c>
      <c r="J2204" s="1334" t="s">
        <v>475</v>
      </c>
      <c r="K2204" s="1335" t="s">
        <v>475</v>
      </c>
      <c r="L2204" s="180">
        <v>100</v>
      </c>
      <c r="M2204" t="s">
        <v>68</v>
      </c>
      <c r="N2204" t="str">
        <f t="shared" si="138"/>
        <v>Central Receiving (017H)</v>
      </c>
      <c r="O2204" t="s">
        <v>37</v>
      </c>
      <c r="P2204" t="str">
        <f t="shared" si="139"/>
        <v>30000_017H</v>
      </c>
      <c r="Q2204" s="180">
        <v>0</v>
      </c>
    </row>
    <row r="2205" spans="1:17">
      <c r="A2205" t="str">
        <f t="shared" si="136"/>
        <v>CSU_017I</v>
      </c>
      <c r="B2205" t="str">
        <f t="shared" si="137"/>
        <v>CSU_Bus Wash Rack</v>
      </c>
      <c r="C2205" t="s">
        <v>446</v>
      </c>
      <c r="D2205" s="180" t="s">
        <v>20</v>
      </c>
      <c r="E2205" t="s">
        <v>4692</v>
      </c>
      <c r="F2205" t="s">
        <v>4693</v>
      </c>
      <c r="G2205" s="180">
        <v>2309</v>
      </c>
      <c r="H2205">
        <v>1997</v>
      </c>
      <c r="J2205" s="1334" t="s">
        <v>475</v>
      </c>
      <c r="K2205" s="1335" t="s">
        <v>475</v>
      </c>
      <c r="L2205" s="180">
        <v>100</v>
      </c>
      <c r="M2205" t="s">
        <v>68</v>
      </c>
      <c r="N2205" t="str">
        <f t="shared" si="138"/>
        <v>Bus Wash Rack (017I)</v>
      </c>
      <c r="O2205" t="s">
        <v>37</v>
      </c>
      <c r="P2205" t="str">
        <f t="shared" si="139"/>
        <v>30000_017I</v>
      </c>
      <c r="Q2205" s="180">
        <v>0</v>
      </c>
    </row>
    <row r="2206" spans="1:17">
      <c r="A2206" t="str">
        <f t="shared" si="136"/>
        <v>CSU_017J</v>
      </c>
      <c r="B2206" t="str">
        <f t="shared" si="137"/>
        <v>CSU_Bus Shed 1</v>
      </c>
      <c r="C2206" t="s">
        <v>446</v>
      </c>
      <c r="D2206" s="180" t="s">
        <v>20</v>
      </c>
      <c r="E2206" t="s">
        <v>4740</v>
      </c>
      <c r="F2206" t="s">
        <v>4741</v>
      </c>
      <c r="G2206" s="180">
        <v>4550</v>
      </c>
      <c r="H2206">
        <v>2003</v>
      </c>
      <c r="J2206" s="1334" t="s">
        <v>475</v>
      </c>
      <c r="K2206" s="1335" t="s">
        <v>475</v>
      </c>
      <c r="L2206" s="180">
        <v>100</v>
      </c>
      <c r="M2206" t="s">
        <v>68</v>
      </c>
      <c r="N2206" t="str">
        <f t="shared" si="138"/>
        <v>Bus Shed 1 (017J)</v>
      </c>
      <c r="O2206" t="s">
        <v>37</v>
      </c>
      <c r="P2206" t="str">
        <f t="shared" si="139"/>
        <v>30000_017J</v>
      </c>
      <c r="Q2206" s="180">
        <v>0</v>
      </c>
    </row>
    <row r="2207" spans="1:17">
      <c r="A2207" t="str">
        <f t="shared" si="136"/>
        <v>CSU_017K</v>
      </c>
      <c r="B2207" t="str">
        <f t="shared" si="137"/>
        <v>CSU_Bus Shed 2</v>
      </c>
      <c r="C2207" t="s">
        <v>446</v>
      </c>
      <c r="D2207" s="180" t="s">
        <v>20</v>
      </c>
      <c r="E2207" t="s">
        <v>4713</v>
      </c>
      <c r="F2207" t="s">
        <v>4714</v>
      </c>
      <c r="G2207" s="180">
        <v>2006</v>
      </c>
      <c r="H2207">
        <v>2002</v>
      </c>
      <c r="J2207" s="1334" t="s">
        <v>475</v>
      </c>
      <c r="K2207" s="1335" t="s">
        <v>475</v>
      </c>
      <c r="L2207" s="180">
        <v>100</v>
      </c>
      <c r="M2207" t="s">
        <v>68</v>
      </c>
      <c r="N2207" t="str">
        <f t="shared" si="138"/>
        <v>Bus Shed 2 (017K)</v>
      </c>
      <c r="O2207" t="s">
        <v>37</v>
      </c>
      <c r="P2207" t="str">
        <f t="shared" si="139"/>
        <v>30000_017K</v>
      </c>
      <c r="Q2207" s="180">
        <v>0</v>
      </c>
    </row>
    <row r="2208" spans="1:17">
      <c r="A2208" t="str">
        <f t="shared" si="136"/>
        <v>CSU_017L</v>
      </c>
      <c r="B2208" t="str">
        <f t="shared" si="137"/>
        <v>CSU_Equipment Shed 1</v>
      </c>
      <c r="C2208" t="s">
        <v>446</v>
      </c>
      <c r="D2208" s="180" t="s">
        <v>20</v>
      </c>
      <c r="E2208" t="s">
        <v>4725</v>
      </c>
      <c r="F2208" t="s">
        <v>4726</v>
      </c>
      <c r="G2208" s="180">
        <v>672</v>
      </c>
      <c r="H2208">
        <v>2000</v>
      </c>
      <c r="J2208" s="1334" t="s">
        <v>475</v>
      </c>
      <c r="K2208" s="1335" t="s">
        <v>475</v>
      </c>
      <c r="L2208" s="180">
        <v>100</v>
      </c>
      <c r="M2208" t="s">
        <v>68</v>
      </c>
      <c r="N2208" t="str">
        <f t="shared" si="138"/>
        <v>Equipment Shed 1 (017L)</v>
      </c>
      <c r="O2208" t="s">
        <v>37</v>
      </c>
      <c r="P2208" t="str">
        <f t="shared" si="139"/>
        <v>30000_017L</v>
      </c>
      <c r="Q2208" s="180">
        <v>0</v>
      </c>
    </row>
    <row r="2209" spans="1:17">
      <c r="A2209" t="str">
        <f t="shared" si="136"/>
        <v>CSU_017M</v>
      </c>
      <c r="B2209" t="str">
        <f t="shared" si="137"/>
        <v>CSU_Equipment Shed 2</v>
      </c>
      <c r="C2209" t="s">
        <v>446</v>
      </c>
      <c r="D2209" s="180" t="s">
        <v>20</v>
      </c>
      <c r="E2209" t="s">
        <v>4751</v>
      </c>
      <c r="F2209" t="s">
        <v>4752</v>
      </c>
      <c r="G2209" s="180">
        <v>5152</v>
      </c>
      <c r="H2209">
        <v>1979</v>
      </c>
      <c r="J2209" s="1334" t="s">
        <v>475</v>
      </c>
      <c r="K2209" s="1335" t="s">
        <v>475</v>
      </c>
      <c r="L2209" s="180">
        <v>100</v>
      </c>
      <c r="M2209" t="s">
        <v>68</v>
      </c>
      <c r="N2209" t="str">
        <f t="shared" si="138"/>
        <v>Equipment Shed 2 (017M)</v>
      </c>
      <c r="O2209" t="s">
        <v>37</v>
      </c>
      <c r="P2209" t="str">
        <f t="shared" si="139"/>
        <v>30000_017M</v>
      </c>
      <c r="Q2209" s="180">
        <v>0</v>
      </c>
    </row>
    <row r="2210" spans="1:17">
      <c r="A2210" t="str">
        <f t="shared" si="136"/>
        <v>CSU_017N</v>
      </c>
      <c r="B2210" t="str">
        <f t="shared" si="137"/>
        <v>CSU_Bus Shed 3</v>
      </c>
      <c r="C2210" t="s">
        <v>446</v>
      </c>
      <c r="D2210" s="180" t="s">
        <v>20</v>
      </c>
      <c r="E2210" t="s">
        <v>4722</v>
      </c>
      <c r="F2210" t="s">
        <v>4723</v>
      </c>
      <c r="G2210" s="180">
        <v>4653</v>
      </c>
      <c r="H2210">
        <v>2017</v>
      </c>
      <c r="J2210" s="1334" t="s">
        <v>475</v>
      </c>
      <c r="K2210" s="1335" t="s">
        <v>475</v>
      </c>
      <c r="L2210" s="180">
        <v>100</v>
      </c>
      <c r="M2210" t="s">
        <v>68</v>
      </c>
      <c r="N2210" t="str">
        <f t="shared" si="138"/>
        <v>Bus Shed 3 (017N)</v>
      </c>
      <c r="O2210" t="s">
        <v>37</v>
      </c>
      <c r="P2210" t="str">
        <f t="shared" si="139"/>
        <v>30000_017N</v>
      </c>
      <c r="Q2210" s="180">
        <v>0</v>
      </c>
    </row>
    <row r="2211" spans="1:17">
      <c r="A2211" t="str">
        <f t="shared" si="136"/>
        <v>CSU_0180</v>
      </c>
      <c r="B2211" t="str">
        <f t="shared" si="137"/>
        <v>CSU_TURNER CENTER CONTINUING ED</v>
      </c>
      <c r="C2211" t="s">
        <v>446</v>
      </c>
      <c r="D2211" s="180" t="s">
        <v>20</v>
      </c>
      <c r="E2211" t="s">
        <v>669</v>
      </c>
      <c r="F2211" t="s">
        <v>4702</v>
      </c>
      <c r="G2211" s="180">
        <v>39529</v>
      </c>
      <c r="H2211">
        <v>1974</v>
      </c>
      <c r="J2211" s="1334" t="s">
        <v>475</v>
      </c>
      <c r="K2211" s="1335" t="s">
        <v>475</v>
      </c>
      <c r="L2211" s="180">
        <v>100</v>
      </c>
      <c r="M2211" t="s">
        <v>68</v>
      </c>
      <c r="N2211" t="str">
        <f t="shared" si="138"/>
        <v>TURNER CENTER CONTINUING ED (0180)</v>
      </c>
      <c r="O2211" t="s">
        <v>37</v>
      </c>
      <c r="P2211" t="str">
        <f t="shared" si="139"/>
        <v>30000_0180</v>
      </c>
      <c r="Q2211" s="180">
        <v>0</v>
      </c>
    </row>
    <row r="2212" spans="1:17">
      <c r="A2212" t="str">
        <f t="shared" si="136"/>
        <v>CSU_018A</v>
      </c>
      <c r="B2212" t="str">
        <f t="shared" si="137"/>
        <v>CSU_Turner I</v>
      </c>
      <c r="C2212" t="s">
        <v>446</v>
      </c>
      <c r="D2212" s="180" t="s">
        <v>20</v>
      </c>
      <c r="E2212" t="s">
        <v>903</v>
      </c>
      <c r="F2212" t="s">
        <v>4735</v>
      </c>
      <c r="G2212" s="180">
        <v>3998</v>
      </c>
      <c r="H2212">
        <v>1979</v>
      </c>
      <c r="I2212">
        <v>1998</v>
      </c>
      <c r="J2212" s="1334" t="s">
        <v>475</v>
      </c>
      <c r="K2212" s="1335" t="s">
        <v>475</v>
      </c>
      <c r="L2212" s="180">
        <v>100</v>
      </c>
      <c r="M2212" t="s">
        <v>68</v>
      </c>
      <c r="N2212" t="str">
        <f t="shared" si="138"/>
        <v>Turner I (018A)</v>
      </c>
      <c r="O2212" t="s">
        <v>37</v>
      </c>
      <c r="P2212" t="str">
        <f t="shared" si="139"/>
        <v>30000_018A</v>
      </c>
      <c r="Q2212" s="180">
        <v>0</v>
      </c>
    </row>
    <row r="2213" spans="1:17">
      <c r="A2213" t="str">
        <f t="shared" si="136"/>
        <v>CSU_018B</v>
      </c>
      <c r="B2213" t="str">
        <f t="shared" si="137"/>
        <v>CSU_Turner II University Police</v>
      </c>
      <c r="C2213" t="s">
        <v>446</v>
      </c>
      <c r="D2213" s="180" t="s">
        <v>20</v>
      </c>
      <c r="E2213" t="s">
        <v>4703</v>
      </c>
      <c r="F2213" t="s">
        <v>4704</v>
      </c>
      <c r="G2213" s="180">
        <v>5366</v>
      </c>
      <c r="H2213">
        <v>1979</v>
      </c>
      <c r="I2213">
        <v>2010</v>
      </c>
      <c r="J2213" s="1334" t="s">
        <v>475</v>
      </c>
      <c r="K2213" s="1335" t="s">
        <v>475</v>
      </c>
      <c r="L2213" s="180">
        <v>100</v>
      </c>
      <c r="M2213" t="s">
        <v>68</v>
      </c>
      <c r="N2213" t="str">
        <f t="shared" si="138"/>
        <v>Turner II University Police (018B)</v>
      </c>
      <c r="O2213" t="s">
        <v>37</v>
      </c>
      <c r="P2213" t="str">
        <f t="shared" si="139"/>
        <v>30000_018B</v>
      </c>
      <c r="Q2213" s="180">
        <v>0</v>
      </c>
    </row>
    <row r="2214" spans="1:17">
      <c r="A2214" t="str">
        <f t="shared" si="136"/>
        <v>CSU_055B</v>
      </c>
      <c r="B2214" t="str">
        <f t="shared" si="137"/>
        <v>CSU_Maryland Cirlce 2 A &amp; B</v>
      </c>
      <c r="C2214" t="s">
        <v>446</v>
      </c>
      <c r="D2214" s="180" t="s">
        <v>20</v>
      </c>
      <c r="E2214" t="s">
        <v>4671</v>
      </c>
      <c r="F2214" t="s">
        <v>4672</v>
      </c>
      <c r="G2214" s="180">
        <v>2800</v>
      </c>
      <c r="H2214">
        <v>1985</v>
      </c>
      <c r="J2214" s="1334" t="s">
        <v>486</v>
      </c>
      <c r="K2214" s="1335" t="s">
        <v>475</v>
      </c>
      <c r="L2214" s="180">
        <v>0</v>
      </c>
      <c r="M2214" t="s">
        <v>4</v>
      </c>
      <c r="N2214" t="str">
        <f t="shared" si="138"/>
        <v>Maryland Cirlce 2 A &amp; B (055B)</v>
      </c>
      <c r="O2214" t="s">
        <v>37</v>
      </c>
      <c r="P2214" t="str">
        <f t="shared" si="139"/>
        <v>30000_055B</v>
      </c>
      <c r="Q2214" s="180">
        <v>0</v>
      </c>
    </row>
    <row r="2215" spans="1:17">
      <c r="A2215" t="str">
        <f t="shared" si="136"/>
        <v>CSU_055H</v>
      </c>
      <c r="B2215" t="str">
        <f t="shared" si="137"/>
        <v>CSU_Maryland Circle 3631</v>
      </c>
      <c r="C2215" t="s">
        <v>446</v>
      </c>
      <c r="D2215" s="180" t="s">
        <v>20</v>
      </c>
      <c r="E2215" t="s">
        <v>4682</v>
      </c>
      <c r="F2215" t="s">
        <v>4683</v>
      </c>
      <c r="G2215" s="180">
        <v>3426</v>
      </c>
      <c r="H2215">
        <v>1974</v>
      </c>
      <c r="J2215" s="1334" t="s">
        <v>486</v>
      </c>
      <c r="K2215" s="1335" t="s">
        <v>475</v>
      </c>
      <c r="L2215" s="180">
        <v>0</v>
      </c>
      <c r="M2215" t="s">
        <v>4</v>
      </c>
      <c r="N2215" t="str">
        <f t="shared" si="138"/>
        <v>Maryland Circle 3631 (055H)</v>
      </c>
      <c r="O2215" t="s">
        <v>37</v>
      </c>
      <c r="P2215" t="str">
        <f t="shared" si="139"/>
        <v>30000_055H</v>
      </c>
      <c r="Q2215" s="180">
        <v>0</v>
      </c>
    </row>
    <row r="2216" spans="1:17">
      <c r="A2216" t="str">
        <f t="shared" si="136"/>
        <v>CSU_055I</v>
      </c>
      <c r="B2216" t="str">
        <f t="shared" si="137"/>
        <v>CSU_Maryland Circle 3658</v>
      </c>
      <c r="C2216" t="s">
        <v>446</v>
      </c>
      <c r="D2216" s="180" t="s">
        <v>20</v>
      </c>
      <c r="E2216" t="s">
        <v>4643</v>
      </c>
      <c r="F2216" t="s">
        <v>4644</v>
      </c>
      <c r="G2216" s="180">
        <v>4368</v>
      </c>
      <c r="H2216">
        <v>1986</v>
      </c>
      <c r="J2216" s="1334" t="s">
        <v>486</v>
      </c>
      <c r="K2216" s="1335" t="s">
        <v>475</v>
      </c>
      <c r="L2216" s="180">
        <v>0</v>
      </c>
      <c r="M2216" t="s">
        <v>4</v>
      </c>
      <c r="N2216" t="str">
        <f t="shared" si="138"/>
        <v>Maryland Circle 3658 (055I)</v>
      </c>
      <c r="O2216" t="s">
        <v>37</v>
      </c>
      <c r="P2216" t="str">
        <f t="shared" si="139"/>
        <v>30000_055I</v>
      </c>
      <c r="Q2216" s="180">
        <v>0</v>
      </c>
    </row>
    <row r="2217" spans="1:17">
      <c r="A2217" t="str">
        <f t="shared" si="136"/>
        <v>CSU_0640</v>
      </c>
      <c r="B2217" t="str">
        <f t="shared" si="137"/>
        <v>CSU_Soccer Complex</v>
      </c>
      <c r="C2217" t="s">
        <v>446</v>
      </c>
      <c r="D2217" s="180" t="s">
        <v>20</v>
      </c>
      <c r="E2217" t="s">
        <v>4364</v>
      </c>
      <c r="F2217" t="s">
        <v>4635</v>
      </c>
      <c r="G2217" s="180">
        <v>2583</v>
      </c>
      <c r="H2217">
        <v>1994</v>
      </c>
      <c r="I2217">
        <v>2006</v>
      </c>
      <c r="J2217" s="1334" t="s">
        <v>475</v>
      </c>
      <c r="K2217" s="1335" t="s">
        <v>475</v>
      </c>
      <c r="L2217" s="180">
        <v>80</v>
      </c>
      <c r="M2217" t="s">
        <v>68</v>
      </c>
      <c r="N2217" t="str">
        <f t="shared" si="138"/>
        <v>Soccer Complex (0640)</v>
      </c>
      <c r="O2217" t="s">
        <v>37</v>
      </c>
      <c r="P2217" t="str">
        <f t="shared" si="139"/>
        <v>30000_0640</v>
      </c>
      <c r="Q2217" s="180">
        <v>0</v>
      </c>
    </row>
    <row r="2218" spans="1:17">
      <c r="A2218" t="str">
        <f t="shared" si="136"/>
        <v>CSU_0645</v>
      </c>
      <c r="B2218" t="str">
        <f t="shared" si="137"/>
        <v>CSU_Soccer Complex Concession</v>
      </c>
      <c r="C2218" t="s">
        <v>446</v>
      </c>
      <c r="D2218" s="180" t="s">
        <v>20</v>
      </c>
      <c r="E2218" t="s">
        <v>4684</v>
      </c>
      <c r="F2218" t="s">
        <v>4685</v>
      </c>
      <c r="G2218" s="180">
        <v>900</v>
      </c>
      <c r="H2218">
        <v>2006</v>
      </c>
      <c r="J2218" s="1334" t="s">
        <v>475</v>
      </c>
      <c r="K2218" s="1335" t="s">
        <v>475</v>
      </c>
      <c r="L2218" s="180">
        <v>50</v>
      </c>
      <c r="M2218" t="s">
        <v>68</v>
      </c>
      <c r="N2218" t="str">
        <f t="shared" si="138"/>
        <v>Soccer Complex Concession (0645)</v>
      </c>
      <c r="O2218" t="s">
        <v>37</v>
      </c>
      <c r="P2218" t="str">
        <f t="shared" si="139"/>
        <v>30000_0645</v>
      </c>
      <c r="Q2218" s="180">
        <v>0</v>
      </c>
    </row>
    <row r="2219" spans="1:17">
      <c r="A2219" t="str">
        <f t="shared" si="136"/>
        <v>CSU_0670</v>
      </c>
      <c r="B2219" t="str">
        <f t="shared" si="137"/>
        <v>CSU_Coca-Cola Space Science Center</v>
      </c>
      <c r="C2219" t="s">
        <v>446</v>
      </c>
      <c r="D2219" s="180" t="s">
        <v>20</v>
      </c>
      <c r="E2219" t="s">
        <v>4064</v>
      </c>
      <c r="F2219" t="s">
        <v>4663</v>
      </c>
      <c r="G2219" s="180">
        <v>21224</v>
      </c>
      <c r="H2219">
        <v>1996</v>
      </c>
      <c r="J2219" s="1334" t="s">
        <v>475</v>
      </c>
      <c r="K2219" s="1335" t="s">
        <v>475</v>
      </c>
      <c r="L2219" s="180">
        <v>100</v>
      </c>
      <c r="M2219" t="s">
        <v>7822</v>
      </c>
      <c r="N2219" t="str">
        <f t="shared" si="138"/>
        <v>Coca-Cola Space Science Center (0670)</v>
      </c>
      <c r="O2219" t="s">
        <v>37</v>
      </c>
      <c r="P2219" t="str">
        <f t="shared" si="139"/>
        <v>30000_0670</v>
      </c>
      <c r="Q2219" s="180">
        <v>0</v>
      </c>
    </row>
    <row r="2220" spans="1:17">
      <c r="A2220" t="str">
        <f t="shared" si="136"/>
        <v>CSU_0695</v>
      </c>
      <c r="B2220" t="str">
        <f t="shared" si="137"/>
        <v>CSU_LINDSEY MOCK PAVILION--CAMPUS</v>
      </c>
      <c r="C2220" t="s">
        <v>446</v>
      </c>
      <c r="D2220" s="180" t="s">
        <v>20</v>
      </c>
      <c r="E2220" t="s">
        <v>4754</v>
      </c>
      <c r="F2220" t="s">
        <v>4755</v>
      </c>
      <c r="G2220" s="180">
        <v>5000</v>
      </c>
      <c r="H2220">
        <v>2006</v>
      </c>
      <c r="J2220" s="1334" t="s">
        <v>475</v>
      </c>
      <c r="K2220" s="1335" t="s">
        <v>475</v>
      </c>
      <c r="L2220" s="180">
        <v>100</v>
      </c>
      <c r="M2220" t="s">
        <v>68</v>
      </c>
      <c r="N2220" t="str">
        <f t="shared" si="138"/>
        <v>LINDSEY MOCK PAVILION--CAMPUS (0695)</v>
      </c>
      <c r="O2220" t="s">
        <v>37</v>
      </c>
      <c r="P2220" t="str">
        <f t="shared" si="139"/>
        <v>30000_0695</v>
      </c>
      <c r="Q2220" s="180">
        <v>0</v>
      </c>
    </row>
    <row r="2221" spans="1:17">
      <c r="A2221" t="str">
        <f t="shared" si="136"/>
        <v>CSU_0710</v>
      </c>
      <c r="B2221" t="str">
        <f t="shared" si="137"/>
        <v>CSU_Lumpkin, Frank G. Jr Center</v>
      </c>
      <c r="C2221" t="s">
        <v>446</v>
      </c>
      <c r="D2221" s="180" t="s">
        <v>20</v>
      </c>
      <c r="E2221" t="s">
        <v>4646</v>
      </c>
      <c r="F2221" t="s">
        <v>4647</v>
      </c>
      <c r="G2221" s="180">
        <v>96400</v>
      </c>
      <c r="H2221">
        <v>1999</v>
      </c>
      <c r="J2221" s="1334" t="s">
        <v>475</v>
      </c>
      <c r="K2221" s="1335" t="s">
        <v>475</v>
      </c>
      <c r="L2221" s="180">
        <v>80</v>
      </c>
      <c r="M2221" t="s">
        <v>68</v>
      </c>
      <c r="N2221" t="str">
        <f t="shared" si="138"/>
        <v>Lumpkin, Frank G. Jr Center (0710)</v>
      </c>
      <c r="O2221" t="s">
        <v>37</v>
      </c>
      <c r="P2221" t="str">
        <f t="shared" si="139"/>
        <v>30000_0710</v>
      </c>
      <c r="Q2221" s="180">
        <v>0</v>
      </c>
    </row>
    <row r="2222" spans="1:17">
      <c r="A2222" t="str">
        <f t="shared" si="136"/>
        <v>CSU_0715</v>
      </c>
      <c r="B2222" t="str">
        <f t="shared" si="137"/>
        <v>CSU_Parking Deck</v>
      </c>
      <c r="C2222" t="s">
        <v>446</v>
      </c>
      <c r="D2222" s="180" t="s">
        <v>20</v>
      </c>
      <c r="E2222" t="s">
        <v>4698</v>
      </c>
      <c r="F2222" t="s">
        <v>4699</v>
      </c>
      <c r="G2222" s="180">
        <v>231960</v>
      </c>
      <c r="H2222">
        <v>2007</v>
      </c>
      <c r="J2222" s="1334" t="s">
        <v>486</v>
      </c>
      <c r="K2222" s="1335" t="s">
        <v>475</v>
      </c>
      <c r="L2222" s="180">
        <v>0</v>
      </c>
      <c r="M2222" t="s">
        <v>68</v>
      </c>
      <c r="N2222" t="str">
        <f t="shared" si="138"/>
        <v>Parking Deck (0715)</v>
      </c>
      <c r="O2222" t="s">
        <v>37</v>
      </c>
      <c r="P2222" t="str">
        <f t="shared" si="139"/>
        <v>30000_0715</v>
      </c>
      <c r="Q2222" s="180">
        <v>0</v>
      </c>
    </row>
    <row r="2223" spans="1:17">
      <c r="A2223" t="str">
        <f t="shared" si="136"/>
        <v>CSU_0740</v>
      </c>
      <c r="B2223" t="str">
        <f t="shared" si="137"/>
        <v>CSU_Synovus Ctr for Commerce Tech</v>
      </c>
      <c r="C2223" t="s">
        <v>446</v>
      </c>
      <c r="D2223" s="180" t="s">
        <v>20</v>
      </c>
      <c r="E2223" t="s">
        <v>2171</v>
      </c>
      <c r="F2223" t="s">
        <v>4680</v>
      </c>
      <c r="G2223" s="180">
        <v>94000</v>
      </c>
      <c r="H2223">
        <v>2002</v>
      </c>
      <c r="J2223" s="1334" t="s">
        <v>520</v>
      </c>
      <c r="K2223" s="1335" t="s">
        <v>475</v>
      </c>
      <c r="L2223" s="180">
        <v>100</v>
      </c>
      <c r="M2223" t="s">
        <v>68</v>
      </c>
      <c r="N2223" t="str">
        <f t="shared" si="138"/>
        <v>Synovus Ctr for Commerce Tech (0740)</v>
      </c>
      <c r="O2223" t="s">
        <v>37</v>
      </c>
      <c r="P2223" t="str">
        <f t="shared" si="139"/>
        <v>30000_0740</v>
      </c>
      <c r="Q2223" s="180">
        <v>0</v>
      </c>
    </row>
    <row r="2224" spans="1:17">
      <c r="A2224" t="str">
        <f t="shared" si="136"/>
        <v>CSU_0770</v>
      </c>
      <c r="B2224" t="str">
        <f t="shared" si="137"/>
        <v>CSU_CUNNINGHAM CONFERENCE CTR</v>
      </c>
      <c r="C2224" t="s">
        <v>446</v>
      </c>
      <c r="D2224" s="180" t="s">
        <v>20</v>
      </c>
      <c r="E2224" t="s">
        <v>4640</v>
      </c>
      <c r="F2224" t="s">
        <v>4641</v>
      </c>
      <c r="G2224" s="180">
        <v>68000</v>
      </c>
      <c r="H2224">
        <v>2003</v>
      </c>
      <c r="J2224" s="1334" t="s">
        <v>486</v>
      </c>
      <c r="K2224" s="1335" t="s">
        <v>475</v>
      </c>
      <c r="L2224" s="180">
        <v>100</v>
      </c>
      <c r="M2224" t="s">
        <v>68</v>
      </c>
      <c r="N2224" t="str">
        <f t="shared" si="138"/>
        <v>CUNNINGHAM CONFERENCE CTR (0770)</v>
      </c>
      <c r="O2224" t="s">
        <v>37</v>
      </c>
      <c r="P2224" t="str">
        <f t="shared" si="139"/>
        <v>30000_0770</v>
      </c>
      <c r="Q2224" s="180">
        <v>0</v>
      </c>
    </row>
    <row r="2225" spans="1:17">
      <c r="A2225" t="str">
        <f t="shared" si="136"/>
        <v>CSU_0785</v>
      </c>
      <c r="B2225" t="str">
        <f t="shared" si="137"/>
        <v>CSU_International House</v>
      </c>
      <c r="C2225" t="s">
        <v>446</v>
      </c>
      <c r="D2225" s="180" t="s">
        <v>20</v>
      </c>
      <c r="E2225" t="s">
        <v>528</v>
      </c>
      <c r="F2225" t="s">
        <v>4748</v>
      </c>
      <c r="G2225" s="180">
        <v>5767</v>
      </c>
      <c r="H2225">
        <v>1965</v>
      </c>
      <c r="J2225" s="1334" t="s">
        <v>475</v>
      </c>
      <c r="K2225" s="1335" t="s">
        <v>475</v>
      </c>
      <c r="L2225" s="180">
        <v>100</v>
      </c>
      <c r="M2225" t="s">
        <v>68</v>
      </c>
      <c r="N2225" t="str">
        <f t="shared" si="138"/>
        <v>International House (0785)</v>
      </c>
      <c r="O2225" t="s">
        <v>37</v>
      </c>
      <c r="P2225" t="str">
        <f t="shared" si="139"/>
        <v>30000_0785</v>
      </c>
      <c r="Q2225" s="180">
        <v>0</v>
      </c>
    </row>
    <row r="2226" spans="1:17">
      <c r="A2226" t="str">
        <f t="shared" si="136"/>
        <v>CSU_0790</v>
      </c>
      <c r="B2226" t="str">
        <f t="shared" si="137"/>
        <v>CSU_Schuster Student Success Cntr</v>
      </c>
      <c r="C2226" t="s">
        <v>446</v>
      </c>
      <c r="D2226" s="180" t="s">
        <v>20</v>
      </c>
      <c r="E2226" t="s">
        <v>526</v>
      </c>
      <c r="F2226" t="s">
        <v>4637</v>
      </c>
      <c r="G2226" s="180">
        <v>38000</v>
      </c>
      <c r="H2226">
        <v>2005</v>
      </c>
      <c r="J2226" s="1334" t="s">
        <v>520</v>
      </c>
      <c r="K2226" s="1335" t="s">
        <v>475</v>
      </c>
      <c r="L2226" s="180">
        <v>100</v>
      </c>
      <c r="M2226" t="s">
        <v>68</v>
      </c>
      <c r="N2226" t="str">
        <f t="shared" si="138"/>
        <v>Schuster Student Success Cntr (0790)</v>
      </c>
      <c r="O2226" t="s">
        <v>37</v>
      </c>
      <c r="P2226" t="str">
        <f t="shared" si="139"/>
        <v>30000_0790</v>
      </c>
      <c r="Q2226" s="180">
        <v>0</v>
      </c>
    </row>
    <row r="2227" spans="1:17">
      <c r="A2227" t="str">
        <f t="shared" si="136"/>
        <v>CSU_0791</v>
      </c>
      <c r="B2227" t="str">
        <f t="shared" si="137"/>
        <v>CSU_Intermural Field Storage Build</v>
      </c>
      <c r="C2227" t="s">
        <v>446</v>
      </c>
      <c r="D2227" s="180" t="s">
        <v>20</v>
      </c>
      <c r="E2227" t="s">
        <v>4654</v>
      </c>
      <c r="F2227" t="s">
        <v>4655</v>
      </c>
      <c r="G2227" s="180">
        <v>352</v>
      </c>
      <c r="H2227">
        <v>2005</v>
      </c>
      <c r="J2227" s="1334" t="s">
        <v>475</v>
      </c>
      <c r="K2227" s="1335" t="s">
        <v>475</v>
      </c>
      <c r="L2227" s="180">
        <v>100</v>
      </c>
      <c r="M2227" t="s">
        <v>68</v>
      </c>
      <c r="N2227" t="str">
        <f t="shared" si="138"/>
        <v>Intermural Field Storage Build (0791)</v>
      </c>
      <c r="O2227" t="s">
        <v>37</v>
      </c>
      <c r="P2227" t="str">
        <f t="shared" si="139"/>
        <v>30000_0791</v>
      </c>
      <c r="Q2227" s="180">
        <v>0</v>
      </c>
    </row>
    <row r="2228" spans="1:17">
      <c r="A2228" t="str">
        <f t="shared" si="136"/>
        <v>CSU_0795</v>
      </c>
      <c r="B2228" t="str">
        <f t="shared" si="137"/>
        <v>CSU_Student Recreation Center</v>
      </c>
      <c r="C2228" t="s">
        <v>446</v>
      </c>
      <c r="D2228" s="180" t="s">
        <v>20</v>
      </c>
      <c r="E2228" t="s">
        <v>4633</v>
      </c>
      <c r="F2228" t="s">
        <v>4634</v>
      </c>
      <c r="G2228" s="180">
        <v>103443</v>
      </c>
      <c r="H2228">
        <v>2009</v>
      </c>
      <c r="J2228" s="1334" t="s">
        <v>1520</v>
      </c>
      <c r="K2228" s="1335" t="s">
        <v>475</v>
      </c>
      <c r="L2228" s="180">
        <v>20</v>
      </c>
      <c r="M2228" t="s">
        <v>68</v>
      </c>
      <c r="N2228" t="str">
        <f t="shared" si="138"/>
        <v>Student Recreation Center (0795)</v>
      </c>
      <c r="O2228" t="s">
        <v>37</v>
      </c>
      <c r="P2228" t="str">
        <f t="shared" si="139"/>
        <v>30000_0795</v>
      </c>
      <c r="Q2228" s="180">
        <v>0</v>
      </c>
    </row>
    <row r="2229" spans="1:17">
      <c r="A2229" t="str">
        <f t="shared" si="136"/>
        <v>CSU_0810</v>
      </c>
      <c r="B2229" t="str">
        <f t="shared" si="137"/>
        <v>CSU_Corn Center, RiverPark Campus</v>
      </c>
      <c r="C2229" t="s">
        <v>446</v>
      </c>
      <c r="D2229" s="180" t="s">
        <v>20</v>
      </c>
      <c r="E2229" t="s">
        <v>4673</v>
      </c>
      <c r="F2229" t="s">
        <v>4674</v>
      </c>
      <c r="G2229" s="180">
        <v>74365</v>
      </c>
      <c r="H2229">
        <v>2006</v>
      </c>
      <c r="J2229" s="1334" t="s">
        <v>475</v>
      </c>
      <c r="K2229" s="1335" t="s">
        <v>475</v>
      </c>
      <c r="L2229" s="180">
        <v>100</v>
      </c>
      <c r="M2229" t="s">
        <v>7822</v>
      </c>
      <c r="N2229" t="str">
        <f t="shared" si="138"/>
        <v>Corn Center, RiverPark Campus (0810)</v>
      </c>
      <c r="O2229" t="s">
        <v>37</v>
      </c>
      <c r="P2229" t="str">
        <f t="shared" si="139"/>
        <v>30000_0810</v>
      </c>
      <c r="Q2229" s="180">
        <v>0</v>
      </c>
    </row>
    <row r="2230" spans="1:17">
      <c r="A2230" t="str">
        <f t="shared" si="136"/>
        <v>CSU_0811</v>
      </c>
      <c r="B2230" t="str">
        <f t="shared" si="137"/>
        <v>CSU_University Theatre, RiverPark</v>
      </c>
      <c r="C2230" t="s">
        <v>446</v>
      </c>
      <c r="D2230" s="180" t="s">
        <v>20</v>
      </c>
      <c r="E2230" t="s">
        <v>4659</v>
      </c>
      <c r="F2230" t="s">
        <v>4660</v>
      </c>
      <c r="G2230" s="180">
        <v>60569</v>
      </c>
      <c r="H2230">
        <v>2006</v>
      </c>
      <c r="J2230" s="1334" t="s">
        <v>486</v>
      </c>
      <c r="K2230" s="1335" t="s">
        <v>475</v>
      </c>
      <c r="L2230" s="180">
        <v>100</v>
      </c>
      <c r="M2230" t="s">
        <v>7822</v>
      </c>
      <c r="N2230" t="str">
        <f t="shared" si="138"/>
        <v>University Theatre, RiverPark (0811)</v>
      </c>
      <c r="O2230" t="s">
        <v>37</v>
      </c>
      <c r="P2230" t="str">
        <f t="shared" si="139"/>
        <v>30000_0811</v>
      </c>
      <c r="Q2230" s="180">
        <v>0</v>
      </c>
    </row>
    <row r="2231" spans="1:17">
      <c r="A2231" t="str">
        <f t="shared" si="136"/>
        <v>CSU_0815</v>
      </c>
      <c r="B2231" t="str">
        <f t="shared" si="137"/>
        <v>CSU_Front Ave 933, Seaboard Depot</v>
      </c>
      <c r="C2231" t="s">
        <v>446</v>
      </c>
      <c r="D2231" s="180" t="s">
        <v>20</v>
      </c>
      <c r="E2231" t="s">
        <v>4648</v>
      </c>
      <c r="F2231" t="s">
        <v>4649</v>
      </c>
      <c r="G2231" s="180">
        <v>16330</v>
      </c>
      <c r="H2231">
        <v>1986</v>
      </c>
      <c r="J2231" s="1334" t="s">
        <v>475</v>
      </c>
      <c r="K2231" s="1335" t="s">
        <v>475</v>
      </c>
      <c r="L2231" s="180">
        <v>100</v>
      </c>
      <c r="M2231" t="s">
        <v>7822</v>
      </c>
      <c r="N2231" t="str">
        <f t="shared" si="138"/>
        <v>Front Ave 933, Seaboard Depot (0815)</v>
      </c>
      <c r="O2231" t="s">
        <v>37</v>
      </c>
      <c r="P2231" t="str">
        <f t="shared" si="139"/>
        <v>30000_0815</v>
      </c>
      <c r="Q2231" s="180">
        <v>0</v>
      </c>
    </row>
    <row r="2232" spans="1:17">
      <c r="A2232" t="str">
        <f t="shared" si="136"/>
        <v>CSU_0870</v>
      </c>
      <c r="B2232" t="str">
        <f t="shared" si="137"/>
        <v>CSU_Frank Brown Hall</v>
      </c>
      <c r="C2232" t="s">
        <v>446</v>
      </c>
      <c r="D2232" s="180" t="s">
        <v>20</v>
      </c>
      <c r="E2232" t="s">
        <v>4650</v>
      </c>
      <c r="F2232" t="s">
        <v>4651</v>
      </c>
      <c r="G2232" s="180">
        <v>109370</v>
      </c>
      <c r="H2232">
        <v>2015</v>
      </c>
      <c r="J2232" s="1334" t="s">
        <v>475</v>
      </c>
      <c r="K2232" s="1335" t="s">
        <v>475</v>
      </c>
      <c r="L2232" s="180">
        <v>100</v>
      </c>
      <c r="M2232" t="s">
        <v>7822</v>
      </c>
      <c r="N2232" t="str">
        <f t="shared" si="138"/>
        <v>Frank Brown Hall (0870)</v>
      </c>
      <c r="O2232" t="s">
        <v>37</v>
      </c>
      <c r="P2232" t="str">
        <f t="shared" si="139"/>
        <v>30000_0870</v>
      </c>
      <c r="Q2232" s="180">
        <v>0</v>
      </c>
    </row>
    <row r="2233" spans="1:17">
      <c r="A2233" t="str">
        <f t="shared" si="136"/>
        <v>CSU_0900</v>
      </c>
      <c r="B2233" t="str">
        <f t="shared" si="137"/>
        <v>CSU_3001 Macon Road</v>
      </c>
      <c r="C2233" t="s">
        <v>446</v>
      </c>
      <c r="D2233" s="180" t="s">
        <v>20</v>
      </c>
      <c r="E2233" t="s">
        <v>4687</v>
      </c>
      <c r="F2233" t="s">
        <v>4688</v>
      </c>
      <c r="G2233" s="180">
        <v>14275</v>
      </c>
      <c r="H2233">
        <v>1956</v>
      </c>
      <c r="I2233">
        <v>2012</v>
      </c>
      <c r="J2233" s="1334" t="s">
        <v>475</v>
      </c>
      <c r="K2233" s="1335" t="s">
        <v>475</v>
      </c>
      <c r="L2233" s="180">
        <v>0</v>
      </c>
      <c r="M2233" t="s">
        <v>4</v>
      </c>
      <c r="N2233" t="str">
        <f t="shared" si="138"/>
        <v>3001 Macon Road (0900)</v>
      </c>
      <c r="O2233" t="s">
        <v>37</v>
      </c>
      <c r="P2233" t="str">
        <f t="shared" si="139"/>
        <v>30000_0900</v>
      </c>
      <c r="Q2233" s="180">
        <v>0</v>
      </c>
    </row>
    <row r="2234" spans="1:17">
      <c r="A2234" t="str">
        <f t="shared" si="136"/>
        <v>CSU_646</v>
      </c>
      <c r="B2234" t="str">
        <f t="shared" si="137"/>
        <v>CSU_Soccer Press Box</v>
      </c>
      <c r="C2234" t="s">
        <v>446</v>
      </c>
      <c r="D2234" s="180" t="s">
        <v>20</v>
      </c>
      <c r="E2234" t="s">
        <v>4744</v>
      </c>
      <c r="F2234" t="s">
        <v>4745</v>
      </c>
      <c r="G2234" s="180">
        <v>468</v>
      </c>
      <c r="H2234">
        <v>2010</v>
      </c>
      <c r="J2234" s="1334" t="s">
        <v>475</v>
      </c>
      <c r="K2234" s="1335" t="s">
        <v>475</v>
      </c>
      <c r="L2234" s="180">
        <v>0</v>
      </c>
      <c r="M2234" t="s">
        <v>68</v>
      </c>
      <c r="N2234" t="str">
        <f t="shared" si="138"/>
        <v>Soccer Press Box (646)</v>
      </c>
      <c r="O2234" t="s">
        <v>37</v>
      </c>
      <c r="P2234" t="str">
        <f t="shared" si="139"/>
        <v>30000_646</v>
      </c>
      <c r="Q2234" s="180">
        <v>0</v>
      </c>
    </row>
    <row r="2235" spans="1:17">
      <c r="A2235" t="str">
        <f t="shared" si="136"/>
        <v>FVSU_0006</v>
      </c>
      <c r="B2235" t="str">
        <f t="shared" si="137"/>
        <v>FVSU_FVSU  -  Warner Robins Site</v>
      </c>
      <c r="C2235" t="s">
        <v>447</v>
      </c>
      <c r="D2235" s="180" t="s">
        <v>23</v>
      </c>
      <c r="E2235" t="s">
        <v>855</v>
      </c>
      <c r="F2235" t="s">
        <v>4908</v>
      </c>
      <c r="G2235" s="180">
        <v>49279</v>
      </c>
      <c r="H2235">
        <v>1996</v>
      </c>
      <c r="J2235" s="1334" t="s">
        <v>475</v>
      </c>
      <c r="K2235" s="1335" t="s">
        <v>475</v>
      </c>
      <c r="L2235" s="180">
        <v>100</v>
      </c>
      <c r="M2235" t="s">
        <v>96</v>
      </c>
      <c r="N2235" t="str">
        <f t="shared" si="138"/>
        <v>FVSU  -  Warner Robins Site (0006)</v>
      </c>
      <c r="O2235" t="s">
        <v>39</v>
      </c>
      <c r="P2235" t="str">
        <f t="shared" si="139"/>
        <v>33000_0006</v>
      </c>
      <c r="Q2235" s="180">
        <v>0</v>
      </c>
    </row>
    <row r="2236" spans="1:17">
      <c r="A2236" t="str">
        <f t="shared" si="136"/>
        <v>FVSU_0010</v>
      </c>
      <c r="B2236" t="str">
        <f t="shared" si="137"/>
        <v>FVSU_FACULTY DUPLEX #1</v>
      </c>
      <c r="C2236" t="s">
        <v>447</v>
      </c>
      <c r="D2236" s="180" t="s">
        <v>23</v>
      </c>
      <c r="E2236" t="s">
        <v>815</v>
      </c>
      <c r="F2236" t="s">
        <v>4786</v>
      </c>
      <c r="G2236" s="180">
        <v>1736</v>
      </c>
      <c r="H2236">
        <v>1956</v>
      </c>
      <c r="J2236" s="1334" t="s">
        <v>475</v>
      </c>
      <c r="K2236" s="1335" t="s">
        <v>475</v>
      </c>
      <c r="L2236" s="180">
        <v>0</v>
      </c>
      <c r="M2236" t="s">
        <v>68</v>
      </c>
      <c r="N2236" t="str">
        <f t="shared" si="138"/>
        <v>FACULTY DUPLEX #1 (0010)</v>
      </c>
      <c r="O2236" t="s">
        <v>39</v>
      </c>
      <c r="P2236" t="str">
        <f t="shared" si="139"/>
        <v>33000_0010</v>
      </c>
      <c r="Q2236" s="180">
        <v>0</v>
      </c>
    </row>
    <row r="2237" spans="1:17">
      <c r="A2237" t="str">
        <f t="shared" si="136"/>
        <v>FVSU_0011</v>
      </c>
      <c r="B2237" t="str">
        <f t="shared" si="137"/>
        <v>FVSU_HOME-EC MNGT HOUSE</v>
      </c>
      <c r="C2237" t="s">
        <v>447</v>
      </c>
      <c r="D2237" s="180" t="s">
        <v>23</v>
      </c>
      <c r="E2237" t="s">
        <v>504</v>
      </c>
      <c r="F2237" t="s">
        <v>4852</v>
      </c>
      <c r="G2237" s="180">
        <v>15000</v>
      </c>
      <c r="H2237">
        <v>1975</v>
      </c>
      <c r="J2237" s="1334" t="s">
        <v>475</v>
      </c>
      <c r="K2237" s="1335" t="s">
        <v>475</v>
      </c>
      <c r="L2237" s="180">
        <v>0</v>
      </c>
      <c r="M2237" t="s">
        <v>68</v>
      </c>
      <c r="N2237" t="str">
        <f t="shared" si="138"/>
        <v>HOME-EC MNGT HOUSE (0011)</v>
      </c>
      <c r="O2237" t="s">
        <v>39</v>
      </c>
      <c r="P2237" t="str">
        <f t="shared" si="139"/>
        <v>33000_0011</v>
      </c>
      <c r="Q2237" s="180">
        <v>0</v>
      </c>
    </row>
    <row r="2238" spans="1:17">
      <c r="A2238" t="str">
        <f t="shared" si="136"/>
        <v>FVSU_0020</v>
      </c>
      <c r="B2238" t="str">
        <f t="shared" si="137"/>
        <v>FVSU_FACULTY DUPLEX #2</v>
      </c>
      <c r="C2238" t="s">
        <v>447</v>
      </c>
      <c r="D2238" s="180" t="s">
        <v>23</v>
      </c>
      <c r="E2238" t="s">
        <v>529</v>
      </c>
      <c r="F2238" t="s">
        <v>4772</v>
      </c>
      <c r="G2238" s="180">
        <v>1736</v>
      </c>
      <c r="H2238">
        <v>1956</v>
      </c>
      <c r="J2238" s="1334" t="s">
        <v>475</v>
      </c>
      <c r="K2238" s="1335" t="s">
        <v>475</v>
      </c>
      <c r="L2238" s="180">
        <v>0</v>
      </c>
      <c r="M2238" t="s">
        <v>68</v>
      </c>
      <c r="N2238" t="str">
        <f t="shared" si="138"/>
        <v>FACULTY DUPLEX #2 (0020)</v>
      </c>
      <c r="O2238" t="s">
        <v>39</v>
      </c>
      <c r="P2238" t="str">
        <f t="shared" si="139"/>
        <v>33000_0020</v>
      </c>
      <c r="Q2238" s="180">
        <v>0</v>
      </c>
    </row>
    <row r="2239" spans="1:17">
      <c r="A2239" t="str">
        <f t="shared" si="136"/>
        <v>FVSU_0025</v>
      </c>
      <c r="B2239" t="str">
        <f t="shared" si="137"/>
        <v>FVSU_GARAGE #2</v>
      </c>
      <c r="C2239" t="s">
        <v>447</v>
      </c>
      <c r="D2239" s="180" t="s">
        <v>23</v>
      </c>
      <c r="E2239" t="s">
        <v>682</v>
      </c>
      <c r="F2239" t="s">
        <v>4820</v>
      </c>
      <c r="G2239" s="180">
        <v>683</v>
      </c>
      <c r="H2239">
        <v>1959</v>
      </c>
      <c r="J2239" s="1334" t="s">
        <v>475</v>
      </c>
      <c r="K2239" s="1335" t="s">
        <v>1520</v>
      </c>
      <c r="L2239" s="180">
        <v>0</v>
      </c>
      <c r="M2239" t="s">
        <v>68</v>
      </c>
      <c r="N2239" t="str">
        <f t="shared" si="138"/>
        <v>GARAGE #2 (0025)</v>
      </c>
      <c r="O2239" t="s">
        <v>39</v>
      </c>
      <c r="P2239" t="str">
        <f t="shared" si="139"/>
        <v>33000_0025</v>
      </c>
      <c r="Q2239" s="180">
        <v>0</v>
      </c>
    </row>
    <row r="2240" spans="1:17">
      <c r="A2240" t="str">
        <f t="shared" si="136"/>
        <v>FVSU_0030</v>
      </c>
      <c r="B2240" t="str">
        <f t="shared" si="137"/>
        <v>FVSU_FAC HOUSE 904</v>
      </c>
      <c r="C2240" t="s">
        <v>447</v>
      </c>
      <c r="D2240" s="180" t="s">
        <v>23</v>
      </c>
      <c r="E2240" t="s">
        <v>561</v>
      </c>
      <c r="F2240" t="s">
        <v>4887</v>
      </c>
      <c r="G2240" s="180">
        <v>1625</v>
      </c>
      <c r="H2240">
        <v>1934</v>
      </c>
      <c r="I2240">
        <v>1969</v>
      </c>
      <c r="J2240" s="1334" t="s">
        <v>475</v>
      </c>
      <c r="K2240" s="1335" t="s">
        <v>520</v>
      </c>
      <c r="L2240" s="180">
        <v>0</v>
      </c>
      <c r="M2240" t="s">
        <v>68</v>
      </c>
      <c r="N2240" t="str">
        <f t="shared" si="138"/>
        <v>FAC HOUSE 904 (0030)</v>
      </c>
      <c r="O2240" t="s">
        <v>39</v>
      </c>
      <c r="P2240" t="str">
        <f t="shared" si="139"/>
        <v>33000_0030</v>
      </c>
      <c r="Q2240" s="180">
        <v>0</v>
      </c>
    </row>
    <row r="2241" spans="1:17">
      <c r="A2241" t="str">
        <f t="shared" si="136"/>
        <v>FVSU_0035</v>
      </c>
      <c r="B2241" t="str">
        <f t="shared" si="137"/>
        <v>FVSU_GARAGE #2</v>
      </c>
      <c r="C2241" t="s">
        <v>447</v>
      </c>
      <c r="D2241" s="180" t="s">
        <v>23</v>
      </c>
      <c r="E2241" t="s">
        <v>830</v>
      </c>
      <c r="F2241" t="s">
        <v>4820</v>
      </c>
      <c r="G2241" s="180">
        <v>683</v>
      </c>
      <c r="H2241">
        <v>1959</v>
      </c>
      <c r="J2241" s="1334" t="s">
        <v>475</v>
      </c>
      <c r="K2241" s="1335" t="s">
        <v>1520</v>
      </c>
      <c r="L2241" s="180">
        <v>0</v>
      </c>
      <c r="M2241" t="s">
        <v>68</v>
      </c>
      <c r="N2241" t="str">
        <f t="shared" si="138"/>
        <v>GARAGE #2 (0035)</v>
      </c>
      <c r="O2241" t="s">
        <v>39</v>
      </c>
      <c r="P2241" t="str">
        <f t="shared" si="139"/>
        <v>33000_0035</v>
      </c>
      <c r="Q2241" s="180">
        <v>0</v>
      </c>
    </row>
    <row r="2242" spans="1:17">
      <c r="A2242" t="str">
        <f t="shared" si="136"/>
        <v>FVSU_0040</v>
      </c>
      <c r="B2242" t="str">
        <f t="shared" si="137"/>
        <v>FVSU_FAC HOUSE 906</v>
      </c>
      <c r="C2242" t="s">
        <v>447</v>
      </c>
      <c r="D2242" s="180" t="s">
        <v>23</v>
      </c>
      <c r="E2242" t="s">
        <v>724</v>
      </c>
      <c r="F2242" t="s">
        <v>4929</v>
      </c>
      <c r="G2242" s="180">
        <v>1535</v>
      </c>
      <c r="H2242">
        <v>1934</v>
      </c>
      <c r="I2242">
        <v>1969</v>
      </c>
      <c r="J2242" s="1334" t="s">
        <v>475</v>
      </c>
      <c r="K2242" s="1335" t="s">
        <v>520</v>
      </c>
      <c r="L2242" s="180">
        <v>0</v>
      </c>
      <c r="M2242" t="s">
        <v>68</v>
      </c>
      <c r="N2242" t="str">
        <f t="shared" si="138"/>
        <v>FAC HOUSE 906 (0040)</v>
      </c>
      <c r="O2242" t="s">
        <v>39</v>
      </c>
      <c r="P2242" t="str">
        <f t="shared" si="139"/>
        <v>33000_0040</v>
      </c>
      <c r="Q2242" s="180">
        <v>0</v>
      </c>
    </row>
    <row r="2243" spans="1:17">
      <c r="A2243" t="str">
        <f t="shared" ref="A2243:A2306" si="140">_xlfn.CONCAT(D2243,"_",E2243)</f>
        <v>FVSU_0050</v>
      </c>
      <c r="B2243" t="str">
        <f t="shared" ref="B2243:B2306" si="141">_xlfn.CONCAT(D2243,"_",F2243)</f>
        <v>FVSU_GANO COOP EXT</v>
      </c>
      <c r="C2243" t="s">
        <v>447</v>
      </c>
      <c r="D2243" s="180" t="s">
        <v>23</v>
      </c>
      <c r="E2243" t="s">
        <v>906</v>
      </c>
      <c r="F2243" t="s">
        <v>4824</v>
      </c>
      <c r="G2243" s="180">
        <v>15261</v>
      </c>
      <c r="H2243">
        <v>1962</v>
      </c>
      <c r="I2243">
        <v>1974</v>
      </c>
      <c r="J2243" s="1334" t="s">
        <v>475</v>
      </c>
      <c r="K2243" s="1335" t="s">
        <v>475</v>
      </c>
      <c r="L2243" s="180">
        <v>100</v>
      </c>
      <c r="M2243" t="s">
        <v>68</v>
      </c>
      <c r="N2243" t="str">
        <f t="shared" ref="N2243:N2306" si="142">_xlfn.CONCAT(F2243," (",E2243,")")</f>
        <v>GANO COOP EXT (0050)</v>
      </c>
      <c r="O2243" t="s">
        <v>39</v>
      </c>
      <c r="P2243" t="str">
        <f t="shared" ref="P2243:P2306" si="143">_xlfn.CONCAT(C2243,"_",E2243)</f>
        <v>33000_0050</v>
      </c>
      <c r="Q2243" s="180">
        <v>0</v>
      </c>
    </row>
    <row r="2244" spans="1:17">
      <c r="A2244" t="str">
        <f t="shared" si="140"/>
        <v>FVSU_0100</v>
      </c>
      <c r="B2244" t="str">
        <f t="shared" si="141"/>
        <v>FVSU_ANDERSON ALUMNI</v>
      </c>
      <c r="C2244" t="s">
        <v>447</v>
      </c>
      <c r="D2244" s="180" t="s">
        <v>23</v>
      </c>
      <c r="E2244" t="s">
        <v>684</v>
      </c>
      <c r="F2244" t="s">
        <v>4844</v>
      </c>
      <c r="G2244" s="180">
        <v>4749</v>
      </c>
      <c r="H2244">
        <v>1900</v>
      </c>
      <c r="I2244">
        <v>1916</v>
      </c>
      <c r="J2244" s="1334" t="s">
        <v>475</v>
      </c>
      <c r="K2244" s="1335" t="s">
        <v>475</v>
      </c>
      <c r="L2244" s="180">
        <v>100</v>
      </c>
      <c r="M2244" t="s">
        <v>68</v>
      </c>
      <c r="N2244" t="str">
        <f t="shared" si="142"/>
        <v>ANDERSON ALUMNI (0100)</v>
      </c>
      <c r="O2244" t="s">
        <v>39</v>
      </c>
      <c r="P2244" t="str">
        <f t="shared" si="143"/>
        <v>33000_0100</v>
      </c>
      <c r="Q2244" s="180">
        <v>0</v>
      </c>
    </row>
    <row r="2245" spans="1:17">
      <c r="A2245" t="str">
        <f t="shared" si="140"/>
        <v>FVSU_0105</v>
      </c>
      <c r="B2245" t="str">
        <f t="shared" si="141"/>
        <v>FVSU_CARNEGIE ADMIN</v>
      </c>
      <c r="C2245" t="s">
        <v>447</v>
      </c>
      <c r="D2245" s="180" t="s">
        <v>23</v>
      </c>
      <c r="E2245" t="s">
        <v>916</v>
      </c>
      <c r="F2245" t="s">
        <v>4791</v>
      </c>
      <c r="G2245" s="180">
        <v>6003</v>
      </c>
      <c r="H2245">
        <v>1925</v>
      </c>
      <c r="I2245">
        <v>1958</v>
      </c>
      <c r="J2245" s="1334" t="s">
        <v>475</v>
      </c>
      <c r="K2245" s="1335" t="s">
        <v>520</v>
      </c>
      <c r="L2245" s="180">
        <v>100</v>
      </c>
      <c r="M2245" t="s">
        <v>68</v>
      </c>
      <c r="N2245" t="str">
        <f t="shared" si="142"/>
        <v>CARNEGIE ADMIN (0105)</v>
      </c>
      <c r="O2245" t="s">
        <v>39</v>
      </c>
      <c r="P2245" t="str">
        <f t="shared" si="143"/>
        <v>33000_0105</v>
      </c>
      <c r="Q2245" s="180">
        <v>0</v>
      </c>
    </row>
    <row r="2246" spans="1:17">
      <c r="A2246" t="str">
        <f t="shared" si="140"/>
        <v>FVSU_0107</v>
      </c>
      <c r="B2246" t="str">
        <f t="shared" si="141"/>
        <v>FVSU_PUMPHOUSE #1</v>
      </c>
      <c r="C2246" t="s">
        <v>447</v>
      </c>
      <c r="D2246" s="180" t="s">
        <v>23</v>
      </c>
      <c r="E2246" t="s">
        <v>741</v>
      </c>
      <c r="F2246" t="s">
        <v>3714</v>
      </c>
      <c r="G2246" s="180">
        <v>250</v>
      </c>
      <c r="H2246">
        <v>1952</v>
      </c>
      <c r="J2246" s="1334" t="s">
        <v>475</v>
      </c>
      <c r="K2246" s="1335" t="s">
        <v>475</v>
      </c>
      <c r="L2246" s="180">
        <v>100</v>
      </c>
      <c r="M2246" t="s">
        <v>68</v>
      </c>
      <c r="N2246" t="str">
        <f t="shared" si="142"/>
        <v>PUMPHOUSE #1 (0107)</v>
      </c>
      <c r="O2246" t="s">
        <v>39</v>
      </c>
      <c r="P2246" t="str">
        <f t="shared" si="143"/>
        <v>33000_0107</v>
      </c>
      <c r="Q2246" s="180">
        <v>0</v>
      </c>
    </row>
    <row r="2247" spans="1:17">
      <c r="A2247" t="str">
        <f t="shared" si="140"/>
        <v>FVSU_0110</v>
      </c>
      <c r="B2247" t="str">
        <f t="shared" si="141"/>
        <v>FVSU_FOUNDERS ACADEMIC</v>
      </c>
      <c r="C2247" t="s">
        <v>447</v>
      </c>
      <c r="D2247" s="180" t="s">
        <v>23</v>
      </c>
      <c r="E2247" t="s">
        <v>666</v>
      </c>
      <c r="F2247" t="s">
        <v>4827</v>
      </c>
      <c r="G2247" s="180">
        <v>26081</v>
      </c>
      <c r="H2247">
        <v>1929</v>
      </c>
      <c r="I2247">
        <v>1981</v>
      </c>
      <c r="J2247" s="1334" t="s">
        <v>475</v>
      </c>
      <c r="K2247" s="1335" t="s">
        <v>475</v>
      </c>
      <c r="L2247" s="180">
        <v>100</v>
      </c>
      <c r="M2247" t="s">
        <v>68</v>
      </c>
      <c r="N2247" t="str">
        <f t="shared" si="142"/>
        <v>FOUNDERS ACADEMIC (0110)</v>
      </c>
      <c r="O2247" t="s">
        <v>39</v>
      </c>
      <c r="P2247" t="str">
        <f t="shared" si="143"/>
        <v>33000_0110</v>
      </c>
      <c r="Q2247" s="180">
        <v>0</v>
      </c>
    </row>
    <row r="2248" spans="1:17">
      <c r="A2248" t="str">
        <f t="shared" si="140"/>
        <v>FVSU_0115</v>
      </c>
      <c r="B2248" t="str">
        <f t="shared" si="141"/>
        <v>FVSU_BYWATERS ACADEMIC</v>
      </c>
      <c r="C2248" t="s">
        <v>447</v>
      </c>
      <c r="D2248" s="180" t="s">
        <v>23</v>
      </c>
      <c r="E2248" t="s">
        <v>789</v>
      </c>
      <c r="F2248" t="s">
        <v>4821</v>
      </c>
      <c r="G2248" s="180">
        <v>30132</v>
      </c>
      <c r="H2248">
        <v>1952</v>
      </c>
      <c r="I2248">
        <v>1979</v>
      </c>
      <c r="J2248" s="1334" t="s">
        <v>475</v>
      </c>
      <c r="K2248" s="1335" t="s">
        <v>475</v>
      </c>
      <c r="L2248" s="180">
        <v>100</v>
      </c>
      <c r="M2248" t="s">
        <v>68</v>
      </c>
      <c r="N2248" t="str">
        <f t="shared" si="142"/>
        <v>BYWATERS ACADEMIC (0115)</v>
      </c>
      <c r="O2248" t="s">
        <v>39</v>
      </c>
      <c r="P2248" t="str">
        <f t="shared" si="143"/>
        <v>33000_0115</v>
      </c>
      <c r="Q2248" s="180">
        <v>0</v>
      </c>
    </row>
    <row r="2249" spans="1:17">
      <c r="A2249" t="str">
        <f t="shared" si="140"/>
        <v>FVSU_0120</v>
      </c>
      <c r="B2249" t="str">
        <f t="shared" si="141"/>
        <v>FVSU_HUNT LIBRARY</v>
      </c>
      <c r="C2249" t="s">
        <v>447</v>
      </c>
      <c r="D2249" s="180" t="s">
        <v>23</v>
      </c>
      <c r="E2249" t="s">
        <v>1812</v>
      </c>
      <c r="F2249" t="s">
        <v>4857</v>
      </c>
      <c r="G2249" s="180">
        <v>62030</v>
      </c>
      <c r="H2249">
        <v>1975</v>
      </c>
      <c r="I2249">
        <v>2000</v>
      </c>
      <c r="J2249" s="1334" t="s">
        <v>475</v>
      </c>
      <c r="K2249" s="1335" t="s">
        <v>475</v>
      </c>
      <c r="L2249" s="180">
        <v>100</v>
      </c>
      <c r="M2249" t="s">
        <v>68</v>
      </c>
      <c r="N2249" t="str">
        <f t="shared" si="142"/>
        <v>HUNT LIBRARY (0120)</v>
      </c>
      <c r="O2249" t="s">
        <v>39</v>
      </c>
      <c r="P2249" t="str">
        <f t="shared" si="143"/>
        <v>33000_0120</v>
      </c>
      <c r="Q2249" s="180">
        <v>0</v>
      </c>
    </row>
    <row r="2250" spans="1:17">
      <c r="A2250" t="str">
        <f t="shared" si="140"/>
        <v>FVSU_0121</v>
      </c>
      <c r="B2250" t="str">
        <f t="shared" si="141"/>
        <v>FVSU_GUARD HOUSE PEAR ST</v>
      </c>
      <c r="C2250" t="s">
        <v>447</v>
      </c>
      <c r="D2250" s="180" t="s">
        <v>23</v>
      </c>
      <c r="E2250" t="s">
        <v>1432</v>
      </c>
      <c r="F2250" t="s">
        <v>4901</v>
      </c>
      <c r="G2250" s="180">
        <v>63</v>
      </c>
      <c r="H2250">
        <v>1991</v>
      </c>
      <c r="J2250" s="1334" t="s">
        <v>475</v>
      </c>
      <c r="K2250" s="1335" t="s">
        <v>475</v>
      </c>
      <c r="L2250" s="180">
        <v>100</v>
      </c>
      <c r="M2250" t="s">
        <v>68</v>
      </c>
      <c r="N2250" t="str">
        <f t="shared" si="142"/>
        <v>GUARD HOUSE PEAR ST (0121)</v>
      </c>
      <c r="O2250" t="s">
        <v>39</v>
      </c>
      <c r="P2250" t="str">
        <f t="shared" si="143"/>
        <v>33000_0121</v>
      </c>
      <c r="Q2250" s="180">
        <v>0</v>
      </c>
    </row>
    <row r="2251" spans="1:17">
      <c r="A2251" t="str">
        <f t="shared" si="140"/>
        <v>FVSU_0125</v>
      </c>
      <c r="B2251" t="str">
        <f t="shared" si="141"/>
        <v>FVSU_PEABODY TRADES</v>
      </c>
      <c r="C2251" t="s">
        <v>447</v>
      </c>
      <c r="D2251" s="180" t="s">
        <v>23</v>
      </c>
      <c r="E2251" t="s">
        <v>687</v>
      </c>
      <c r="F2251" t="s">
        <v>4914</v>
      </c>
      <c r="G2251" s="180">
        <v>13262</v>
      </c>
      <c r="H2251">
        <v>1926</v>
      </c>
      <c r="I2251">
        <v>1960</v>
      </c>
      <c r="J2251" s="1334" t="s">
        <v>475</v>
      </c>
      <c r="K2251" s="1335" t="s">
        <v>475</v>
      </c>
      <c r="L2251" s="180">
        <v>100</v>
      </c>
      <c r="M2251" t="s">
        <v>68</v>
      </c>
      <c r="N2251" t="str">
        <f t="shared" si="142"/>
        <v>PEABODY TRADES (0125)</v>
      </c>
      <c r="O2251" t="s">
        <v>39</v>
      </c>
      <c r="P2251" t="str">
        <f t="shared" si="143"/>
        <v>33000_0125</v>
      </c>
      <c r="Q2251" s="180">
        <v>0</v>
      </c>
    </row>
    <row r="2252" spans="1:17">
      <c r="A2252" t="str">
        <f t="shared" si="140"/>
        <v>FVSU_0130</v>
      </c>
      <c r="B2252" t="str">
        <f t="shared" si="141"/>
        <v>FVSU_FOOD SERVICE</v>
      </c>
      <c r="C2252" t="s">
        <v>447</v>
      </c>
      <c r="D2252" s="180" t="s">
        <v>23</v>
      </c>
      <c r="E2252" t="s">
        <v>753</v>
      </c>
      <c r="F2252" t="s">
        <v>4817</v>
      </c>
      <c r="G2252" s="180">
        <v>18470</v>
      </c>
      <c r="H2252">
        <v>1972</v>
      </c>
      <c r="J2252" s="1334" t="s">
        <v>520</v>
      </c>
      <c r="K2252" s="1335" t="s">
        <v>486</v>
      </c>
      <c r="L2252" s="180">
        <v>10</v>
      </c>
      <c r="M2252" t="s">
        <v>68</v>
      </c>
      <c r="N2252" t="str">
        <f t="shared" si="142"/>
        <v>FOOD SERVICE (0130)</v>
      </c>
      <c r="O2252" t="s">
        <v>39</v>
      </c>
      <c r="P2252" t="str">
        <f t="shared" si="143"/>
        <v>33000_0130</v>
      </c>
      <c r="Q2252" s="180">
        <v>0</v>
      </c>
    </row>
    <row r="2253" spans="1:17">
      <c r="A2253" t="str">
        <f t="shared" si="140"/>
        <v>FVSU_0135</v>
      </c>
      <c r="B2253" t="str">
        <f t="shared" si="141"/>
        <v>FVSU_OHIO DORM</v>
      </c>
      <c r="C2253" t="s">
        <v>447</v>
      </c>
      <c r="D2253" s="180" t="s">
        <v>23</v>
      </c>
      <c r="E2253" t="s">
        <v>874</v>
      </c>
      <c r="F2253" t="s">
        <v>4814</v>
      </c>
      <c r="G2253" s="180">
        <v>24675</v>
      </c>
      <c r="H2253">
        <v>1930</v>
      </c>
      <c r="J2253" s="1334" t="s">
        <v>520</v>
      </c>
      <c r="K2253" s="1335" t="s">
        <v>475</v>
      </c>
      <c r="L2253" s="180">
        <v>0</v>
      </c>
      <c r="M2253" t="s">
        <v>68</v>
      </c>
      <c r="N2253" t="str">
        <f t="shared" si="142"/>
        <v>OHIO DORM (0135)</v>
      </c>
      <c r="O2253" t="s">
        <v>39</v>
      </c>
      <c r="P2253" t="str">
        <f t="shared" si="143"/>
        <v>33000_0135</v>
      </c>
      <c r="Q2253" s="180">
        <v>0</v>
      </c>
    </row>
    <row r="2254" spans="1:17">
      <c r="A2254" t="str">
        <f t="shared" si="140"/>
        <v>FVSU_0140</v>
      </c>
      <c r="B2254" t="str">
        <f t="shared" si="141"/>
        <v>FVSU_LYONS STUDENT CTR</v>
      </c>
      <c r="C2254" t="s">
        <v>447</v>
      </c>
      <c r="D2254" s="180" t="s">
        <v>23</v>
      </c>
      <c r="E2254" t="s">
        <v>700</v>
      </c>
      <c r="F2254" t="s">
        <v>4876</v>
      </c>
      <c r="G2254" s="180">
        <v>26930</v>
      </c>
      <c r="H2254">
        <v>1966</v>
      </c>
      <c r="J2254" s="1334" t="s">
        <v>520</v>
      </c>
      <c r="K2254" s="1335" t="s">
        <v>475</v>
      </c>
      <c r="L2254" s="180">
        <v>43</v>
      </c>
      <c r="M2254" t="s">
        <v>68</v>
      </c>
      <c r="N2254" t="str">
        <f t="shared" si="142"/>
        <v>LYONS STUDENT CTR (0140)</v>
      </c>
      <c r="O2254" t="s">
        <v>39</v>
      </c>
      <c r="P2254" t="str">
        <f t="shared" si="143"/>
        <v>33000_0140</v>
      </c>
      <c r="Q2254" s="180">
        <v>0</v>
      </c>
    </row>
    <row r="2255" spans="1:17">
      <c r="A2255" t="str">
        <f t="shared" si="140"/>
        <v>FVSU_0155</v>
      </c>
      <c r="B2255" t="str">
        <f t="shared" si="141"/>
        <v>FVSU_HUNT INFIRMARY</v>
      </c>
      <c r="C2255" t="s">
        <v>447</v>
      </c>
      <c r="D2255" s="180" t="s">
        <v>23</v>
      </c>
      <c r="E2255" t="s">
        <v>476</v>
      </c>
      <c r="F2255" t="s">
        <v>4789</v>
      </c>
      <c r="G2255" s="180">
        <v>7850</v>
      </c>
      <c r="H2255">
        <v>1975</v>
      </c>
      <c r="J2255" s="1334" t="s">
        <v>475</v>
      </c>
      <c r="K2255" s="1335" t="s">
        <v>475</v>
      </c>
      <c r="L2255" s="180">
        <v>100</v>
      </c>
      <c r="M2255" t="s">
        <v>68</v>
      </c>
      <c r="N2255" t="str">
        <f t="shared" si="142"/>
        <v>HUNT INFIRMARY (0155)</v>
      </c>
      <c r="O2255" t="s">
        <v>39</v>
      </c>
      <c r="P2255" t="str">
        <f t="shared" si="143"/>
        <v>33000_0155</v>
      </c>
      <c r="Q2255" s="180">
        <v>0</v>
      </c>
    </row>
    <row r="2256" spans="1:17">
      <c r="A2256" t="str">
        <f t="shared" si="140"/>
        <v>FVSU_0160</v>
      </c>
      <c r="B2256" t="str">
        <f t="shared" si="141"/>
        <v>FVSU_TROUP ADMINISTRATION</v>
      </c>
      <c r="C2256" t="s">
        <v>447</v>
      </c>
      <c r="D2256" s="180" t="s">
        <v>23</v>
      </c>
      <c r="E2256" t="s">
        <v>677</v>
      </c>
      <c r="F2256" t="s">
        <v>4798</v>
      </c>
      <c r="G2256" s="180">
        <v>31836</v>
      </c>
      <c r="H2256">
        <v>1986</v>
      </c>
      <c r="J2256" s="1334" t="s">
        <v>475</v>
      </c>
      <c r="K2256" s="1335" t="s">
        <v>475</v>
      </c>
      <c r="L2256" s="180">
        <v>100</v>
      </c>
      <c r="M2256" t="s">
        <v>68</v>
      </c>
      <c r="N2256" t="str">
        <f t="shared" si="142"/>
        <v>TROUP ADMINISTRATION (0160)</v>
      </c>
      <c r="O2256" t="s">
        <v>39</v>
      </c>
      <c r="P2256" t="str">
        <f t="shared" si="143"/>
        <v>33000_0160</v>
      </c>
      <c r="Q2256" s="180">
        <v>0</v>
      </c>
    </row>
    <row r="2257" spans="1:17">
      <c r="A2257" t="str">
        <f t="shared" si="140"/>
        <v>FVSU_0161</v>
      </c>
      <c r="B2257" t="str">
        <f t="shared" si="141"/>
        <v>FVSU_GUARD HOUSE UNIV DR</v>
      </c>
      <c r="C2257" t="s">
        <v>447</v>
      </c>
      <c r="D2257" s="180" t="s">
        <v>23</v>
      </c>
      <c r="E2257" t="s">
        <v>588</v>
      </c>
      <c r="F2257" t="s">
        <v>4873</v>
      </c>
      <c r="G2257" s="180">
        <v>119</v>
      </c>
      <c r="H2257">
        <v>1991</v>
      </c>
      <c r="J2257" s="1334" t="s">
        <v>475</v>
      </c>
      <c r="K2257" s="1335" t="s">
        <v>475</v>
      </c>
      <c r="L2257" s="180">
        <v>0</v>
      </c>
      <c r="M2257" t="s">
        <v>68</v>
      </c>
      <c r="N2257" t="str">
        <f t="shared" si="142"/>
        <v>GUARD HOUSE UNIV DR (0161)</v>
      </c>
      <c r="O2257" t="s">
        <v>39</v>
      </c>
      <c r="P2257" t="str">
        <f t="shared" si="143"/>
        <v>33000_0161</v>
      </c>
      <c r="Q2257" s="180">
        <v>0</v>
      </c>
    </row>
    <row r="2258" spans="1:17">
      <c r="A2258" t="str">
        <f t="shared" si="140"/>
        <v>FVSU_0165</v>
      </c>
      <c r="B2258" t="str">
        <f t="shared" si="141"/>
        <v>FVSU_HOME-EC LAB</v>
      </c>
      <c r="C2258" t="s">
        <v>447</v>
      </c>
      <c r="D2258" s="180" t="s">
        <v>23</v>
      </c>
      <c r="E2258" t="s">
        <v>539</v>
      </c>
      <c r="F2258" t="s">
        <v>4775</v>
      </c>
      <c r="G2258" s="180">
        <v>3284</v>
      </c>
      <c r="H2258">
        <v>1953</v>
      </c>
      <c r="J2258" s="1334" t="s">
        <v>475</v>
      </c>
      <c r="K2258" s="1335" t="s">
        <v>520</v>
      </c>
      <c r="L2258" s="180">
        <v>100</v>
      </c>
      <c r="M2258" t="s">
        <v>68</v>
      </c>
      <c r="N2258" t="str">
        <f t="shared" si="142"/>
        <v>HOME-EC LAB (0165)</v>
      </c>
      <c r="O2258" t="s">
        <v>39</v>
      </c>
      <c r="P2258" t="str">
        <f t="shared" si="143"/>
        <v>33000_0165</v>
      </c>
      <c r="Q2258" s="180">
        <v>0</v>
      </c>
    </row>
    <row r="2259" spans="1:17">
      <c r="A2259" t="str">
        <f t="shared" si="140"/>
        <v>FVSU_0175</v>
      </c>
      <c r="B2259" t="str">
        <f t="shared" si="141"/>
        <v>FVSU_DAVISON DORM</v>
      </c>
      <c r="C2259" t="s">
        <v>447</v>
      </c>
      <c r="D2259" s="180" t="s">
        <v>23</v>
      </c>
      <c r="E2259" t="s">
        <v>634</v>
      </c>
      <c r="F2259" t="s">
        <v>4848</v>
      </c>
      <c r="G2259" s="180">
        <v>26560</v>
      </c>
      <c r="H2259">
        <v>1948</v>
      </c>
      <c r="I2259">
        <v>1975</v>
      </c>
      <c r="J2259" s="1334" t="s">
        <v>475</v>
      </c>
      <c r="K2259" s="1335" t="s">
        <v>520</v>
      </c>
      <c r="L2259" s="180">
        <v>100</v>
      </c>
      <c r="M2259" t="s">
        <v>68</v>
      </c>
      <c r="N2259" t="str">
        <f t="shared" si="142"/>
        <v>DAVISON DORM (0175)</v>
      </c>
      <c r="O2259" t="s">
        <v>39</v>
      </c>
      <c r="P2259" t="str">
        <f t="shared" si="143"/>
        <v>33000_0175</v>
      </c>
      <c r="Q2259" s="180">
        <v>0</v>
      </c>
    </row>
    <row r="2260" spans="1:17">
      <c r="A2260" t="str">
        <f t="shared" si="140"/>
        <v>FVSU_0180</v>
      </c>
      <c r="B2260" t="str">
        <f t="shared" si="141"/>
        <v>FVSU_BISHOP MASS COMM</v>
      </c>
      <c r="C2260" t="s">
        <v>447</v>
      </c>
      <c r="D2260" s="180" t="s">
        <v>23</v>
      </c>
      <c r="E2260" t="s">
        <v>669</v>
      </c>
      <c r="F2260" t="s">
        <v>4801</v>
      </c>
      <c r="G2260" s="180">
        <v>15773</v>
      </c>
      <c r="H2260">
        <v>1932</v>
      </c>
      <c r="I2260">
        <v>2018</v>
      </c>
      <c r="J2260" s="1334" t="s">
        <v>520</v>
      </c>
      <c r="K2260" s="1335" t="s">
        <v>1520</v>
      </c>
      <c r="L2260" s="180">
        <v>100</v>
      </c>
      <c r="M2260" t="s">
        <v>68</v>
      </c>
      <c r="N2260" t="str">
        <f t="shared" si="142"/>
        <v>BISHOP MASS COMM (0180)</v>
      </c>
      <c r="O2260" t="s">
        <v>39</v>
      </c>
      <c r="P2260" t="str">
        <f t="shared" si="143"/>
        <v>33000_0180</v>
      </c>
      <c r="Q2260" s="180">
        <v>0</v>
      </c>
    </row>
    <row r="2261" spans="1:17">
      <c r="A2261" t="str">
        <f t="shared" si="140"/>
        <v>FVSU_0185</v>
      </c>
      <c r="B2261" t="str">
        <f t="shared" si="141"/>
        <v>FVSU_PATTON ACADEMIC</v>
      </c>
      <c r="C2261" t="s">
        <v>447</v>
      </c>
      <c r="D2261" s="180" t="s">
        <v>23</v>
      </c>
      <c r="E2261" t="s">
        <v>719</v>
      </c>
      <c r="F2261" t="s">
        <v>4877</v>
      </c>
      <c r="G2261" s="180">
        <v>17033</v>
      </c>
      <c r="H2261">
        <v>1937</v>
      </c>
      <c r="I2261">
        <v>1969</v>
      </c>
      <c r="J2261" s="1334" t="s">
        <v>475</v>
      </c>
      <c r="K2261" s="1335" t="s">
        <v>475</v>
      </c>
      <c r="L2261" s="180">
        <v>100</v>
      </c>
      <c r="M2261" t="s">
        <v>68</v>
      </c>
      <c r="N2261" t="str">
        <f t="shared" si="142"/>
        <v>PATTON ACADEMIC (0185)</v>
      </c>
      <c r="O2261" t="s">
        <v>39</v>
      </c>
      <c r="P2261" t="str">
        <f t="shared" si="143"/>
        <v>33000_0185</v>
      </c>
      <c r="Q2261" s="180">
        <v>0</v>
      </c>
    </row>
    <row r="2262" spans="1:17">
      <c r="A2262" t="str">
        <f t="shared" si="140"/>
        <v>FVSU_0190</v>
      </c>
      <c r="B2262" t="str">
        <f t="shared" si="141"/>
        <v>FVSU_HUNTINGTON ADMIN</v>
      </c>
      <c r="C2262" t="s">
        <v>447</v>
      </c>
      <c r="D2262" s="180" t="s">
        <v>23</v>
      </c>
      <c r="E2262" t="s">
        <v>767</v>
      </c>
      <c r="F2262" t="s">
        <v>4872</v>
      </c>
      <c r="G2262" s="180">
        <v>15916</v>
      </c>
      <c r="H2262">
        <v>1908</v>
      </c>
      <c r="I2262">
        <v>1974</v>
      </c>
      <c r="J2262" s="1334" t="s">
        <v>520</v>
      </c>
      <c r="K2262" s="1335" t="s">
        <v>475</v>
      </c>
      <c r="L2262" s="180">
        <v>100</v>
      </c>
      <c r="M2262" t="s">
        <v>68</v>
      </c>
      <c r="N2262" t="str">
        <f t="shared" si="142"/>
        <v>HUNTINGTON ADMIN (0190)</v>
      </c>
      <c r="O2262" t="s">
        <v>39</v>
      </c>
      <c r="P2262" t="str">
        <f t="shared" si="143"/>
        <v>33000_0190</v>
      </c>
      <c r="Q2262" s="180">
        <v>0</v>
      </c>
    </row>
    <row r="2263" spans="1:17">
      <c r="A2263" t="str">
        <f t="shared" si="140"/>
        <v>FVSU_0195</v>
      </c>
      <c r="B2263" t="str">
        <f t="shared" si="141"/>
        <v>FVSU_PRINT SHOP</v>
      </c>
      <c r="C2263" t="s">
        <v>447</v>
      </c>
      <c r="D2263" s="180" t="s">
        <v>23</v>
      </c>
      <c r="E2263" t="s">
        <v>828</v>
      </c>
      <c r="F2263" t="s">
        <v>4764</v>
      </c>
      <c r="G2263" s="180">
        <v>8335</v>
      </c>
      <c r="H2263">
        <v>1991</v>
      </c>
      <c r="J2263" s="1334" t="s">
        <v>475</v>
      </c>
      <c r="K2263" s="1335" t="s">
        <v>475</v>
      </c>
      <c r="L2263" s="180">
        <v>100</v>
      </c>
      <c r="M2263" t="s">
        <v>68</v>
      </c>
      <c r="N2263" t="str">
        <f t="shared" si="142"/>
        <v>PRINT SHOP (0195)</v>
      </c>
      <c r="O2263" t="s">
        <v>39</v>
      </c>
      <c r="P2263" t="str">
        <f t="shared" si="143"/>
        <v>33000_0195</v>
      </c>
      <c r="Q2263" s="180">
        <v>0</v>
      </c>
    </row>
    <row r="2264" spans="1:17">
      <c r="A2264" t="str">
        <f t="shared" si="140"/>
        <v>FVSU_0199</v>
      </c>
      <c r="B2264" t="str">
        <f t="shared" si="141"/>
        <v>FVSU_FACULTY HSE UNIV DR</v>
      </c>
      <c r="C2264" t="s">
        <v>447</v>
      </c>
      <c r="D2264" s="180" t="s">
        <v>23</v>
      </c>
      <c r="E2264" t="s">
        <v>648</v>
      </c>
      <c r="F2264" t="s">
        <v>4790</v>
      </c>
      <c r="G2264" s="180">
        <v>2300</v>
      </c>
      <c r="H2264">
        <v>1960</v>
      </c>
      <c r="J2264" s="1334" t="s">
        <v>475</v>
      </c>
      <c r="K2264" s="1335" t="s">
        <v>520</v>
      </c>
      <c r="L2264" s="180">
        <v>0</v>
      </c>
      <c r="M2264" t="s">
        <v>68</v>
      </c>
      <c r="N2264" t="str">
        <f t="shared" si="142"/>
        <v>FACULTY HSE UNIV DR (0199)</v>
      </c>
      <c r="O2264" t="s">
        <v>39</v>
      </c>
      <c r="P2264" t="str">
        <f t="shared" si="143"/>
        <v>33000_0199</v>
      </c>
      <c r="Q2264" s="180">
        <v>0</v>
      </c>
    </row>
    <row r="2265" spans="1:17">
      <c r="A2265" t="str">
        <f t="shared" si="140"/>
        <v>FVSU_0200</v>
      </c>
      <c r="B2265" t="str">
        <f t="shared" si="141"/>
        <v>FVSU_HUBBARD EDUCATION</v>
      </c>
      <c r="C2265" t="s">
        <v>447</v>
      </c>
      <c r="D2265" s="180" t="s">
        <v>23</v>
      </c>
      <c r="E2265" t="s">
        <v>500</v>
      </c>
      <c r="F2265" t="s">
        <v>4924</v>
      </c>
      <c r="G2265" s="180">
        <v>31155</v>
      </c>
      <c r="H2265">
        <v>1957</v>
      </c>
      <c r="I2265">
        <v>1989</v>
      </c>
      <c r="J2265" s="1334" t="s">
        <v>475</v>
      </c>
      <c r="K2265" s="1335" t="s">
        <v>475</v>
      </c>
      <c r="L2265" s="180">
        <v>100</v>
      </c>
      <c r="M2265" t="s">
        <v>68</v>
      </c>
      <c r="N2265" t="str">
        <f t="shared" si="142"/>
        <v>HUBBARD EDUCATION (0200)</v>
      </c>
      <c r="O2265" t="s">
        <v>39</v>
      </c>
      <c r="P2265" t="str">
        <f t="shared" si="143"/>
        <v>33000_0200</v>
      </c>
      <c r="Q2265" s="180">
        <v>0</v>
      </c>
    </row>
    <row r="2266" spans="1:17">
      <c r="A2266" t="str">
        <f t="shared" si="140"/>
        <v>FVSU_0205</v>
      </c>
      <c r="B2266" t="str">
        <f t="shared" si="141"/>
        <v>FVSU_MYERS HOME EC</v>
      </c>
      <c r="C2266" t="s">
        <v>447</v>
      </c>
      <c r="D2266" s="180" t="s">
        <v>23</v>
      </c>
      <c r="E2266" t="s">
        <v>908</v>
      </c>
      <c r="F2266" t="s">
        <v>4841</v>
      </c>
      <c r="G2266" s="180">
        <v>25596</v>
      </c>
      <c r="H2266">
        <v>1966</v>
      </c>
      <c r="J2266" s="1334" t="s">
        <v>475</v>
      </c>
      <c r="K2266" s="1335" t="s">
        <v>475</v>
      </c>
      <c r="L2266" s="180">
        <v>100</v>
      </c>
      <c r="M2266" t="s">
        <v>68</v>
      </c>
      <c r="N2266" t="str">
        <f t="shared" si="142"/>
        <v>MYERS HOME EC (0205)</v>
      </c>
      <c r="O2266" t="s">
        <v>39</v>
      </c>
      <c r="P2266" t="str">
        <f t="shared" si="143"/>
        <v>33000_0205</v>
      </c>
      <c r="Q2266" s="180">
        <v>0</v>
      </c>
    </row>
    <row r="2267" spans="1:17">
      <c r="A2267" t="str">
        <f t="shared" si="140"/>
        <v>FVSU_0210</v>
      </c>
      <c r="B2267" t="str">
        <f t="shared" si="141"/>
        <v>FVSU_MILLER HALL</v>
      </c>
      <c r="C2267" t="s">
        <v>447</v>
      </c>
      <c r="D2267" s="180" t="s">
        <v>23</v>
      </c>
      <c r="E2267" t="s">
        <v>521</v>
      </c>
      <c r="F2267" t="s">
        <v>2491</v>
      </c>
      <c r="G2267" s="180">
        <v>35096</v>
      </c>
      <c r="H2267">
        <v>1962</v>
      </c>
      <c r="I2267">
        <v>2012</v>
      </c>
      <c r="J2267" s="1334" t="s">
        <v>520</v>
      </c>
      <c r="K2267" s="1335" t="s">
        <v>475</v>
      </c>
      <c r="L2267" s="180">
        <v>100</v>
      </c>
      <c r="M2267" t="s">
        <v>68</v>
      </c>
      <c r="N2267" t="str">
        <f t="shared" si="142"/>
        <v>MILLER HALL (0210)</v>
      </c>
      <c r="O2267" t="s">
        <v>39</v>
      </c>
      <c r="P2267" t="str">
        <f t="shared" si="143"/>
        <v>33000_0210</v>
      </c>
      <c r="Q2267" s="180">
        <v>0</v>
      </c>
    </row>
    <row r="2268" spans="1:17">
      <c r="A2268" t="str">
        <f t="shared" si="140"/>
        <v>FVSU_0212</v>
      </c>
      <c r="B2268" t="str">
        <f t="shared" si="141"/>
        <v>FVSU_GREENHOUSE</v>
      </c>
      <c r="C2268" t="s">
        <v>447</v>
      </c>
      <c r="D2268" s="180" t="s">
        <v>23</v>
      </c>
      <c r="E2268" t="s">
        <v>825</v>
      </c>
      <c r="F2268" t="s">
        <v>4845</v>
      </c>
      <c r="G2268" s="180">
        <v>240</v>
      </c>
      <c r="H2268">
        <v>1996</v>
      </c>
      <c r="J2268" s="1334" t="s">
        <v>475</v>
      </c>
      <c r="K2268" s="1335" t="s">
        <v>475</v>
      </c>
      <c r="L2268" s="180">
        <v>100</v>
      </c>
      <c r="M2268" t="s">
        <v>68</v>
      </c>
      <c r="N2268" t="str">
        <f t="shared" si="142"/>
        <v>GREENHOUSE (0212)</v>
      </c>
      <c r="O2268" t="s">
        <v>39</v>
      </c>
      <c r="P2268" t="str">
        <f t="shared" si="143"/>
        <v>33000_0212</v>
      </c>
      <c r="Q2268" s="180">
        <v>0</v>
      </c>
    </row>
    <row r="2269" spans="1:17">
      <c r="A2269" t="str">
        <f t="shared" si="140"/>
        <v>FVSU_0213</v>
      </c>
      <c r="B2269" t="str">
        <f t="shared" si="141"/>
        <v>FVSU_GREENHOUSE/WET LAB</v>
      </c>
      <c r="C2269" t="s">
        <v>447</v>
      </c>
      <c r="D2269" s="180" t="s">
        <v>23</v>
      </c>
      <c r="E2269" t="s">
        <v>4891</v>
      </c>
      <c r="F2269" t="s">
        <v>4892</v>
      </c>
      <c r="G2269" s="180">
        <v>1536</v>
      </c>
      <c r="H2269">
        <v>1996</v>
      </c>
      <c r="J2269" s="1334" t="s">
        <v>475</v>
      </c>
      <c r="K2269" s="1335" t="s">
        <v>475</v>
      </c>
      <c r="L2269" s="180">
        <v>100</v>
      </c>
      <c r="M2269" t="s">
        <v>68</v>
      </c>
      <c r="N2269" t="str">
        <f t="shared" si="142"/>
        <v>GREENHOUSE/WET LAB (0213)</v>
      </c>
      <c r="O2269" t="s">
        <v>39</v>
      </c>
      <c r="P2269" t="str">
        <f t="shared" si="143"/>
        <v>33000_0213</v>
      </c>
      <c r="Q2269" s="180">
        <v>0</v>
      </c>
    </row>
    <row r="2270" spans="1:17">
      <c r="A2270" t="str">
        <f t="shared" si="140"/>
        <v>FVSU_0215</v>
      </c>
      <c r="B2270" t="str">
        <f t="shared" si="141"/>
        <v>FVSU_TABOR AGR ACAD</v>
      </c>
      <c r="C2270" t="s">
        <v>447</v>
      </c>
      <c r="D2270" s="180" t="s">
        <v>23</v>
      </c>
      <c r="E2270" t="s">
        <v>523</v>
      </c>
      <c r="F2270" t="s">
        <v>4902</v>
      </c>
      <c r="G2270" s="180">
        <v>23243</v>
      </c>
      <c r="H2270">
        <v>1954</v>
      </c>
      <c r="J2270" s="1334" t="s">
        <v>475</v>
      </c>
      <c r="K2270" s="1335" t="s">
        <v>475</v>
      </c>
      <c r="L2270" s="180">
        <v>100</v>
      </c>
      <c r="M2270" t="s">
        <v>68</v>
      </c>
      <c r="N2270" t="str">
        <f t="shared" si="142"/>
        <v>TABOR AGR ACAD (0215)</v>
      </c>
      <c r="O2270" t="s">
        <v>39</v>
      </c>
      <c r="P2270" t="str">
        <f t="shared" si="143"/>
        <v>33000_0215</v>
      </c>
      <c r="Q2270" s="180">
        <v>0</v>
      </c>
    </row>
    <row r="2271" spans="1:17">
      <c r="A2271" t="str">
        <f t="shared" si="140"/>
        <v>FVSU_0216</v>
      </c>
      <c r="B2271" t="str">
        <f t="shared" si="141"/>
        <v>FVSU_GUARD HOUSE CARVER</v>
      </c>
      <c r="C2271" t="s">
        <v>447</v>
      </c>
      <c r="D2271" s="180" t="s">
        <v>23</v>
      </c>
      <c r="E2271" t="s">
        <v>736</v>
      </c>
      <c r="F2271" t="s">
        <v>4917</v>
      </c>
      <c r="G2271" s="180">
        <v>63</v>
      </c>
      <c r="H2271">
        <v>1991</v>
      </c>
      <c r="J2271" s="1334" t="s">
        <v>475</v>
      </c>
      <c r="K2271" s="1335" t="s">
        <v>475</v>
      </c>
      <c r="L2271" s="180">
        <v>100</v>
      </c>
      <c r="M2271" t="s">
        <v>68</v>
      </c>
      <c r="N2271" t="str">
        <f t="shared" si="142"/>
        <v>GUARD HOUSE CARVER (0216)</v>
      </c>
      <c r="O2271" t="s">
        <v>39</v>
      </c>
      <c r="P2271" t="str">
        <f t="shared" si="143"/>
        <v>33000_0216</v>
      </c>
      <c r="Q2271" s="180">
        <v>0</v>
      </c>
    </row>
    <row r="2272" spans="1:17">
      <c r="A2272" t="str">
        <f t="shared" si="140"/>
        <v>FVSU_0220</v>
      </c>
      <c r="B2272" t="str">
        <f t="shared" si="141"/>
        <v>FVSU_ELLIS AG-MECH ACAD</v>
      </c>
      <c r="C2272" t="s">
        <v>447</v>
      </c>
      <c r="D2272" s="180" t="s">
        <v>23</v>
      </c>
      <c r="E2272" t="s">
        <v>4893</v>
      </c>
      <c r="F2272" t="s">
        <v>4894</v>
      </c>
      <c r="G2272" s="180">
        <v>20424</v>
      </c>
      <c r="H2272">
        <v>1967</v>
      </c>
      <c r="I2272">
        <v>2019</v>
      </c>
      <c r="J2272" s="1334" t="s">
        <v>475</v>
      </c>
      <c r="K2272" s="1335" t="s">
        <v>1520</v>
      </c>
      <c r="L2272" s="180">
        <v>100</v>
      </c>
      <c r="M2272" t="s">
        <v>68</v>
      </c>
      <c r="N2272" t="str">
        <f t="shared" si="142"/>
        <v>ELLIS AG-MECH ACAD (0220)</v>
      </c>
      <c r="O2272" t="s">
        <v>39</v>
      </c>
      <c r="P2272" t="str">
        <f t="shared" si="143"/>
        <v>33000_0220</v>
      </c>
      <c r="Q2272" s="180">
        <v>0</v>
      </c>
    </row>
    <row r="2273" spans="1:17">
      <c r="A2273" t="str">
        <f t="shared" si="140"/>
        <v>FVSU_0225</v>
      </c>
      <c r="B2273" t="str">
        <f t="shared" si="141"/>
        <v>FVSU_WOODWARD GYMNASIUM</v>
      </c>
      <c r="C2273" t="s">
        <v>447</v>
      </c>
      <c r="D2273" s="180" t="s">
        <v>23</v>
      </c>
      <c r="E2273" t="s">
        <v>4846</v>
      </c>
      <c r="F2273" t="s">
        <v>4847</v>
      </c>
      <c r="G2273" s="180">
        <v>59587</v>
      </c>
      <c r="H2273">
        <v>1958</v>
      </c>
      <c r="J2273" s="1334" t="s">
        <v>475</v>
      </c>
      <c r="K2273" s="1335" t="s">
        <v>475</v>
      </c>
      <c r="L2273" s="180">
        <v>100</v>
      </c>
      <c r="M2273" t="s">
        <v>68</v>
      </c>
      <c r="N2273" t="str">
        <f t="shared" si="142"/>
        <v>WOODWARD GYMNASIUM (0225)</v>
      </c>
      <c r="O2273" t="s">
        <v>39</v>
      </c>
      <c r="P2273" t="str">
        <f t="shared" si="143"/>
        <v>33000_0225</v>
      </c>
      <c r="Q2273" s="180">
        <v>0</v>
      </c>
    </row>
    <row r="2274" spans="1:17">
      <c r="A2274" t="str">
        <f t="shared" si="140"/>
        <v>FVSU_0226</v>
      </c>
      <c r="B2274" t="str">
        <f t="shared" si="141"/>
        <v>FVSU_WOODWARD GYMNASIUM ANNEX</v>
      </c>
      <c r="C2274" t="s">
        <v>447</v>
      </c>
      <c r="D2274" s="180" t="s">
        <v>23</v>
      </c>
      <c r="E2274" t="s">
        <v>4858</v>
      </c>
      <c r="F2274" t="s">
        <v>4859</v>
      </c>
      <c r="G2274" s="180">
        <v>4896</v>
      </c>
      <c r="H2274">
        <v>1997</v>
      </c>
      <c r="J2274" s="1334" t="s">
        <v>475</v>
      </c>
      <c r="K2274" s="1335" t="s">
        <v>475</v>
      </c>
      <c r="L2274" s="180">
        <v>100</v>
      </c>
      <c r="M2274" t="s">
        <v>68</v>
      </c>
      <c r="N2274" t="str">
        <f t="shared" si="142"/>
        <v>WOODWARD GYMNASIUM ANNEX (0226)</v>
      </c>
      <c r="O2274" t="s">
        <v>39</v>
      </c>
      <c r="P2274" t="str">
        <f t="shared" si="143"/>
        <v>33000_0226</v>
      </c>
      <c r="Q2274" s="180">
        <v>0</v>
      </c>
    </row>
    <row r="2275" spans="1:17">
      <c r="A2275" t="str">
        <f t="shared" si="140"/>
        <v>FVSU_0240</v>
      </c>
      <c r="B2275" t="str">
        <f t="shared" si="141"/>
        <v>FVSU_BOND ACADEMIC BLDG</v>
      </c>
      <c r="C2275" t="s">
        <v>447</v>
      </c>
      <c r="D2275" s="180" t="s">
        <v>23</v>
      </c>
      <c r="E2275" t="s">
        <v>4860</v>
      </c>
      <c r="F2275" t="s">
        <v>4861</v>
      </c>
      <c r="G2275" s="180">
        <v>41653</v>
      </c>
      <c r="H2275">
        <v>1975</v>
      </c>
      <c r="I2275">
        <v>1998</v>
      </c>
      <c r="J2275" s="1334" t="s">
        <v>475</v>
      </c>
      <c r="K2275" s="1335" t="s">
        <v>475</v>
      </c>
      <c r="L2275" s="180">
        <v>100</v>
      </c>
      <c r="M2275" t="s">
        <v>68</v>
      </c>
      <c r="N2275" t="str">
        <f t="shared" si="142"/>
        <v>BOND ACADEMIC BLDG (0240)</v>
      </c>
      <c r="O2275" t="s">
        <v>39</v>
      </c>
      <c r="P2275" t="str">
        <f t="shared" si="143"/>
        <v>33000_0240</v>
      </c>
      <c r="Q2275" s="180">
        <v>0</v>
      </c>
    </row>
    <row r="2276" spans="1:17">
      <c r="A2276" t="str">
        <f t="shared" si="140"/>
        <v>FVSU_0245</v>
      </c>
      <c r="B2276" t="str">
        <f t="shared" si="141"/>
        <v>FVSU_PETTIGREW CENTER (FCLC)</v>
      </c>
      <c r="C2276" t="s">
        <v>447</v>
      </c>
      <c r="D2276" s="180" t="s">
        <v>23</v>
      </c>
      <c r="E2276" t="s">
        <v>4918</v>
      </c>
      <c r="F2276" t="s">
        <v>4919</v>
      </c>
      <c r="G2276" s="180">
        <v>48000</v>
      </c>
      <c r="H2276">
        <v>1984</v>
      </c>
      <c r="J2276" s="1334" t="s">
        <v>475</v>
      </c>
      <c r="K2276" s="1335" t="s">
        <v>475</v>
      </c>
      <c r="L2276" s="180">
        <v>100</v>
      </c>
      <c r="M2276" t="s">
        <v>68</v>
      </c>
      <c r="N2276" t="str">
        <f t="shared" si="142"/>
        <v>PETTIGREW CENTER (FCLC) (0245)</v>
      </c>
      <c r="O2276" t="s">
        <v>39</v>
      </c>
      <c r="P2276" t="str">
        <f t="shared" si="143"/>
        <v>33000_0245</v>
      </c>
      <c r="Q2276" s="180">
        <v>0</v>
      </c>
    </row>
    <row r="2277" spans="1:17">
      <c r="A2277" t="str">
        <f t="shared" si="140"/>
        <v>FVSU_0280</v>
      </c>
      <c r="B2277" t="str">
        <f t="shared" si="141"/>
        <v>FVSU_FACULTY APT #1</v>
      </c>
      <c r="C2277" t="s">
        <v>447</v>
      </c>
      <c r="D2277" s="180" t="s">
        <v>23</v>
      </c>
      <c r="E2277" t="s">
        <v>2350</v>
      </c>
      <c r="F2277" t="s">
        <v>4849</v>
      </c>
      <c r="G2277" s="180">
        <v>5990</v>
      </c>
      <c r="H2277">
        <v>1969</v>
      </c>
      <c r="J2277" s="1334" t="s">
        <v>475</v>
      </c>
      <c r="K2277" s="1335" t="s">
        <v>475</v>
      </c>
      <c r="L2277" s="180">
        <v>0</v>
      </c>
      <c r="M2277" t="s">
        <v>68</v>
      </c>
      <c r="N2277" t="str">
        <f t="shared" si="142"/>
        <v>FACULTY APT #1 (0280)</v>
      </c>
      <c r="O2277" t="s">
        <v>39</v>
      </c>
      <c r="P2277" t="str">
        <f t="shared" si="143"/>
        <v>33000_0280</v>
      </c>
      <c r="Q2277" s="180">
        <v>0</v>
      </c>
    </row>
    <row r="2278" spans="1:17">
      <c r="A2278" t="str">
        <f t="shared" si="140"/>
        <v>FVSU_0285</v>
      </c>
      <c r="B2278" t="str">
        <f t="shared" si="141"/>
        <v>FVSU_FACULTY APT #2</v>
      </c>
      <c r="C2278" t="s">
        <v>447</v>
      </c>
      <c r="D2278" s="180" t="s">
        <v>23</v>
      </c>
      <c r="E2278" t="s">
        <v>4903</v>
      </c>
      <c r="F2278" t="s">
        <v>4904</v>
      </c>
      <c r="G2278" s="180">
        <v>4634</v>
      </c>
      <c r="H2278">
        <v>1969</v>
      </c>
      <c r="J2278" s="1334" t="s">
        <v>475</v>
      </c>
      <c r="K2278" s="1335" t="s">
        <v>475</v>
      </c>
      <c r="L2278" s="180">
        <v>0</v>
      </c>
      <c r="M2278" t="s">
        <v>68</v>
      </c>
      <c r="N2278" t="str">
        <f t="shared" si="142"/>
        <v>FACULTY APT #2 (0285)</v>
      </c>
      <c r="O2278" t="s">
        <v>39</v>
      </c>
      <c r="P2278" t="str">
        <f t="shared" si="143"/>
        <v>33000_0285</v>
      </c>
      <c r="Q2278" s="180">
        <v>0</v>
      </c>
    </row>
    <row r="2279" spans="1:17">
      <c r="A2279" t="str">
        <f t="shared" si="140"/>
        <v>FVSU_0300</v>
      </c>
      <c r="B2279" t="str">
        <f t="shared" si="141"/>
        <v>FVSU_STALLWORTH RSCH</v>
      </c>
      <c r="C2279" t="s">
        <v>447</v>
      </c>
      <c r="D2279" s="180" t="s">
        <v>23</v>
      </c>
      <c r="E2279" t="s">
        <v>4862</v>
      </c>
      <c r="F2279" t="s">
        <v>4863</v>
      </c>
      <c r="G2279" s="180">
        <v>23650</v>
      </c>
      <c r="H2279">
        <v>1983</v>
      </c>
      <c r="J2279" s="1334" t="s">
        <v>475</v>
      </c>
      <c r="K2279" s="1335" t="s">
        <v>475</v>
      </c>
      <c r="L2279" s="180">
        <v>100</v>
      </c>
      <c r="M2279" t="s">
        <v>68</v>
      </c>
      <c r="N2279" t="str">
        <f t="shared" si="142"/>
        <v>STALLWORTH RSCH (0300)</v>
      </c>
      <c r="O2279" t="s">
        <v>39</v>
      </c>
      <c r="P2279" t="str">
        <f t="shared" si="143"/>
        <v>33000_0300</v>
      </c>
      <c r="Q2279" s="180">
        <v>0</v>
      </c>
    </row>
    <row r="2280" spans="1:17">
      <c r="A2280" t="str">
        <f t="shared" si="140"/>
        <v>FVSU_0302</v>
      </c>
      <c r="B2280" t="str">
        <f t="shared" si="141"/>
        <v>FVSU_CHEMICAL STORAGE</v>
      </c>
      <c r="C2280" t="s">
        <v>447</v>
      </c>
      <c r="D2280" s="180" t="s">
        <v>23</v>
      </c>
      <c r="E2280" t="s">
        <v>4905</v>
      </c>
      <c r="F2280" t="s">
        <v>2067</v>
      </c>
      <c r="G2280" s="180">
        <v>240</v>
      </c>
      <c r="H2280">
        <v>1983</v>
      </c>
      <c r="J2280" s="1334" t="s">
        <v>475</v>
      </c>
      <c r="K2280" s="1335" t="s">
        <v>475</v>
      </c>
      <c r="L2280" s="180">
        <v>100</v>
      </c>
      <c r="M2280" t="s">
        <v>68</v>
      </c>
      <c r="N2280" t="str">
        <f t="shared" si="142"/>
        <v>CHEMICAL STORAGE (0302)</v>
      </c>
      <c r="O2280" t="s">
        <v>39</v>
      </c>
      <c r="P2280" t="str">
        <f t="shared" si="143"/>
        <v>33000_0302</v>
      </c>
      <c r="Q2280" s="180">
        <v>0</v>
      </c>
    </row>
    <row r="2281" spans="1:17">
      <c r="A2281" t="str">
        <f t="shared" si="140"/>
        <v>FVSU_0305</v>
      </c>
      <c r="B2281" t="str">
        <f t="shared" si="141"/>
        <v>FVSU_STORAGE SHED-MAINT</v>
      </c>
      <c r="C2281" t="s">
        <v>447</v>
      </c>
      <c r="D2281" s="180" t="s">
        <v>23</v>
      </c>
      <c r="E2281" t="s">
        <v>4792</v>
      </c>
      <c r="F2281" t="s">
        <v>4793</v>
      </c>
      <c r="G2281" s="180">
        <v>4590</v>
      </c>
      <c r="H2281">
        <v>1975</v>
      </c>
      <c r="J2281" s="1334" t="s">
        <v>475</v>
      </c>
      <c r="K2281" s="1335" t="s">
        <v>475</v>
      </c>
      <c r="L2281" s="180">
        <v>100</v>
      </c>
      <c r="M2281" t="s">
        <v>68</v>
      </c>
      <c r="N2281" t="str">
        <f t="shared" si="142"/>
        <v>STORAGE SHED-MAINT (0305)</v>
      </c>
      <c r="O2281" t="s">
        <v>39</v>
      </c>
      <c r="P2281" t="str">
        <f t="shared" si="143"/>
        <v>33000_0305</v>
      </c>
      <c r="Q2281" s="180">
        <v>0</v>
      </c>
    </row>
    <row r="2282" spans="1:17">
      <c r="A2282" t="str">
        <f t="shared" si="140"/>
        <v>FVSU_0308</v>
      </c>
      <c r="B2282" t="str">
        <f t="shared" si="141"/>
        <v>FVSU_FLAMMABLE STORAGE</v>
      </c>
      <c r="C2282" t="s">
        <v>447</v>
      </c>
      <c r="D2282" s="180" t="s">
        <v>23</v>
      </c>
      <c r="E2282" t="s">
        <v>4806</v>
      </c>
      <c r="F2282" t="s">
        <v>4807</v>
      </c>
      <c r="G2282" s="180">
        <v>615</v>
      </c>
      <c r="H2282">
        <v>1969</v>
      </c>
      <c r="J2282" s="1334" t="s">
        <v>475</v>
      </c>
      <c r="K2282" s="1335" t="s">
        <v>475</v>
      </c>
      <c r="L2282" s="180">
        <v>100</v>
      </c>
      <c r="M2282" t="s">
        <v>68</v>
      </c>
      <c r="N2282" t="str">
        <f t="shared" si="142"/>
        <v>FLAMMABLE STORAGE (0308)</v>
      </c>
      <c r="O2282" t="s">
        <v>39</v>
      </c>
      <c r="P2282" t="str">
        <f t="shared" si="143"/>
        <v>33000_0308</v>
      </c>
      <c r="Q2282" s="180">
        <v>0</v>
      </c>
    </row>
    <row r="2283" spans="1:17">
      <c r="A2283" t="str">
        <f t="shared" si="140"/>
        <v>FVSU_0310</v>
      </c>
      <c r="B2283" t="str">
        <f t="shared" si="141"/>
        <v>FVSU_WILSON-ROBERTS MNT</v>
      </c>
      <c r="C2283" t="s">
        <v>447</v>
      </c>
      <c r="D2283" s="180" t="s">
        <v>23</v>
      </c>
      <c r="E2283" t="s">
        <v>4804</v>
      </c>
      <c r="F2283" t="s">
        <v>4805</v>
      </c>
      <c r="G2283" s="180">
        <v>20073</v>
      </c>
      <c r="H2283">
        <v>1969</v>
      </c>
      <c r="I2283">
        <v>1979</v>
      </c>
      <c r="J2283" s="1334" t="s">
        <v>475</v>
      </c>
      <c r="K2283" s="1335" t="s">
        <v>475</v>
      </c>
      <c r="L2283" s="180">
        <v>100</v>
      </c>
      <c r="M2283" t="s">
        <v>68</v>
      </c>
      <c r="N2283" t="str">
        <f t="shared" si="142"/>
        <v>WILSON-ROBERTS MNT (0310)</v>
      </c>
      <c r="O2283" t="s">
        <v>39</v>
      </c>
      <c r="P2283" t="str">
        <f t="shared" si="143"/>
        <v>33000_0310</v>
      </c>
      <c r="Q2283" s="180">
        <v>0</v>
      </c>
    </row>
    <row r="2284" spans="1:17">
      <c r="A2284" t="str">
        <f t="shared" si="140"/>
        <v>FVSU_0320</v>
      </c>
      <c r="B2284" t="str">
        <f t="shared" si="141"/>
        <v>FVSU_ONEAL VET TECH BLD</v>
      </c>
      <c r="C2284" t="s">
        <v>447</v>
      </c>
      <c r="D2284" s="180" t="s">
        <v>23</v>
      </c>
      <c r="E2284" t="s">
        <v>4925</v>
      </c>
      <c r="F2284" t="s">
        <v>4926</v>
      </c>
      <c r="G2284" s="180">
        <v>19200</v>
      </c>
      <c r="H2284">
        <v>1977</v>
      </c>
      <c r="J2284" s="1334" t="s">
        <v>475</v>
      </c>
      <c r="K2284" s="1335" t="s">
        <v>475</v>
      </c>
      <c r="L2284" s="180">
        <v>100</v>
      </c>
      <c r="M2284" t="s">
        <v>68</v>
      </c>
      <c r="N2284" t="str">
        <f t="shared" si="142"/>
        <v>ONEAL VET TECH BLD (0320)</v>
      </c>
      <c r="O2284" t="s">
        <v>39</v>
      </c>
      <c r="P2284" t="str">
        <f t="shared" si="143"/>
        <v>33000_0320</v>
      </c>
      <c r="Q2284" s="180">
        <v>0</v>
      </c>
    </row>
    <row r="2285" spans="1:17">
      <c r="A2285" t="str">
        <f t="shared" si="140"/>
        <v>FVSU_0330</v>
      </c>
      <c r="B2285" t="str">
        <f t="shared" si="141"/>
        <v>FVSU_POULTRY RESEARCH</v>
      </c>
      <c r="C2285" t="s">
        <v>447</v>
      </c>
      <c r="D2285" s="180" t="s">
        <v>23</v>
      </c>
      <c r="E2285" t="s">
        <v>4776</v>
      </c>
      <c r="F2285" t="s">
        <v>4777</v>
      </c>
      <c r="G2285" s="180">
        <v>2225</v>
      </c>
      <c r="H2285">
        <v>1974</v>
      </c>
      <c r="J2285" s="1334" t="s">
        <v>475</v>
      </c>
      <c r="K2285" s="1335" t="s">
        <v>475</v>
      </c>
      <c r="L2285" s="180">
        <v>100</v>
      </c>
      <c r="M2285" t="s">
        <v>68</v>
      </c>
      <c r="N2285" t="str">
        <f t="shared" si="142"/>
        <v>POULTRY RESEARCH (0330)</v>
      </c>
      <c r="O2285" t="s">
        <v>39</v>
      </c>
      <c r="P2285" t="str">
        <f t="shared" si="143"/>
        <v>33000_0330</v>
      </c>
      <c r="Q2285" s="180">
        <v>0</v>
      </c>
    </row>
    <row r="2286" spans="1:17">
      <c r="A2286" t="str">
        <f t="shared" si="140"/>
        <v>FVSU_0335</v>
      </c>
      <c r="B2286" t="str">
        <f t="shared" si="141"/>
        <v>FVSU_POULTRY RES ANNEX</v>
      </c>
      <c r="C2286" t="s">
        <v>447</v>
      </c>
      <c r="D2286" s="180" t="s">
        <v>23</v>
      </c>
      <c r="E2286" t="s">
        <v>4836</v>
      </c>
      <c r="F2286" t="s">
        <v>4837</v>
      </c>
      <c r="G2286" s="180">
        <v>1020</v>
      </c>
      <c r="H2286">
        <v>1980</v>
      </c>
      <c r="J2286" s="1334" t="s">
        <v>475</v>
      </c>
      <c r="K2286" s="1335" t="s">
        <v>475</v>
      </c>
      <c r="L2286" s="180">
        <v>100</v>
      </c>
      <c r="M2286" t="s">
        <v>68</v>
      </c>
      <c r="N2286" t="str">
        <f t="shared" si="142"/>
        <v>POULTRY RES ANNEX (0335)</v>
      </c>
      <c r="O2286" t="s">
        <v>39</v>
      </c>
      <c r="P2286" t="str">
        <f t="shared" si="143"/>
        <v>33000_0335</v>
      </c>
      <c r="Q2286" s="180">
        <v>0</v>
      </c>
    </row>
    <row r="2287" spans="1:17">
      <c r="A2287" t="str">
        <f t="shared" si="140"/>
        <v>FVSU_0340</v>
      </c>
      <c r="B2287" t="str">
        <f t="shared" si="141"/>
        <v>FVSU_PLANT SCI STORAGE</v>
      </c>
      <c r="C2287" t="s">
        <v>447</v>
      </c>
      <c r="D2287" s="180" t="s">
        <v>23</v>
      </c>
      <c r="E2287" t="s">
        <v>4799</v>
      </c>
      <c r="F2287" t="s">
        <v>4800</v>
      </c>
      <c r="G2287" s="180">
        <v>4360</v>
      </c>
      <c r="H2287">
        <v>1982</v>
      </c>
      <c r="J2287" s="1334" t="s">
        <v>475</v>
      </c>
      <c r="K2287" s="1335" t="s">
        <v>475</v>
      </c>
      <c r="L2287" s="180">
        <v>100</v>
      </c>
      <c r="M2287" t="s">
        <v>68</v>
      </c>
      <c r="N2287" t="str">
        <f t="shared" si="142"/>
        <v>PLANT SCI STORAGE (0340)</v>
      </c>
      <c r="O2287" t="s">
        <v>39</v>
      </c>
      <c r="P2287" t="str">
        <f t="shared" si="143"/>
        <v>33000_0340</v>
      </c>
      <c r="Q2287" s="180">
        <v>0</v>
      </c>
    </row>
    <row r="2288" spans="1:17">
      <c r="A2288" t="str">
        <f t="shared" si="140"/>
        <v>FVSU_0350</v>
      </c>
      <c r="B2288" t="str">
        <f t="shared" si="141"/>
        <v>FVSU_HEADHOUSE #1</v>
      </c>
      <c r="C2288" t="s">
        <v>447</v>
      </c>
      <c r="D2288" s="180" t="s">
        <v>23</v>
      </c>
      <c r="E2288" t="s">
        <v>4808</v>
      </c>
      <c r="F2288" t="s">
        <v>4809</v>
      </c>
      <c r="G2288" s="180">
        <v>3470</v>
      </c>
      <c r="H2288">
        <v>1982</v>
      </c>
      <c r="J2288" s="1334" t="s">
        <v>475</v>
      </c>
      <c r="K2288" s="1335" t="s">
        <v>475</v>
      </c>
      <c r="L2288" s="180">
        <v>100</v>
      </c>
      <c r="M2288" t="s">
        <v>68</v>
      </c>
      <c r="N2288" t="str">
        <f t="shared" si="142"/>
        <v>HEADHOUSE #1 (0350)</v>
      </c>
      <c r="O2288" t="s">
        <v>39</v>
      </c>
      <c r="P2288" t="str">
        <f t="shared" si="143"/>
        <v>33000_0350</v>
      </c>
      <c r="Q2288" s="180">
        <v>0</v>
      </c>
    </row>
    <row r="2289" spans="1:17">
      <c r="A2289" t="str">
        <f t="shared" si="140"/>
        <v>FVSU_0351</v>
      </c>
      <c r="B2289" t="str">
        <f t="shared" si="141"/>
        <v>FVSU_RES GREENHOUSE #1</v>
      </c>
      <c r="C2289" t="s">
        <v>447</v>
      </c>
      <c r="D2289" s="180" t="s">
        <v>23</v>
      </c>
      <c r="E2289" t="s">
        <v>4815</v>
      </c>
      <c r="F2289" t="s">
        <v>4816</v>
      </c>
      <c r="G2289" s="180">
        <v>4830</v>
      </c>
      <c r="H2289">
        <v>1978</v>
      </c>
      <c r="J2289" s="1334" t="s">
        <v>475</v>
      </c>
      <c r="K2289" s="1335" t="s">
        <v>475</v>
      </c>
      <c r="L2289" s="180">
        <v>100</v>
      </c>
      <c r="M2289" t="s">
        <v>68</v>
      </c>
      <c r="N2289" t="str">
        <f t="shared" si="142"/>
        <v>RES GREENHOUSE #1 (0351)</v>
      </c>
      <c r="O2289" t="s">
        <v>39</v>
      </c>
      <c r="P2289" t="str">
        <f t="shared" si="143"/>
        <v>33000_0351</v>
      </c>
      <c r="Q2289" s="180">
        <v>0</v>
      </c>
    </row>
    <row r="2290" spans="1:17">
      <c r="A2290" t="str">
        <f t="shared" si="140"/>
        <v>FVSU_0352</v>
      </c>
      <c r="B2290" t="str">
        <f t="shared" si="141"/>
        <v>FVSU_RES GREENHOUSE #2</v>
      </c>
      <c r="C2290" t="s">
        <v>447</v>
      </c>
      <c r="D2290" s="180" t="s">
        <v>23</v>
      </c>
      <c r="E2290" t="s">
        <v>4825</v>
      </c>
      <c r="F2290" t="s">
        <v>4826</v>
      </c>
      <c r="G2290" s="180">
        <v>4830</v>
      </c>
      <c r="H2290">
        <v>1978</v>
      </c>
      <c r="J2290" s="1334" t="s">
        <v>475</v>
      </c>
      <c r="K2290" s="1335" t="s">
        <v>475</v>
      </c>
      <c r="L2290" s="180">
        <v>100</v>
      </c>
      <c r="M2290" t="s">
        <v>68</v>
      </c>
      <c r="N2290" t="str">
        <f t="shared" si="142"/>
        <v>RES GREENHOUSE #2 (0352)</v>
      </c>
      <c r="O2290" t="s">
        <v>39</v>
      </c>
      <c r="P2290" t="str">
        <f t="shared" si="143"/>
        <v>33000_0352</v>
      </c>
      <c r="Q2290" s="180">
        <v>0</v>
      </c>
    </row>
    <row r="2291" spans="1:17">
      <c r="A2291" t="str">
        <f t="shared" si="140"/>
        <v>FVSU_0355</v>
      </c>
      <c r="B2291" t="str">
        <f t="shared" si="141"/>
        <v>FVSU_RES GREENHOUSE #3</v>
      </c>
      <c r="C2291" t="s">
        <v>447</v>
      </c>
      <c r="D2291" s="180" t="s">
        <v>23</v>
      </c>
      <c r="E2291" t="s">
        <v>4915</v>
      </c>
      <c r="F2291" t="s">
        <v>4916</v>
      </c>
      <c r="G2291" s="180">
        <v>5625</v>
      </c>
      <c r="H2291">
        <v>1980</v>
      </c>
      <c r="J2291" s="1334" t="s">
        <v>475</v>
      </c>
      <c r="K2291" s="1335" t="s">
        <v>475</v>
      </c>
      <c r="L2291" s="180">
        <v>100</v>
      </c>
      <c r="M2291" t="s">
        <v>68</v>
      </c>
      <c r="N2291" t="str">
        <f t="shared" si="142"/>
        <v>RES GREENHOUSE #3 (0355)</v>
      </c>
      <c r="O2291" t="s">
        <v>39</v>
      </c>
      <c r="P2291" t="str">
        <f t="shared" si="143"/>
        <v>33000_0355</v>
      </c>
      <c r="Q2291" s="180">
        <v>0</v>
      </c>
    </row>
    <row r="2292" spans="1:17">
      <c r="A2292" t="str">
        <f t="shared" si="140"/>
        <v>FVSU_0360</v>
      </c>
      <c r="B2292" t="str">
        <f t="shared" si="141"/>
        <v>FVSU_HEADHOUSE #2</v>
      </c>
      <c r="C2292" t="s">
        <v>447</v>
      </c>
      <c r="D2292" s="180" t="s">
        <v>23</v>
      </c>
      <c r="E2292" t="s">
        <v>4770</v>
      </c>
      <c r="F2292" t="s">
        <v>4771</v>
      </c>
      <c r="G2292" s="180">
        <v>3470</v>
      </c>
      <c r="H2292">
        <v>1982</v>
      </c>
      <c r="J2292" s="1334" t="s">
        <v>475</v>
      </c>
      <c r="K2292" s="1335" t="s">
        <v>475</v>
      </c>
      <c r="L2292" s="180">
        <v>100</v>
      </c>
      <c r="M2292" t="s">
        <v>68</v>
      </c>
      <c r="N2292" t="str">
        <f t="shared" si="142"/>
        <v>HEADHOUSE #2 (0360)</v>
      </c>
      <c r="O2292" t="s">
        <v>39</v>
      </c>
      <c r="P2292" t="str">
        <f t="shared" si="143"/>
        <v>33000_0360</v>
      </c>
      <c r="Q2292" s="180">
        <v>0</v>
      </c>
    </row>
    <row r="2293" spans="1:17">
      <c r="A2293" t="str">
        <f t="shared" si="140"/>
        <v>FVSU_0361</v>
      </c>
      <c r="B2293" t="str">
        <f t="shared" si="141"/>
        <v>FVSU_RES GREENHOUSE #4</v>
      </c>
      <c r="C2293" t="s">
        <v>447</v>
      </c>
      <c r="D2293" s="180" t="s">
        <v>23</v>
      </c>
      <c r="E2293" t="s">
        <v>4906</v>
      </c>
      <c r="F2293" t="s">
        <v>4907</v>
      </c>
      <c r="G2293" s="180">
        <v>4800</v>
      </c>
      <c r="H2293">
        <v>1982</v>
      </c>
      <c r="J2293" s="1334" t="s">
        <v>475</v>
      </c>
      <c r="K2293" s="1335" t="s">
        <v>475</v>
      </c>
      <c r="L2293" s="180">
        <v>100</v>
      </c>
      <c r="M2293" t="s">
        <v>68</v>
      </c>
      <c r="N2293" t="str">
        <f t="shared" si="142"/>
        <v>RES GREENHOUSE #4 (0361)</v>
      </c>
      <c r="O2293" t="s">
        <v>39</v>
      </c>
      <c r="P2293" t="str">
        <f t="shared" si="143"/>
        <v>33000_0361</v>
      </c>
      <c r="Q2293" s="180">
        <v>0</v>
      </c>
    </row>
    <row r="2294" spans="1:17">
      <c r="A2294" t="str">
        <f t="shared" si="140"/>
        <v>FVSU_0362</v>
      </c>
      <c r="B2294" t="str">
        <f t="shared" si="141"/>
        <v>FVSU_RES GREENHOUSE #5</v>
      </c>
      <c r="C2294" t="s">
        <v>447</v>
      </c>
      <c r="D2294" s="180" t="s">
        <v>23</v>
      </c>
      <c r="E2294" t="s">
        <v>4864</v>
      </c>
      <c r="F2294" t="s">
        <v>4865</v>
      </c>
      <c r="G2294" s="180">
        <v>1922</v>
      </c>
      <c r="H2294">
        <v>1982</v>
      </c>
      <c r="J2294" s="1334" t="s">
        <v>475</v>
      </c>
      <c r="K2294" s="1335" t="s">
        <v>475</v>
      </c>
      <c r="L2294" s="180">
        <v>100</v>
      </c>
      <c r="M2294" t="s">
        <v>68</v>
      </c>
      <c r="N2294" t="str">
        <f t="shared" si="142"/>
        <v>RES GREENHOUSE #5 (0362)</v>
      </c>
      <c r="O2294" t="s">
        <v>39</v>
      </c>
      <c r="P2294" t="str">
        <f t="shared" si="143"/>
        <v>33000_0362</v>
      </c>
      <c r="Q2294" s="180">
        <v>0</v>
      </c>
    </row>
    <row r="2295" spans="1:17">
      <c r="A2295" t="str">
        <f t="shared" si="140"/>
        <v>FVSU_0363</v>
      </c>
      <c r="B2295" t="str">
        <f t="shared" si="141"/>
        <v>FVSU_TROPICAL FRUIT GREENHOUSE</v>
      </c>
      <c r="C2295" t="s">
        <v>447</v>
      </c>
      <c r="D2295" s="180" t="s">
        <v>23</v>
      </c>
      <c r="E2295" t="s">
        <v>5224</v>
      </c>
      <c r="F2295" t="s">
        <v>7079</v>
      </c>
      <c r="G2295" s="180">
        <v>10080</v>
      </c>
      <c r="H2295">
        <v>1990</v>
      </c>
      <c r="J2295" s="1334" t="s">
        <v>475</v>
      </c>
      <c r="K2295" s="1335" t="s">
        <v>475</v>
      </c>
      <c r="L2295" s="180">
        <v>100</v>
      </c>
      <c r="M2295" t="s">
        <v>68</v>
      </c>
      <c r="N2295" t="str">
        <f t="shared" si="142"/>
        <v>TROPICAL FRUIT GREENHOUSE (0363)</v>
      </c>
      <c r="O2295" t="s">
        <v>39</v>
      </c>
      <c r="P2295" t="str">
        <f t="shared" si="143"/>
        <v>33000_0363</v>
      </c>
      <c r="Q2295" s="180">
        <v>0</v>
      </c>
    </row>
    <row r="2296" spans="1:17">
      <c r="A2296" t="str">
        <f t="shared" si="140"/>
        <v>FVSU_0370</v>
      </c>
      <c r="B2296" t="str">
        <f t="shared" si="141"/>
        <v>FVSU_RES GREENHOUSE #6</v>
      </c>
      <c r="C2296" t="s">
        <v>447</v>
      </c>
      <c r="D2296" s="180" t="s">
        <v>23</v>
      </c>
      <c r="E2296" t="s">
        <v>4802</v>
      </c>
      <c r="F2296" t="s">
        <v>4803</v>
      </c>
      <c r="G2296" s="180">
        <v>1922</v>
      </c>
      <c r="H2296">
        <v>1978</v>
      </c>
      <c r="J2296" s="1334" t="s">
        <v>475</v>
      </c>
      <c r="K2296" s="1335" t="s">
        <v>475</v>
      </c>
      <c r="L2296" s="180">
        <v>100</v>
      </c>
      <c r="M2296" t="s">
        <v>68</v>
      </c>
      <c r="N2296" t="str">
        <f t="shared" si="142"/>
        <v>RES GREENHOUSE #6 (0370)</v>
      </c>
      <c r="O2296" t="s">
        <v>39</v>
      </c>
      <c r="P2296" t="str">
        <f t="shared" si="143"/>
        <v>33000_0370</v>
      </c>
      <c r="Q2296" s="180">
        <v>0</v>
      </c>
    </row>
    <row r="2297" spans="1:17">
      <c r="A2297" t="str">
        <f t="shared" si="140"/>
        <v>FVSU_0375</v>
      </c>
      <c r="B2297" t="str">
        <f t="shared" si="141"/>
        <v>FVSU_RES GREENHOUSE #7</v>
      </c>
      <c r="C2297" t="s">
        <v>447</v>
      </c>
      <c r="D2297" s="180" t="s">
        <v>23</v>
      </c>
      <c r="E2297" t="s">
        <v>4930</v>
      </c>
      <c r="F2297" t="s">
        <v>4931</v>
      </c>
      <c r="G2297" s="180">
        <v>2356</v>
      </c>
      <c r="H2297">
        <v>1984</v>
      </c>
      <c r="J2297" s="1334" t="s">
        <v>475</v>
      </c>
      <c r="K2297" s="1335" t="s">
        <v>475</v>
      </c>
      <c r="L2297" s="180">
        <v>100</v>
      </c>
      <c r="M2297" t="s">
        <v>68</v>
      </c>
      <c r="N2297" t="str">
        <f t="shared" si="142"/>
        <v>RES GREENHOUSE #7 (0375)</v>
      </c>
      <c r="O2297" t="s">
        <v>39</v>
      </c>
      <c r="P2297" t="str">
        <f t="shared" si="143"/>
        <v>33000_0375</v>
      </c>
      <c r="Q2297" s="180">
        <v>0</v>
      </c>
    </row>
    <row r="2298" spans="1:17">
      <c r="A2298" t="str">
        <f t="shared" si="140"/>
        <v>FVSU_0380</v>
      </c>
      <c r="B2298" t="str">
        <f t="shared" si="141"/>
        <v>FVSU_RES GREENHOUSE #8</v>
      </c>
      <c r="C2298" t="s">
        <v>447</v>
      </c>
      <c r="D2298" s="180" t="s">
        <v>23</v>
      </c>
      <c r="E2298" t="s">
        <v>4842</v>
      </c>
      <c r="F2298" t="s">
        <v>4843</v>
      </c>
      <c r="G2298" s="180">
        <v>2356</v>
      </c>
      <c r="H2298">
        <v>1984</v>
      </c>
      <c r="J2298" s="1334" t="s">
        <v>475</v>
      </c>
      <c r="K2298" s="1335" t="s">
        <v>475</v>
      </c>
      <c r="L2298" s="180">
        <v>100</v>
      </c>
      <c r="M2298" t="s">
        <v>68</v>
      </c>
      <c r="N2298" t="str">
        <f t="shared" si="142"/>
        <v>RES GREENHOUSE #8 (0380)</v>
      </c>
      <c r="O2298" t="s">
        <v>39</v>
      </c>
      <c r="P2298" t="str">
        <f t="shared" si="143"/>
        <v>33000_0380</v>
      </c>
      <c r="Q2298" s="180">
        <v>0</v>
      </c>
    </row>
    <row r="2299" spans="1:17">
      <c r="A2299" t="str">
        <f t="shared" si="140"/>
        <v>FVSU_0385</v>
      </c>
      <c r="B2299" t="str">
        <f t="shared" si="141"/>
        <v>FVSU_IMPLEMENT SHED #2</v>
      </c>
      <c r="C2299" t="s">
        <v>447</v>
      </c>
      <c r="D2299" s="180" t="s">
        <v>23</v>
      </c>
      <c r="E2299" t="s">
        <v>4828</v>
      </c>
      <c r="F2299" t="s">
        <v>4829</v>
      </c>
      <c r="G2299" s="180">
        <v>9000</v>
      </c>
      <c r="H2299">
        <v>1980</v>
      </c>
      <c r="J2299" s="1334" t="s">
        <v>475</v>
      </c>
      <c r="K2299" s="1335" t="s">
        <v>475</v>
      </c>
      <c r="L2299" s="180">
        <v>100</v>
      </c>
      <c r="M2299" t="s">
        <v>68</v>
      </c>
      <c r="N2299" t="str">
        <f t="shared" si="142"/>
        <v>IMPLEMENT SHED #2 (0385)</v>
      </c>
      <c r="O2299" t="s">
        <v>39</v>
      </c>
      <c r="P2299" t="str">
        <f t="shared" si="143"/>
        <v>33000_0385</v>
      </c>
      <c r="Q2299" s="180">
        <v>0</v>
      </c>
    </row>
    <row r="2300" spans="1:17">
      <c r="A2300" t="str">
        <f t="shared" si="140"/>
        <v>FVSU_0387</v>
      </c>
      <c r="B2300" t="str">
        <f t="shared" si="141"/>
        <v>FVSU_PUMPHOUSE #2</v>
      </c>
      <c r="C2300" t="s">
        <v>447</v>
      </c>
      <c r="D2300" s="180" t="s">
        <v>23</v>
      </c>
      <c r="E2300" t="s">
        <v>4895</v>
      </c>
      <c r="F2300" t="s">
        <v>4896</v>
      </c>
      <c r="G2300" s="180">
        <v>250</v>
      </c>
      <c r="H2300">
        <v>1953</v>
      </c>
      <c r="J2300" s="1334" t="s">
        <v>475</v>
      </c>
      <c r="K2300" s="1335" t="s">
        <v>475</v>
      </c>
      <c r="L2300" s="180">
        <v>100</v>
      </c>
      <c r="M2300" t="s">
        <v>68</v>
      </c>
      <c r="N2300" t="str">
        <f t="shared" si="142"/>
        <v>PUMPHOUSE #2 (0387)</v>
      </c>
      <c r="O2300" t="s">
        <v>39</v>
      </c>
      <c r="P2300" t="str">
        <f t="shared" si="143"/>
        <v>33000_0387</v>
      </c>
      <c r="Q2300" s="180">
        <v>0</v>
      </c>
    </row>
    <row r="2301" spans="1:17">
      <c r="A2301" t="str">
        <f t="shared" si="140"/>
        <v>FVSU_0390</v>
      </c>
      <c r="B2301" t="str">
        <f t="shared" si="141"/>
        <v>FVSU_IMPLEMENT SHED #1</v>
      </c>
      <c r="C2301" t="s">
        <v>447</v>
      </c>
      <c r="D2301" s="180" t="s">
        <v>23</v>
      </c>
      <c r="E2301" t="s">
        <v>4794</v>
      </c>
      <c r="F2301" t="s">
        <v>4795</v>
      </c>
      <c r="G2301" s="180">
        <v>5950</v>
      </c>
      <c r="H2301">
        <v>1953</v>
      </c>
      <c r="J2301" s="1334" t="s">
        <v>475</v>
      </c>
      <c r="K2301" s="1335" t="s">
        <v>475</v>
      </c>
      <c r="L2301" s="180">
        <v>100</v>
      </c>
      <c r="M2301" t="s">
        <v>68</v>
      </c>
      <c r="N2301" t="str">
        <f t="shared" si="142"/>
        <v>IMPLEMENT SHED #1 (0390)</v>
      </c>
      <c r="O2301" t="s">
        <v>39</v>
      </c>
      <c r="P2301" t="str">
        <f t="shared" si="143"/>
        <v>33000_0390</v>
      </c>
      <c r="Q2301" s="180">
        <v>0</v>
      </c>
    </row>
    <row r="2302" spans="1:17">
      <c r="A2302" t="str">
        <f t="shared" si="140"/>
        <v>FVSU_0395</v>
      </c>
      <c r="B2302" t="str">
        <f t="shared" si="141"/>
        <v>FVSU_PLANT OPS STORAGE</v>
      </c>
      <c r="C2302" t="s">
        <v>447</v>
      </c>
      <c r="D2302" s="180" t="s">
        <v>23</v>
      </c>
      <c r="E2302" t="s">
        <v>4932</v>
      </c>
      <c r="F2302" t="s">
        <v>4933</v>
      </c>
      <c r="G2302" s="180">
        <v>6014</v>
      </c>
      <c r="H2302">
        <v>1956</v>
      </c>
      <c r="I2302">
        <v>1976</v>
      </c>
      <c r="J2302" s="1334" t="s">
        <v>475</v>
      </c>
      <c r="K2302" s="1335" t="s">
        <v>475</v>
      </c>
      <c r="L2302" s="180">
        <v>100</v>
      </c>
      <c r="M2302" t="s">
        <v>68</v>
      </c>
      <c r="N2302" t="str">
        <f t="shared" si="142"/>
        <v>PLANT OPS STORAGE (0395)</v>
      </c>
      <c r="O2302" t="s">
        <v>39</v>
      </c>
      <c r="P2302" t="str">
        <f t="shared" si="143"/>
        <v>33000_0395</v>
      </c>
      <c r="Q2302" s="180">
        <v>0</v>
      </c>
    </row>
    <row r="2303" spans="1:17">
      <c r="A2303" t="str">
        <f t="shared" si="140"/>
        <v>FVSU_0405</v>
      </c>
      <c r="B2303" t="str">
        <f t="shared" si="141"/>
        <v>FVSU_RABBIT RESEARCH</v>
      </c>
      <c r="C2303" t="s">
        <v>447</v>
      </c>
      <c r="D2303" s="180" t="s">
        <v>23</v>
      </c>
      <c r="E2303" t="s">
        <v>4866</v>
      </c>
      <c r="F2303" t="s">
        <v>4867</v>
      </c>
      <c r="G2303" s="180">
        <v>3008</v>
      </c>
      <c r="H2303">
        <v>1980</v>
      </c>
      <c r="J2303" s="1334" t="s">
        <v>475</v>
      </c>
      <c r="K2303" s="1335" t="s">
        <v>475</v>
      </c>
      <c r="L2303" s="180">
        <v>100</v>
      </c>
      <c r="M2303" t="s">
        <v>68</v>
      </c>
      <c r="N2303" t="str">
        <f t="shared" si="142"/>
        <v>RABBIT RESEARCH (0405)</v>
      </c>
      <c r="O2303" t="s">
        <v>39</v>
      </c>
      <c r="P2303" t="str">
        <f t="shared" si="143"/>
        <v>33000_0405</v>
      </c>
      <c r="Q2303" s="180">
        <v>0</v>
      </c>
    </row>
    <row r="2304" spans="1:17">
      <c r="A2304" t="str">
        <f t="shared" si="140"/>
        <v>FVSU_0406</v>
      </c>
      <c r="B2304" t="str">
        <f t="shared" si="141"/>
        <v>FVSU_STORAGE SHED #3</v>
      </c>
      <c r="C2304" t="s">
        <v>447</v>
      </c>
      <c r="D2304" s="180" t="s">
        <v>23</v>
      </c>
      <c r="E2304" t="s">
        <v>4881</v>
      </c>
      <c r="F2304" t="s">
        <v>4882</v>
      </c>
      <c r="G2304" s="180">
        <v>8000</v>
      </c>
      <c r="H2304">
        <v>1980</v>
      </c>
      <c r="J2304" s="1334" t="s">
        <v>475</v>
      </c>
      <c r="K2304" s="1335" t="s">
        <v>475</v>
      </c>
      <c r="L2304" s="180">
        <v>100</v>
      </c>
      <c r="M2304" t="s">
        <v>68</v>
      </c>
      <c r="N2304" t="str">
        <f t="shared" si="142"/>
        <v>STORAGE SHED #3 (0406)</v>
      </c>
      <c r="O2304" t="s">
        <v>39</v>
      </c>
      <c r="P2304" t="str">
        <f t="shared" si="143"/>
        <v>33000_0406</v>
      </c>
      <c r="Q2304" s="180">
        <v>0</v>
      </c>
    </row>
    <row r="2305" spans="1:17">
      <c r="A2305" t="str">
        <f t="shared" si="140"/>
        <v>FVSU_0407</v>
      </c>
      <c r="B2305" t="str">
        <f t="shared" si="141"/>
        <v>FVSU_SWEET POTATO SHED</v>
      </c>
      <c r="C2305" t="s">
        <v>447</v>
      </c>
      <c r="D2305" s="180" t="s">
        <v>23</v>
      </c>
      <c r="E2305" t="s">
        <v>4778</v>
      </c>
      <c r="F2305" t="s">
        <v>4779</v>
      </c>
      <c r="G2305" s="180">
        <v>864</v>
      </c>
      <c r="H2305">
        <v>1991</v>
      </c>
      <c r="J2305" s="1334" t="s">
        <v>475</v>
      </c>
      <c r="K2305" s="1335" t="s">
        <v>475</v>
      </c>
      <c r="L2305" s="180">
        <v>100</v>
      </c>
      <c r="M2305" t="s">
        <v>68</v>
      </c>
      <c r="N2305" t="str">
        <f t="shared" si="142"/>
        <v>SWEET POTATO SHED (0407)</v>
      </c>
      <c r="O2305" t="s">
        <v>39</v>
      </c>
      <c r="P2305" t="str">
        <f t="shared" si="143"/>
        <v>33000_0407</v>
      </c>
      <c r="Q2305" s="180">
        <v>0</v>
      </c>
    </row>
    <row r="2306" spans="1:17">
      <c r="A2306" t="str">
        <f t="shared" si="140"/>
        <v>FVSU_0408</v>
      </c>
      <c r="B2306" t="str">
        <f t="shared" si="141"/>
        <v>FVSU_GREENHOUSE AQUACULTURE PONDS</v>
      </c>
      <c r="C2306" t="s">
        <v>447</v>
      </c>
      <c r="D2306" s="180" t="s">
        <v>23</v>
      </c>
      <c r="E2306" t="s">
        <v>7015</v>
      </c>
      <c r="F2306" t="s">
        <v>7080</v>
      </c>
      <c r="G2306" s="180">
        <v>21600</v>
      </c>
      <c r="H2306">
        <v>1999</v>
      </c>
      <c r="J2306" s="1334" t="s">
        <v>475</v>
      </c>
      <c r="K2306" s="1335" t="s">
        <v>475</v>
      </c>
      <c r="L2306" s="180">
        <v>0</v>
      </c>
      <c r="M2306" t="s">
        <v>68</v>
      </c>
      <c r="N2306" t="str">
        <f t="shared" si="142"/>
        <v>GREENHOUSE AQUACULTURE PONDS (0408)</v>
      </c>
      <c r="O2306" t="s">
        <v>39</v>
      </c>
      <c r="P2306" t="str">
        <f t="shared" si="143"/>
        <v>33000_0408</v>
      </c>
      <c r="Q2306" s="180">
        <v>0</v>
      </c>
    </row>
    <row r="2307" spans="1:17">
      <c r="A2307" t="str">
        <f t="shared" ref="A2307:A2370" si="144">_xlfn.CONCAT(D2307,"_",E2307)</f>
        <v>FVSU_0415</v>
      </c>
      <c r="B2307" t="str">
        <f t="shared" ref="B2307:B2370" si="145">_xlfn.CONCAT(D2307,"_",F2307)</f>
        <v>FVSU_SWINE RESEARCH</v>
      </c>
      <c r="C2307" t="s">
        <v>447</v>
      </c>
      <c r="D2307" s="180" t="s">
        <v>23</v>
      </c>
      <c r="E2307" t="s">
        <v>4774</v>
      </c>
      <c r="F2307" t="s">
        <v>3563</v>
      </c>
      <c r="G2307" s="180">
        <v>3884</v>
      </c>
      <c r="H2307">
        <v>1975</v>
      </c>
      <c r="J2307" s="1334" t="s">
        <v>475</v>
      </c>
      <c r="K2307" s="1335" t="s">
        <v>475</v>
      </c>
      <c r="L2307" s="180">
        <v>100</v>
      </c>
      <c r="M2307" t="s">
        <v>68</v>
      </c>
      <c r="N2307" t="str">
        <f t="shared" ref="N2307:N2370" si="146">_xlfn.CONCAT(F2307," (",E2307,")")</f>
        <v>SWINE RESEARCH (0415)</v>
      </c>
      <c r="O2307" t="s">
        <v>39</v>
      </c>
      <c r="P2307" t="str">
        <f t="shared" ref="P2307:P2370" si="147">_xlfn.CONCAT(C2307,"_",E2307)</f>
        <v>33000_0415</v>
      </c>
      <c r="Q2307" s="180">
        <v>0</v>
      </c>
    </row>
    <row r="2308" spans="1:17">
      <c r="A2308" t="str">
        <f t="shared" si="144"/>
        <v>FVSU_0430</v>
      </c>
      <c r="B2308" t="str">
        <f t="shared" si="145"/>
        <v>FVSU_GOAT CENTER ADMIN</v>
      </c>
      <c r="C2308" t="s">
        <v>447</v>
      </c>
      <c r="D2308" s="180" t="s">
        <v>23</v>
      </c>
      <c r="E2308" t="s">
        <v>4878</v>
      </c>
      <c r="F2308" t="s">
        <v>4879</v>
      </c>
      <c r="G2308" s="180">
        <v>1900</v>
      </c>
      <c r="H2308">
        <v>1984</v>
      </c>
      <c r="J2308" s="1334" t="s">
        <v>475</v>
      </c>
      <c r="K2308" s="1335" t="s">
        <v>475</v>
      </c>
      <c r="L2308" s="180">
        <v>100</v>
      </c>
      <c r="M2308" t="s">
        <v>68</v>
      </c>
      <c r="N2308" t="str">
        <f t="shared" si="146"/>
        <v>GOAT CENTER ADMIN (0430)</v>
      </c>
      <c r="O2308" t="s">
        <v>39</v>
      </c>
      <c r="P2308" t="str">
        <f t="shared" si="147"/>
        <v>33000_0430</v>
      </c>
      <c r="Q2308" s="180">
        <v>0</v>
      </c>
    </row>
    <row r="2309" spans="1:17">
      <c r="A2309" t="str">
        <f t="shared" si="144"/>
        <v>FVSU_0435</v>
      </c>
      <c r="B2309" t="str">
        <f t="shared" si="145"/>
        <v>FVSU_KID/YEARLING BARN</v>
      </c>
      <c r="C2309" t="s">
        <v>447</v>
      </c>
      <c r="D2309" s="180" t="s">
        <v>23</v>
      </c>
      <c r="E2309" t="s">
        <v>4765</v>
      </c>
      <c r="F2309" t="s">
        <v>4766</v>
      </c>
      <c r="G2309" s="180">
        <v>6080</v>
      </c>
      <c r="H2309">
        <v>1984</v>
      </c>
      <c r="J2309" s="1334" t="s">
        <v>475</v>
      </c>
      <c r="K2309" s="1335" t="s">
        <v>475</v>
      </c>
      <c r="L2309" s="180">
        <v>100</v>
      </c>
      <c r="M2309" t="s">
        <v>68</v>
      </c>
      <c r="N2309" t="str">
        <f t="shared" si="146"/>
        <v>KID/YEARLING BARN (0435)</v>
      </c>
      <c r="O2309" t="s">
        <v>39</v>
      </c>
      <c r="P2309" t="str">
        <f t="shared" si="147"/>
        <v>33000_0435</v>
      </c>
      <c r="Q2309" s="180">
        <v>0</v>
      </c>
    </row>
    <row r="2310" spans="1:17">
      <c r="A2310" t="str">
        <f t="shared" si="144"/>
        <v>FVSU_0440</v>
      </c>
      <c r="B2310" t="str">
        <f t="shared" si="145"/>
        <v>FVSU_STORAGE BUILDING</v>
      </c>
      <c r="C2310" t="s">
        <v>447</v>
      </c>
      <c r="D2310" s="180" t="s">
        <v>23</v>
      </c>
      <c r="E2310" t="s">
        <v>4767</v>
      </c>
      <c r="F2310" t="s">
        <v>2509</v>
      </c>
      <c r="G2310" s="180">
        <v>1500</v>
      </c>
      <c r="H2310">
        <v>1984</v>
      </c>
      <c r="J2310" s="1334" t="s">
        <v>475</v>
      </c>
      <c r="K2310" s="1335" t="s">
        <v>475</v>
      </c>
      <c r="L2310" s="180">
        <v>100</v>
      </c>
      <c r="M2310" t="s">
        <v>68</v>
      </c>
      <c r="N2310" t="str">
        <f t="shared" si="146"/>
        <v>STORAGE BUILDING (0440)</v>
      </c>
      <c r="O2310" t="s">
        <v>39</v>
      </c>
      <c r="P2310" t="str">
        <f t="shared" si="147"/>
        <v>33000_0440</v>
      </c>
      <c r="Q2310" s="180">
        <v>0</v>
      </c>
    </row>
    <row r="2311" spans="1:17">
      <c r="A2311" t="str">
        <f t="shared" si="144"/>
        <v>FVSU_0441</v>
      </c>
      <c r="B2311" t="str">
        <f t="shared" si="145"/>
        <v>FVSU_STORAGE SHED #4</v>
      </c>
      <c r="C2311" t="s">
        <v>447</v>
      </c>
      <c r="D2311" s="180" t="s">
        <v>23</v>
      </c>
      <c r="E2311" t="s">
        <v>4830</v>
      </c>
      <c r="F2311" t="s">
        <v>4831</v>
      </c>
      <c r="G2311" s="180">
        <v>4000</v>
      </c>
      <c r="H2311">
        <v>1980</v>
      </c>
      <c r="J2311" s="1334" t="s">
        <v>475</v>
      </c>
      <c r="K2311" s="1335" t="s">
        <v>475</v>
      </c>
      <c r="L2311" s="180">
        <v>100</v>
      </c>
      <c r="M2311" t="s">
        <v>68</v>
      </c>
      <c r="N2311" t="str">
        <f t="shared" si="146"/>
        <v>STORAGE SHED #4 (0441)</v>
      </c>
      <c r="O2311" t="s">
        <v>39</v>
      </c>
      <c r="P2311" t="str">
        <f t="shared" si="147"/>
        <v>33000_0441</v>
      </c>
      <c r="Q2311" s="180">
        <v>0</v>
      </c>
    </row>
    <row r="2312" spans="1:17">
      <c r="A2312" t="str">
        <f t="shared" si="144"/>
        <v>FVSU_0445</v>
      </c>
      <c r="B2312" t="str">
        <f t="shared" si="145"/>
        <v>FVSU_BUCK QUARTERS</v>
      </c>
      <c r="C2312" t="s">
        <v>447</v>
      </c>
      <c r="D2312" s="180" t="s">
        <v>23</v>
      </c>
      <c r="E2312" t="s">
        <v>4812</v>
      </c>
      <c r="F2312" t="s">
        <v>4813</v>
      </c>
      <c r="G2312" s="180">
        <v>1000</v>
      </c>
      <c r="H2312">
        <v>1984</v>
      </c>
      <c r="J2312" s="1334" t="s">
        <v>475</v>
      </c>
      <c r="K2312" s="1335" t="s">
        <v>475</v>
      </c>
      <c r="L2312" s="180">
        <v>100</v>
      </c>
      <c r="M2312" t="s">
        <v>68</v>
      </c>
      <c r="N2312" t="str">
        <f t="shared" si="146"/>
        <v>BUCK QUARTERS (0445)</v>
      </c>
      <c r="O2312" t="s">
        <v>39</v>
      </c>
      <c r="P2312" t="str">
        <f t="shared" si="147"/>
        <v>33000_0445</v>
      </c>
      <c r="Q2312" s="180">
        <v>0</v>
      </c>
    </row>
    <row r="2313" spans="1:17">
      <c r="A2313" t="str">
        <f t="shared" si="144"/>
        <v>FVSU_0450</v>
      </c>
      <c r="B2313" t="str">
        <f t="shared" si="145"/>
        <v>FVSU_PHOTO PERIOD BARN</v>
      </c>
      <c r="C2313" t="s">
        <v>447</v>
      </c>
      <c r="D2313" s="180" t="s">
        <v>23</v>
      </c>
      <c r="E2313" t="s">
        <v>4920</v>
      </c>
      <c r="F2313" t="s">
        <v>4921</v>
      </c>
      <c r="G2313" s="180">
        <v>1000</v>
      </c>
      <c r="H2313">
        <v>1984</v>
      </c>
      <c r="J2313" s="1334" t="s">
        <v>475</v>
      </c>
      <c r="K2313" s="1335" t="s">
        <v>475</v>
      </c>
      <c r="L2313" s="180">
        <v>100</v>
      </c>
      <c r="M2313" t="s">
        <v>68</v>
      </c>
      <c r="N2313" t="str">
        <f t="shared" si="146"/>
        <v>PHOTO PERIOD BARN (0450)</v>
      </c>
      <c r="O2313" t="s">
        <v>39</v>
      </c>
      <c r="P2313" t="str">
        <f t="shared" si="147"/>
        <v>33000_0450</v>
      </c>
      <c r="Q2313" s="180">
        <v>0</v>
      </c>
    </row>
    <row r="2314" spans="1:17">
      <c r="A2314" t="str">
        <f t="shared" si="144"/>
        <v>FVSU_0460</v>
      </c>
      <c r="B2314" t="str">
        <f t="shared" si="145"/>
        <v>FVSU_ADULT BARN</v>
      </c>
      <c r="C2314" t="s">
        <v>447</v>
      </c>
      <c r="D2314" s="180" t="s">
        <v>23</v>
      </c>
      <c r="E2314" t="s">
        <v>4850</v>
      </c>
      <c r="F2314" t="s">
        <v>4851</v>
      </c>
      <c r="G2314" s="180">
        <v>6080</v>
      </c>
      <c r="H2314">
        <v>1984</v>
      </c>
      <c r="J2314" s="1334" t="s">
        <v>475</v>
      </c>
      <c r="K2314" s="1335" t="s">
        <v>475</v>
      </c>
      <c r="L2314" s="180">
        <v>100</v>
      </c>
      <c r="M2314" t="s">
        <v>68</v>
      </c>
      <c r="N2314" t="str">
        <f t="shared" si="146"/>
        <v>ADULT BARN (0460)</v>
      </c>
      <c r="O2314" t="s">
        <v>39</v>
      </c>
      <c r="P2314" t="str">
        <f t="shared" si="147"/>
        <v>33000_0460</v>
      </c>
      <c r="Q2314" s="180">
        <v>0</v>
      </c>
    </row>
    <row r="2315" spans="1:17">
      <c r="A2315" t="str">
        <f t="shared" si="144"/>
        <v>FVSU_0465</v>
      </c>
      <c r="B2315" t="str">
        <f t="shared" si="145"/>
        <v>FVSU_FEED PROCESSING</v>
      </c>
      <c r="C2315" t="s">
        <v>447</v>
      </c>
      <c r="D2315" s="180" t="s">
        <v>23</v>
      </c>
      <c r="E2315" t="s">
        <v>4897</v>
      </c>
      <c r="F2315" t="s">
        <v>4898</v>
      </c>
      <c r="G2315" s="180">
        <v>1200</v>
      </c>
      <c r="H2315">
        <v>1984</v>
      </c>
      <c r="J2315" s="1334" t="s">
        <v>475</v>
      </c>
      <c r="K2315" s="1335" t="s">
        <v>475</v>
      </c>
      <c r="L2315" s="180">
        <v>100</v>
      </c>
      <c r="M2315" t="s">
        <v>68</v>
      </c>
      <c r="N2315" t="str">
        <f t="shared" si="146"/>
        <v>FEED PROCESSING (0465)</v>
      </c>
      <c r="O2315" t="s">
        <v>39</v>
      </c>
      <c r="P2315" t="str">
        <f t="shared" si="147"/>
        <v>33000_0465</v>
      </c>
      <c r="Q2315" s="180">
        <v>100</v>
      </c>
    </row>
    <row r="2316" spans="1:17">
      <c r="A2316" t="str">
        <f t="shared" si="144"/>
        <v>FVSU_0470</v>
      </c>
      <c r="B2316" t="str">
        <f t="shared" si="145"/>
        <v>FVSU_GOAT DAIRY</v>
      </c>
      <c r="C2316" t="s">
        <v>447</v>
      </c>
      <c r="D2316" s="180" t="s">
        <v>23</v>
      </c>
      <c r="E2316" t="s">
        <v>4768</v>
      </c>
      <c r="F2316" t="s">
        <v>4769</v>
      </c>
      <c r="G2316" s="180">
        <v>2550</v>
      </c>
      <c r="H2316">
        <v>1984</v>
      </c>
      <c r="J2316" s="1334" t="s">
        <v>475</v>
      </c>
      <c r="K2316" s="1335" t="s">
        <v>475</v>
      </c>
      <c r="L2316" s="180">
        <v>100</v>
      </c>
      <c r="M2316" t="s">
        <v>68</v>
      </c>
      <c r="N2316" t="str">
        <f t="shared" si="146"/>
        <v>GOAT DAIRY (0470)</v>
      </c>
      <c r="O2316" t="s">
        <v>39</v>
      </c>
      <c r="P2316" t="str">
        <f t="shared" si="147"/>
        <v>33000_0470</v>
      </c>
      <c r="Q2316" s="180">
        <v>0</v>
      </c>
    </row>
    <row r="2317" spans="1:17">
      <c r="A2317" t="str">
        <f t="shared" si="144"/>
        <v>FVSU_0475</v>
      </c>
      <c r="B2317" t="str">
        <f t="shared" si="145"/>
        <v>FVSU_SMALL RUMINANT CENTER</v>
      </c>
      <c r="C2317" t="s">
        <v>447</v>
      </c>
      <c r="D2317" s="180" t="s">
        <v>23</v>
      </c>
      <c r="E2317" t="s">
        <v>4868</v>
      </c>
      <c r="F2317" t="s">
        <v>4869</v>
      </c>
      <c r="G2317" s="180">
        <v>14959</v>
      </c>
      <c r="H2317">
        <v>1996</v>
      </c>
      <c r="J2317" s="1334" t="s">
        <v>475</v>
      </c>
      <c r="K2317" s="1335" t="s">
        <v>475</v>
      </c>
      <c r="L2317" s="180">
        <v>100</v>
      </c>
      <c r="M2317" t="s">
        <v>68</v>
      </c>
      <c r="N2317" t="str">
        <f t="shared" si="146"/>
        <v>SMALL RUMINANT CENTER (0475)</v>
      </c>
      <c r="O2317" t="s">
        <v>39</v>
      </c>
      <c r="P2317" t="str">
        <f t="shared" si="147"/>
        <v>33000_0475</v>
      </c>
      <c r="Q2317" s="180">
        <v>0</v>
      </c>
    </row>
    <row r="2318" spans="1:17">
      <c r="A2318" t="str">
        <f t="shared" si="144"/>
        <v>FVSU_0505</v>
      </c>
      <c r="B2318" t="str">
        <f t="shared" si="145"/>
        <v>FVSU_PUMPHOUSE #3</v>
      </c>
      <c r="C2318" t="s">
        <v>447</v>
      </c>
      <c r="D2318" s="180" t="s">
        <v>23</v>
      </c>
      <c r="E2318" t="s">
        <v>4810</v>
      </c>
      <c r="F2318" t="s">
        <v>4811</v>
      </c>
      <c r="G2318" s="180">
        <v>250</v>
      </c>
      <c r="H2318">
        <v>1980</v>
      </c>
      <c r="J2318" s="1334" t="s">
        <v>475</v>
      </c>
      <c r="K2318" s="1335" t="s">
        <v>475</v>
      </c>
      <c r="L2318" s="180">
        <v>100</v>
      </c>
      <c r="M2318" t="s">
        <v>68</v>
      </c>
      <c r="N2318" t="str">
        <f t="shared" si="146"/>
        <v>PUMPHOUSE #3 (0505)</v>
      </c>
      <c r="O2318" t="s">
        <v>39</v>
      </c>
      <c r="P2318" t="str">
        <f t="shared" si="147"/>
        <v>33000_0505</v>
      </c>
      <c r="Q2318" s="180">
        <v>0</v>
      </c>
    </row>
    <row r="2319" spans="1:17">
      <c r="A2319" t="str">
        <f t="shared" si="144"/>
        <v>FVSU_0520</v>
      </c>
      <c r="B2319" t="str">
        <f t="shared" si="145"/>
        <v>FVSU_COMPUTER TECHNOLOGY/MATHEMATIC</v>
      </c>
      <c r="C2319" t="s">
        <v>447</v>
      </c>
      <c r="D2319" s="180" t="s">
        <v>23</v>
      </c>
      <c r="E2319" t="s">
        <v>4780</v>
      </c>
      <c r="F2319" t="s">
        <v>4781</v>
      </c>
      <c r="G2319" s="180">
        <v>54728</v>
      </c>
      <c r="H2319">
        <v>1995</v>
      </c>
      <c r="J2319" s="1334" t="s">
        <v>475</v>
      </c>
      <c r="K2319" s="1335" t="s">
        <v>475</v>
      </c>
      <c r="L2319" s="180">
        <v>100</v>
      </c>
      <c r="M2319" t="s">
        <v>68</v>
      </c>
      <c r="N2319" t="str">
        <f t="shared" si="146"/>
        <v>COMPUTER TECHNOLOGY/MATHEMATIC (0520)</v>
      </c>
      <c r="O2319" t="s">
        <v>39</v>
      </c>
      <c r="P2319" t="str">
        <f t="shared" si="147"/>
        <v>33000_0520</v>
      </c>
      <c r="Q2319" s="180">
        <v>0</v>
      </c>
    </row>
    <row r="2320" spans="1:17">
      <c r="A2320" t="str">
        <f t="shared" si="144"/>
        <v>FVSU_0521</v>
      </c>
      <c r="B2320" t="str">
        <f t="shared" si="145"/>
        <v>FVSU_MEAT TECHNOLOGY BUILDING</v>
      </c>
      <c r="C2320" t="s">
        <v>447</v>
      </c>
      <c r="D2320" s="180" t="s">
        <v>23</v>
      </c>
      <c r="E2320" t="s">
        <v>4909</v>
      </c>
      <c r="F2320" t="s">
        <v>4910</v>
      </c>
      <c r="G2320" s="180">
        <v>4500</v>
      </c>
      <c r="H2320">
        <v>1980</v>
      </c>
      <c r="J2320" s="1334" t="s">
        <v>475</v>
      </c>
      <c r="K2320" s="1335" t="s">
        <v>475</v>
      </c>
      <c r="L2320" s="180">
        <v>0</v>
      </c>
      <c r="M2320" t="s">
        <v>68</v>
      </c>
      <c r="N2320" t="str">
        <f t="shared" si="146"/>
        <v>MEAT TECHNOLOGY BUILDING (0521)</v>
      </c>
      <c r="O2320" t="s">
        <v>39</v>
      </c>
      <c r="P2320" t="str">
        <f t="shared" si="147"/>
        <v>33000_0521</v>
      </c>
      <c r="Q2320" s="180">
        <v>15</v>
      </c>
    </row>
    <row r="2321" spans="1:17">
      <c r="A2321" t="str">
        <f t="shared" si="144"/>
        <v>FVSU_0525</v>
      </c>
      <c r="B2321" t="str">
        <f t="shared" si="145"/>
        <v>FVSU_EXERCISE PHYSIOLOGY &amp; SPORTS</v>
      </c>
      <c r="C2321" t="s">
        <v>447</v>
      </c>
      <c r="D2321" s="180" t="s">
        <v>23</v>
      </c>
      <c r="E2321" t="s">
        <v>4883</v>
      </c>
      <c r="F2321" t="s">
        <v>4884</v>
      </c>
      <c r="G2321" s="180">
        <v>8693</v>
      </c>
      <c r="H2321">
        <v>1997</v>
      </c>
      <c r="J2321" s="1334" t="s">
        <v>475</v>
      </c>
      <c r="K2321" s="1335" t="s">
        <v>475</v>
      </c>
      <c r="L2321" s="180">
        <v>100</v>
      </c>
      <c r="M2321" t="s">
        <v>68</v>
      </c>
      <c r="N2321" t="str">
        <f t="shared" si="146"/>
        <v>EXERCISE PHYSIOLOGY &amp; SPORTS (0525)</v>
      </c>
      <c r="O2321" t="s">
        <v>39</v>
      </c>
      <c r="P2321" t="str">
        <f t="shared" si="147"/>
        <v>33000_0525</v>
      </c>
      <c r="Q2321" s="180">
        <v>0</v>
      </c>
    </row>
    <row r="2322" spans="1:17">
      <c r="A2322" t="str">
        <f t="shared" si="144"/>
        <v>FVSU_0530</v>
      </c>
      <c r="B2322" t="str">
        <f t="shared" si="145"/>
        <v>FVSU_SEWER LIFT STATION</v>
      </c>
      <c r="C2322" t="s">
        <v>447</v>
      </c>
      <c r="D2322" s="180" t="s">
        <v>23</v>
      </c>
      <c r="E2322" t="s">
        <v>4782</v>
      </c>
      <c r="F2322" t="s">
        <v>4783</v>
      </c>
      <c r="G2322" s="180">
        <v>195</v>
      </c>
      <c r="H2322">
        <v>1998</v>
      </c>
      <c r="J2322" s="1334" t="s">
        <v>475</v>
      </c>
      <c r="K2322" s="1335" t="s">
        <v>475</v>
      </c>
      <c r="L2322" s="180">
        <v>100</v>
      </c>
      <c r="M2322" t="s">
        <v>68</v>
      </c>
      <c r="N2322" t="str">
        <f t="shared" si="146"/>
        <v>SEWER LIFT STATION (0530)</v>
      </c>
      <c r="O2322" t="s">
        <v>39</v>
      </c>
      <c r="P2322" t="str">
        <f t="shared" si="147"/>
        <v>33000_0530</v>
      </c>
      <c r="Q2322" s="180">
        <v>0</v>
      </c>
    </row>
    <row r="2323" spans="1:17">
      <c r="A2323" t="str">
        <f t="shared" si="144"/>
        <v>FVSU_0535</v>
      </c>
      <c r="B2323" t="str">
        <f t="shared" si="145"/>
        <v>FVSU_SEWER SEPARATOR</v>
      </c>
      <c r="C2323" t="s">
        <v>447</v>
      </c>
      <c r="D2323" s="180" t="s">
        <v>23</v>
      </c>
      <c r="E2323" t="s">
        <v>4787</v>
      </c>
      <c r="F2323" t="s">
        <v>4788</v>
      </c>
      <c r="G2323" s="180">
        <v>222</v>
      </c>
      <c r="H2323">
        <v>1999</v>
      </c>
      <c r="J2323" s="1334" t="s">
        <v>475</v>
      </c>
      <c r="K2323" s="1335" t="s">
        <v>475</v>
      </c>
      <c r="L2323" s="180">
        <v>100</v>
      </c>
      <c r="M2323" t="s">
        <v>68</v>
      </c>
      <c r="N2323" t="str">
        <f t="shared" si="146"/>
        <v>SEWER SEPARATOR (0535)</v>
      </c>
      <c r="O2323" t="s">
        <v>39</v>
      </c>
      <c r="P2323" t="str">
        <f t="shared" si="147"/>
        <v>33000_0535</v>
      </c>
      <c r="Q2323" s="180">
        <v>0</v>
      </c>
    </row>
    <row r="2324" spans="1:17">
      <c r="A2324" t="str">
        <f t="shared" si="144"/>
        <v>FVSU_0540</v>
      </c>
      <c r="B2324" t="str">
        <f t="shared" si="145"/>
        <v>FVSU_WC 5</v>
      </c>
      <c r="C2324" t="s">
        <v>447</v>
      </c>
      <c r="D2324" s="180" t="s">
        <v>23</v>
      </c>
      <c r="E2324" t="s">
        <v>4796</v>
      </c>
      <c r="F2324" t="s">
        <v>4797</v>
      </c>
      <c r="G2324" s="180">
        <v>62575</v>
      </c>
      <c r="H2324">
        <v>2006</v>
      </c>
      <c r="J2324" s="1334" t="s">
        <v>486</v>
      </c>
      <c r="K2324" s="1335" t="s">
        <v>475</v>
      </c>
      <c r="L2324" s="180">
        <v>0</v>
      </c>
      <c r="M2324" t="s">
        <v>68</v>
      </c>
      <c r="N2324" t="str">
        <f t="shared" si="146"/>
        <v>WC 5 (0540)</v>
      </c>
      <c r="O2324" t="s">
        <v>39</v>
      </c>
      <c r="P2324" t="str">
        <f t="shared" si="147"/>
        <v>33000_0540</v>
      </c>
      <c r="Q2324" s="180">
        <v>0</v>
      </c>
    </row>
    <row r="2325" spans="1:17">
      <c r="A2325" t="str">
        <f t="shared" si="144"/>
        <v>FVSU_0545</v>
      </c>
      <c r="B2325" t="str">
        <f t="shared" si="145"/>
        <v>FVSU_WC 4</v>
      </c>
      <c r="C2325" t="s">
        <v>447</v>
      </c>
      <c r="D2325" s="180" t="s">
        <v>23</v>
      </c>
      <c r="E2325" t="s">
        <v>4888</v>
      </c>
      <c r="F2325" t="s">
        <v>4889</v>
      </c>
      <c r="G2325" s="180">
        <v>62575</v>
      </c>
      <c r="H2325">
        <v>2006</v>
      </c>
      <c r="J2325" s="1334" t="s">
        <v>486</v>
      </c>
      <c r="K2325" s="1335" t="s">
        <v>475</v>
      </c>
      <c r="L2325" s="180">
        <v>0</v>
      </c>
      <c r="M2325" t="s">
        <v>68</v>
      </c>
      <c r="N2325" t="str">
        <f t="shared" si="146"/>
        <v>WC 4 (0545)</v>
      </c>
      <c r="O2325" t="s">
        <v>39</v>
      </c>
      <c r="P2325" t="str">
        <f t="shared" si="147"/>
        <v>33000_0545</v>
      </c>
      <c r="Q2325" s="180">
        <v>0</v>
      </c>
    </row>
    <row r="2326" spans="1:17">
      <c r="A2326" t="str">
        <f t="shared" si="144"/>
        <v>FVSU_0550</v>
      </c>
      <c r="B2326" t="str">
        <f t="shared" si="145"/>
        <v>FVSU_WC 3</v>
      </c>
      <c r="C2326" t="s">
        <v>447</v>
      </c>
      <c r="D2326" s="180" t="s">
        <v>23</v>
      </c>
      <c r="E2326" t="s">
        <v>4784</v>
      </c>
      <c r="F2326" t="s">
        <v>4785</v>
      </c>
      <c r="G2326" s="180">
        <v>62575</v>
      </c>
      <c r="H2326">
        <v>2006</v>
      </c>
      <c r="J2326" s="1334" t="s">
        <v>486</v>
      </c>
      <c r="K2326" s="1335" t="s">
        <v>475</v>
      </c>
      <c r="L2326" s="180">
        <v>0</v>
      </c>
      <c r="M2326" t="s">
        <v>68</v>
      </c>
      <c r="N2326" t="str">
        <f t="shared" si="146"/>
        <v>WC 3 (0550)</v>
      </c>
      <c r="O2326" t="s">
        <v>39</v>
      </c>
      <c r="P2326" t="str">
        <f t="shared" si="147"/>
        <v>33000_0550</v>
      </c>
      <c r="Q2326" s="180">
        <v>0</v>
      </c>
    </row>
    <row r="2327" spans="1:17">
      <c r="A2327" t="str">
        <f t="shared" si="144"/>
        <v>FVSU_0555</v>
      </c>
      <c r="B2327" t="str">
        <f t="shared" si="145"/>
        <v>FVSU_WC 1</v>
      </c>
      <c r="C2327" t="s">
        <v>447</v>
      </c>
      <c r="D2327" s="180" t="s">
        <v>23</v>
      </c>
      <c r="E2327" t="s">
        <v>4832</v>
      </c>
      <c r="F2327" t="s">
        <v>4833</v>
      </c>
      <c r="G2327" s="180">
        <v>73511</v>
      </c>
      <c r="H2327">
        <v>2006</v>
      </c>
      <c r="J2327" s="1334" t="s">
        <v>486</v>
      </c>
      <c r="K2327" s="1335" t="s">
        <v>475</v>
      </c>
      <c r="L2327" s="180">
        <v>0</v>
      </c>
      <c r="M2327" t="s">
        <v>68</v>
      </c>
      <c r="N2327" t="str">
        <f t="shared" si="146"/>
        <v>WC 1 (0555)</v>
      </c>
      <c r="O2327" t="s">
        <v>39</v>
      </c>
      <c r="P2327" t="str">
        <f t="shared" si="147"/>
        <v>33000_0555</v>
      </c>
      <c r="Q2327" s="180">
        <v>0</v>
      </c>
    </row>
    <row r="2328" spans="1:17">
      <c r="A2328" t="str">
        <f t="shared" si="144"/>
        <v>FVSU_056</v>
      </c>
      <c r="B2328" t="str">
        <f t="shared" si="145"/>
        <v>FVSU_AMPHITHEATRE</v>
      </c>
      <c r="C2328" t="s">
        <v>447</v>
      </c>
      <c r="D2328" s="180" t="s">
        <v>23</v>
      </c>
      <c r="E2328" t="s">
        <v>7016</v>
      </c>
      <c r="F2328" t="s">
        <v>7081</v>
      </c>
      <c r="G2328" s="180">
        <v>2144</v>
      </c>
      <c r="H2328">
        <v>1999</v>
      </c>
      <c r="J2328" s="1334" t="s">
        <v>475</v>
      </c>
      <c r="K2328" s="1335" t="s">
        <v>475</v>
      </c>
      <c r="L2328" s="180">
        <v>100</v>
      </c>
      <c r="M2328" t="s">
        <v>68</v>
      </c>
      <c r="N2328" t="str">
        <f t="shared" si="146"/>
        <v>AMPHITHEATRE (056)</v>
      </c>
      <c r="O2328" t="s">
        <v>39</v>
      </c>
      <c r="P2328" t="str">
        <f t="shared" si="147"/>
        <v>33000_056</v>
      </c>
      <c r="Q2328" s="180">
        <v>0</v>
      </c>
    </row>
    <row r="2329" spans="1:17">
      <c r="A2329" t="str">
        <f t="shared" si="144"/>
        <v>FVSU_0560</v>
      </c>
      <c r="B2329" t="str">
        <f t="shared" si="145"/>
        <v>FVSU_WC 2</v>
      </c>
      <c r="C2329" t="s">
        <v>447</v>
      </c>
      <c r="D2329" s="180" t="s">
        <v>23</v>
      </c>
      <c r="E2329" t="s">
        <v>4853</v>
      </c>
      <c r="F2329" t="s">
        <v>4854</v>
      </c>
      <c r="G2329" s="180">
        <v>73814</v>
      </c>
      <c r="H2329">
        <v>2006</v>
      </c>
      <c r="J2329" s="1334" t="s">
        <v>486</v>
      </c>
      <c r="K2329" s="1335" t="s">
        <v>475</v>
      </c>
      <c r="L2329" s="180">
        <v>0</v>
      </c>
      <c r="M2329" t="s">
        <v>68</v>
      </c>
      <c r="N2329" t="str">
        <f t="shared" si="146"/>
        <v>WC 2 (0560)</v>
      </c>
      <c r="O2329" t="s">
        <v>39</v>
      </c>
      <c r="P2329" t="str">
        <f t="shared" si="147"/>
        <v>33000_0560</v>
      </c>
      <c r="Q2329" s="180">
        <v>0</v>
      </c>
    </row>
    <row r="2330" spans="1:17">
      <c r="A2330" t="str">
        <f t="shared" si="144"/>
        <v>FVSU_0565</v>
      </c>
      <c r="B2330" t="str">
        <f t="shared" si="145"/>
        <v>FVSU_WC CLUBHOUSE</v>
      </c>
      <c r="C2330" t="s">
        <v>447</v>
      </c>
      <c r="D2330" s="180" t="s">
        <v>23</v>
      </c>
      <c r="E2330" t="s">
        <v>4838</v>
      </c>
      <c r="F2330" t="s">
        <v>4839</v>
      </c>
      <c r="G2330" s="180">
        <v>8938</v>
      </c>
      <c r="H2330">
        <v>2006</v>
      </c>
      <c r="J2330" s="1334" t="s">
        <v>486</v>
      </c>
      <c r="K2330" s="1335" t="s">
        <v>475</v>
      </c>
      <c r="L2330" s="180">
        <v>87</v>
      </c>
      <c r="M2330" t="s">
        <v>68</v>
      </c>
      <c r="N2330" t="str">
        <f t="shared" si="146"/>
        <v>WC CLUBHOUSE (0565)</v>
      </c>
      <c r="O2330" t="s">
        <v>39</v>
      </c>
      <c r="P2330" t="str">
        <f t="shared" si="147"/>
        <v>33000_0565</v>
      </c>
      <c r="Q2330" s="180">
        <v>0</v>
      </c>
    </row>
    <row r="2331" spans="1:17">
      <c r="A2331" t="str">
        <f t="shared" si="144"/>
        <v>FVSU_0570</v>
      </c>
      <c r="B2331" t="str">
        <f t="shared" si="145"/>
        <v>FVSU_HPE BUILDING</v>
      </c>
      <c r="C2331" t="s">
        <v>447</v>
      </c>
      <c r="D2331" s="180" t="s">
        <v>23</v>
      </c>
      <c r="E2331" t="s">
        <v>4870</v>
      </c>
      <c r="F2331" t="s">
        <v>4871</v>
      </c>
      <c r="G2331" s="180">
        <v>120000</v>
      </c>
      <c r="H2331">
        <v>2004</v>
      </c>
      <c r="J2331" s="1334" t="s">
        <v>475</v>
      </c>
      <c r="K2331" s="1335" t="s">
        <v>475</v>
      </c>
      <c r="L2331" s="180">
        <v>100</v>
      </c>
      <c r="M2331" t="s">
        <v>68</v>
      </c>
      <c r="N2331" t="str">
        <f t="shared" si="146"/>
        <v>HPE BUILDING (0570)</v>
      </c>
      <c r="O2331" t="s">
        <v>39</v>
      </c>
      <c r="P2331" t="str">
        <f t="shared" si="147"/>
        <v>33000_0570</v>
      </c>
      <c r="Q2331" s="180">
        <v>0</v>
      </c>
    </row>
    <row r="2332" spans="1:17">
      <c r="A2332" t="str">
        <f t="shared" si="144"/>
        <v>FVSU_0575</v>
      </c>
      <c r="B2332" t="str">
        <f t="shared" si="145"/>
        <v>FVSU_AG TECHNOLOGY CENTER</v>
      </c>
      <c r="C2332" t="s">
        <v>447</v>
      </c>
      <c r="D2332" s="180" t="s">
        <v>23</v>
      </c>
      <c r="E2332" t="s">
        <v>4885</v>
      </c>
      <c r="F2332" t="s">
        <v>4886</v>
      </c>
      <c r="G2332" s="180">
        <v>10448</v>
      </c>
      <c r="H2332">
        <v>1900</v>
      </c>
      <c r="J2332" s="1334" t="s">
        <v>475</v>
      </c>
      <c r="K2332" s="1335" t="s">
        <v>475</v>
      </c>
      <c r="L2332" s="180">
        <v>0</v>
      </c>
      <c r="M2332" t="s">
        <v>68</v>
      </c>
      <c r="N2332" t="str">
        <f t="shared" si="146"/>
        <v>AG TECHNOLOGY CENTER (0575)</v>
      </c>
      <c r="O2332" t="s">
        <v>39</v>
      </c>
      <c r="P2332" t="str">
        <f t="shared" si="147"/>
        <v>33000_0575</v>
      </c>
      <c r="Q2332" s="180">
        <v>0</v>
      </c>
    </row>
    <row r="2333" spans="1:17">
      <c r="A2333" t="str">
        <f t="shared" si="144"/>
        <v>FVSU_0580</v>
      </c>
      <c r="B2333" t="str">
        <f t="shared" si="145"/>
        <v>FVSU_WC 6</v>
      </c>
      <c r="C2333" t="s">
        <v>447</v>
      </c>
      <c r="D2333" s="180" t="s">
        <v>23</v>
      </c>
      <c r="E2333" t="s">
        <v>4855</v>
      </c>
      <c r="F2333" t="s">
        <v>4856</v>
      </c>
      <c r="G2333" s="180">
        <v>62575</v>
      </c>
      <c r="H2333">
        <v>2008</v>
      </c>
      <c r="J2333" s="1334" t="s">
        <v>486</v>
      </c>
      <c r="K2333" s="1335" t="s">
        <v>475</v>
      </c>
      <c r="L2333" s="180">
        <v>0</v>
      </c>
      <c r="M2333" t="s">
        <v>68</v>
      </c>
      <c r="N2333" t="str">
        <f t="shared" si="146"/>
        <v>WC 6 (0580)</v>
      </c>
      <c r="O2333" t="s">
        <v>39</v>
      </c>
      <c r="P2333" t="str">
        <f t="shared" si="147"/>
        <v>33000_0580</v>
      </c>
      <c r="Q2333" s="180">
        <v>0</v>
      </c>
    </row>
    <row r="2334" spans="1:17">
      <c r="A2334" t="str">
        <f t="shared" si="144"/>
        <v>FVSU_0585</v>
      </c>
      <c r="B2334" t="str">
        <f t="shared" si="145"/>
        <v>FVSU_WC 7</v>
      </c>
      <c r="C2334" t="s">
        <v>447</v>
      </c>
      <c r="D2334" s="180" t="s">
        <v>23</v>
      </c>
      <c r="E2334" t="s">
        <v>4899</v>
      </c>
      <c r="F2334" t="s">
        <v>4900</v>
      </c>
      <c r="G2334" s="180">
        <v>62575</v>
      </c>
      <c r="H2334">
        <v>2008</v>
      </c>
      <c r="J2334" s="1334" t="s">
        <v>486</v>
      </c>
      <c r="K2334" s="1335" t="s">
        <v>475</v>
      </c>
      <c r="L2334" s="180">
        <v>0</v>
      </c>
      <c r="M2334" t="s">
        <v>68</v>
      </c>
      <c r="N2334" t="str">
        <f t="shared" si="146"/>
        <v>WC 7 (0585)</v>
      </c>
      <c r="O2334" t="s">
        <v>39</v>
      </c>
      <c r="P2334" t="str">
        <f t="shared" si="147"/>
        <v>33000_0585</v>
      </c>
      <c r="Q2334" s="180">
        <v>100</v>
      </c>
    </row>
    <row r="2335" spans="1:17">
      <c r="A2335" t="str">
        <f t="shared" si="144"/>
        <v>FVSU_0590</v>
      </c>
      <c r="B2335" t="str">
        <f t="shared" si="145"/>
        <v>FVSU_ACADEMIC CLASSROOM BUILDING</v>
      </c>
      <c r="C2335" t="s">
        <v>447</v>
      </c>
      <c r="D2335" s="180" t="s">
        <v>23</v>
      </c>
      <c r="E2335" t="s">
        <v>4834</v>
      </c>
      <c r="F2335" t="s">
        <v>4835</v>
      </c>
      <c r="G2335" s="180">
        <v>63356</v>
      </c>
      <c r="H2335">
        <v>2007</v>
      </c>
      <c r="J2335" s="1334" t="s">
        <v>520</v>
      </c>
      <c r="K2335" s="1335" t="s">
        <v>920</v>
      </c>
      <c r="L2335" s="180">
        <v>100</v>
      </c>
      <c r="M2335" t="s">
        <v>68</v>
      </c>
      <c r="N2335" t="str">
        <f t="shared" si="146"/>
        <v>ACADEMIC CLASSROOM BUILDING (0590)</v>
      </c>
      <c r="O2335" t="s">
        <v>39</v>
      </c>
      <c r="P2335" t="str">
        <f t="shared" si="147"/>
        <v>33000_0590</v>
      </c>
      <c r="Q2335" s="180">
        <v>8</v>
      </c>
    </row>
    <row r="2336" spans="1:17">
      <c r="A2336" t="str">
        <f t="shared" si="144"/>
        <v>FVSU_0595</v>
      </c>
      <c r="B2336" t="str">
        <f t="shared" si="145"/>
        <v>FVSU_WILDCAT STADIUM</v>
      </c>
      <c r="C2336" t="s">
        <v>447</v>
      </c>
      <c r="D2336" s="180" t="s">
        <v>23</v>
      </c>
      <c r="E2336" t="s">
        <v>4927</v>
      </c>
      <c r="F2336" t="s">
        <v>4928</v>
      </c>
      <c r="G2336" s="180">
        <v>42241</v>
      </c>
      <c r="H2336">
        <v>2008</v>
      </c>
      <c r="J2336" s="1334" t="s">
        <v>1520</v>
      </c>
      <c r="K2336" s="1335" t="s">
        <v>475</v>
      </c>
      <c r="L2336" s="180">
        <v>0</v>
      </c>
      <c r="M2336" t="s">
        <v>68</v>
      </c>
      <c r="N2336" t="str">
        <f t="shared" si="146"/>
        <v>WILDCAT STADIUM (0595)</v>
      </c>
      <c r="O2336" t="s">
        <v>39</v>
      </c>
      <c r="P2336" t="str">
        <f t="shared" si="147"/>
        <v>33000_0595</v>
      </c>
      <c r="Q2336" s="180">
        <v>4</v>
      </c>
    </row>
    <row r="2337" spans="1:17">
      <c r="A2337" t="str">
        <f t="shared" si="144"/>
        <v>FVSU_0600</v>
      </c>
      <c r="B2337" t="str">
        <f t="shared" si="145"/>
        <v>FVSU_STUDENT ACTIVITIES CENTER</v>
      </c>
      <c r="C2337" t="s">
        <v>447</v>
      </c>
      <c r="D2337" s="180" t="s">
        <v>23</v>
      </c>
      <c r="E2337" t="s">
        <v>4818</v>
      </c>
      <c r="F2337" t="s">
        <v>4819</v>
      </c>
      <c r="G2337" s="180">
        <v>26257</v>
      </c>
      <c r="H2337">
        <v>2008</v>
      </c>
      <c r="J2337" s="1334" t="s">
        <v>1520</v>
      </c>
      <c r="K2337" s="1335" t="s">
        <v>475</v>
      </c>
      <c r="L2337" s="180">
        <v>75</v>
      </c>
      <c r="M2337" t="s">
        <v>68</v>
      </c>
      <c r="N2337" t="str">
        <f t="shared" si="146"/>
        <v>STUDENT ACTIVITIES CENTER (0600)</v>
      </c>
      <c r="O2337" t="s">
        <v>39</v>
      </c>
      <c r="P2337" t="str">
        <f t="shared" si="147"/>
        <v>33000_0600</v>
      </c>
      <c r="Q2337" s="180">
        <v>5</v>
      </c>
    </row>
    <row r="2338" spans="1:17">
      <c r="A2338" t="str">
        <f t="shared" si="144"/>
        <v>FVSU_0605</v>
      </c>
      <c r="B2338" t="str">
        <f t="shared" si="145"/>
        <v>FVSU_FARMHOUSE</v>
      </c>
      <c r="C2338" t="s">
        <v>447</v>
      </c>
      <c r="D2338" s="180" t="s">
        <v>23</v>
      </c>
      <c r="E2338" t="s">
        <v>4822</v>
      </c>
      <c r="F2338" t="s">
        <v>4823</v>
      </c>
      <c r="G2338" s="180">
        <v>5888</v>
      </c>
      <c r="H2338">
        <v>1913</v>
      </c>
      <c r="J2338" s="1334" t="s">
        <v>475</v>
      </c>
      <c r="K2338" s="1335" t="s">
        <v>475</v>
      </c>
      <c r="L2338" s="180">
        <v>100</v>
      </c>
      <c r="M2338" t="s">
        <v>68</v>
      </c>
      <c r="N2338" t="str">
        <f t="shared" si="146"/>
        <v>FARMHOUSE (0605)</v>
      </c>
      <c r="O2338" t="s">
        <v>39</v>
      </c>
      <c r="P2338" t="str">
        <f t="shared" si="147"/>
        <v>33000_0605</v>
      </c>
      <c r="Q2338" s="180">
        <v>2</v>
      </c>
    </row>
    <row r="2339" spans="1:17">
      <c r="A2339" t="str">
        <f t="shared" si="144"/>
        <v>FVSU_0610</v>
      </c>
      <c r="B2339" t="str">
        <f t="shared" si="145"/>
        <v>FVSU_FINE ARTS CENTER</v>
      </c>
      <c r="C2339" t="s">
        <v>447</v>
      </c>
      <c r="D2339" s="180" t="s">
        <v>23</v>
      </c>
      <c r="E2339" t="s">
        <v>4922</v>
      </c>
      <c r="F2339" t="s">
        <v>4923</v>
      </c>
      <c r="G2339" s="180">
        <v>34616</v>
      </c>
      <c r="H2339">
        <v>1969</v>
      </c>
      <c r="J2339" s="1334" t="s">
        <v>475</v>
      </c>
      <c r="K2339" s="1335" t="s">
        <v>520</v>
      </c>
      <c r="L2339" s="180">
        <v>100</v>
      </c>
      <c r="M2339" t="s">
        <v>4</v>
      </c>
      <c r="N2339" t="str">
        <f t="shared" si="146"/>
        <v>FINE ARTS CENTER (0610)</v>
      </c>
      <c r="O2339" t="s">
        <v>39</v>
      </c>
      <c r="P2339" t="str">
        <f t="shared" si="147"/>
        <v>33000_0610</v>
      </c>
      <c r="Q2339" s="180">
        <v>0</v>
      </c>
    </row>
    <row r="2340" spans="1:17">
      <c r="A2340" t="str">
        <f t="shared" si="144"/>
        <v>FVSU_0611</v>
      </c>
      <c r="B2340" t="str">
        <f t="shared" si="145"/>
        <v>FVSU_STALLWORTH</v>
      </c>
      <c r="C2340" t="s">
        <v>447</v>
      </c>
      <c r="D2340" s="180" t="s">
        <v>23</v>
      </c>
      <c r="E2340" t="s">
        <v>4890</v>
      </c>
      <c r="F2340" t="s">
        <v>7082</v>
      </c>
      <c r="G2340" s="180">
        <v>12450</v>
      </c>
      <c r="H2340">
        <v>2012</v>
      </c>
      <c r="J2340" s="1334" t="s">
        <v>475</v>
      </c>
      <c r="K2340" s="1335" t="s">
        <v>920</v>
      </c>
      <c r="L2340" s="180">
        <v>100</v>
      </c>
      <c r="M2340" t="s">
        <v>68</v>
      </c>
      <c r="N2340" t="str">
        <f t="shared" si="146"/>
        <v>STALLWORTH (0611)</v>
      </c>
      <c r="O2340" t="s">
        <v>39</v>
      </c>
      <c r="P2340" t="str">
        <f t="shared" si="147"/>
        <v>33000_0611</v>
      </c>
      <c r="Q2340" s="180">
        <v>57</v>
      </c>
    </row>
    <row r="2341" spans="1:17">
      <c r="A2341" t="str">
        <f t="shared" si="144"/>
        <v>FVSU_0612</v>
      </c>
      <c r="B2341" t="str">
        <f t="shared" si="145"/>
        <v>FVSU_CHILD DEVELOPMENT CENTER</v>
      </c>
      <c r="C2341" t="s">
        <v>447</v>
      </c>
      <c r="D2341" s="180" t="s">
        <v>23</v>
      </c>
      <c r="E2341" t="s">
        <v>4912</v>
      </c>
      <c r="F2341" t="s">
        <v>4913</v>
      </c>
      <c r="G2341" s="180">
        <v>20600</v>
      </c>
      <c r="H2341">
        <v>2014</v>
      </c>
      <c r="J2341" s="1334" t="s">
        <v>475</v>
      </c>
      <c r="K2341" s="1335" t="s">
        <v>920</v>
      </c>
      <c r="L2341" s="180">
        <v>100</v>
      </c>
      <c r="M2341" t="s">
        <v>68</v>
      </c>
      <c r="N2341" t="str">
        <f t="shared" si="146"/>
        <v>CHILD DEVELOPMENT CENTER (0612)</v>
      </c>
      <c r="O2341" t="s">
        <v>39</v>
      </c>
      <c r="P2341" t="str">
        <f t="shared" si="147"/>
        <v>33000_0612</v>
      </c>
      <c r="Q2341" s="180">
        <v>0</v>
      </c>
    </row>
    <row r="2342" spans="1:17">
      <c r="A2342" t="str">
        <f t="shared" si="144"/>
        <v>FVSU_0615</v>
      </c>
      <c r="B2342" t="str">
        <f t="shared" si="145"/>
        <v>FVSU_SAFE CENTER</v>
      </c>
      <c r="C2342" t="s">
        <v>447</v>
      </c>
      <c r="D2342" s="180" t="s">
        <v>23</v>
      </c>
      <c r="E2342" t="s">
        <v>4874</v>
      </c>
      <c r="F2342" t="s">
        <v>4875</v>
      </c>
      <c r="G2342" s="180">
        <v>8320</v>
      </c>
      <c r="H2342">
        <v>2011</v>
      </c>
      <c r="J2342" s="1334" t="s">
        <v>475</v>
      </c>
      <c r="K2342" s="1335" t="s">
        <v>920</v>
      </c>
      <c r="L2342" s="180">
        <v>100</v>
      </c>
      <c r="M2342" t="s">
        <v>68</v>
      </c>
      <c r="N2342" t="str">
        <f t="shared" si="146"/>
        <v>SAFE CENTER (0615)</v>
      </c>
      <c r="O2342" t="s">
        <v>39</v>
      </c>
      <c r="P2342" t="str">
        <f t="shared" si="147"/>
        <v>33000_0615</v>
      </c>
      <c r="Q2342" s="180">
        <v>0</v>
      </c>
    </row>
    <row r="2343" spans="1:17">
      <c r="A2343" t="str">
        <f t="shared" si="144"/>
        <v>FVSU_0620</v>
      </c>
      <c r="B2343" t="str">
        <f t="shared" si="145"/>
        <v>FVSU_AG ARENA &amp; PAVILION</v>
      </c>
      <c r="C2343" t="s">
        <v>447</v>
      </c>
      <c r="D2343" s="180" t="s">
        <v>23</v>
      </c>
      <c r="E2343" t="s">
        <v>2735</v>
      </c>
      <c r="F2343" t="s">
        <v>4840</v>
      </c>
      <c r="G2343" s="180">
        <v>23340</v>
      </c>
      <c r="H2343">
        <v>2009</v>
      </c>
      <c r="J2343" s="1334" t="s">
        <v>475</v>
      </c>
      <c r="K2343" s="1335" t="s">
        <v>475</v>
      </c>
      <c r="L2343" s="180">
        <v>100</v>
      </c>
      <c r="M2343" t="s">
        <v>68</v>
      </c>
      <c r="N2343" t="str">
        <f t="shared" si="146"/>
        <v>AG ARENA &amp; PAVILION (0620)</v>
      </c>
      <c r="O2343" t="s">
        <v>39</v>
      </c>
      <c r="P2343" t="str">
        <f t="shared" si="147"/>
        <v>33000_0620</v>
      </c>
      <c r="Q2343" s="180">
        <v>37</v>
      </c>
    </row>
    <row r="2344" spans="1:17">
      <c r="A2344" t="str">
        <f t="shared" si="144"/>
        <v>FVSU_0630</v>
      </c>
      <c r="B2344" t="str">
        <f t="shared" si="145"/>
        <v>FVSU_ARS CATTLE SHED</v>
      </c>
      <c r="C2344" t="s">
        <v>447</v>
      </c>
      <c r="D2344" s="180" t="s">
        <v>23</v>
      </c>
      <c r="E2344" t="s">
        <v>7017</v>
      </c>
      <c r="F2344" t="s">
        <v>7083</v>
      </c>
      <c r="G2344" s="180">
        <v>288</v>
      </c>
      <c r="H2344">
        <v>1999</v>
      </c>
      <c r="J2344" s="1334" t="s">
        <v>475</v>
      </c>
      <c r="K2344" s="1335" t="s">
        <v>475</v>
      </c>
      <c r="L2344" s="180">
        <v>0</v>
      </c>
      <c r="M2344" t="s">
        <v>68</v>
      </c>
      <c r="N2344" t="str">
        <f t="shared" si="146"/>
        <v>ARS CATTLE SHED (0630)</v>
      </c>
      <c r="O2344" t="s">
        <v>39</v>
      </c>
      <c r="P2344" t="str">
        <f t="shared" si="147"/>
        <v>33000_0630</v>
      </c>
      <c r="Q2344" s="180">
        <v>4</v>
      </c>
    </row>
    <row r="2345" spans="1:17">
      <c r="A2345" t="str">
        <f t="shared" si="144"/>
        <v>FVSU_0635</v>
      </c>
      <c r="B2345" t="str">
        <f t="shared" si="145"/>
        <v>FVSU_ARS GOAT SHED</v>
      </c>
      <c r="C2345" t="s">
        <v>447</v>
      </c>
      <c r="D2345" s="180" t="s">
        <v>23</v>
      </c>
      <c r="E2345" t="s">
        <v>6269</v>
      </c>
      <c r="F2345" t="s">
        <v>7084</v>
      </c>
      <c r="G2345" s="180">
        <v>240</v>
      </c>
      <c r="H2345">
        <v>1999</v>
      </c>
      <c r="J2345" s="1334" t="s">
        <v>475</v>
      </c>
      <c r="K2345" s="1335" t="s">
        <v>475</v>
      </c>
      <c r="L2345" s="180">
        <v>100</v>
      </c>
      <c r="M2345" t="s">
        <v>68</v>
      </c>
      <c r="N2345" t="str">
        <f t="shared" si="146"/>
        <v>ARS GOAT SHED (0635)</v>
      </c>
      <c r="O2345" t="s">
        <v>39</v>
      </c>
      <c r="P2345" t="str">
        <f t="shared" si="147"/>
        <v>33000_0635</v>
      </c>
      <c r="Q2345" s="180">
        <v>0</v>
      </c>
    </row>
    <row r="2346" spans="1:17">
      <c r="A2346" t="str">
        <f t="shared" si="144"/>
        <v>FVSU_0640</v>
      </c>
      <c r="B2346" t="str">
        <f t="shared" si="145"/>
        <v>FVSU_ARS STORAGE SHED #1</v>
      </c>
      <c r="C2346" t="s">
        <v>447</v>
      </c>
      <c r="D2346" s="180" t="s">
        <v>23</v>
      </c>
      <c r="E2346" t="s">
        <v>4364</v>
      </c>
      <c r="F2346" t="s">
        <v>7085</v>
      </c>
      <c r="G2346" s="180">
        <v>5000</v>
      </c>
      <c r="H2346">
        <v>1999</v>
      </c>
      <c r="J2346" s="1334" t="s">
        <v>475</v>
      </c>
      <c r="K2346" s="1335" t="s">
        <v>475</v>
      </c>
      <c r="L2346" s="180">
        <v>100</v>
      </c>
      <c r="M2346" t="s">
        <v>68</v>
      </c>
      <c r="N2346" t="str">
        <f t="shared" si="146"/>
        <v>ARS STORAGE SHED #1 (0640)</v>
      </c>
      <c r="O2346" t="s">
        <v>39</v>
      </c>
      <c r="P2346" t="str">
        <f t="shared" si="147"/>
        <v>33000_0640</v>
      </c>
      <c r="Q2346" s="180">
        <v>0</v>
      </c>
    </row>
    <row r="2347" spans="1:17">
      <c r="A2347" t="str">
        <f t="shared" si="144"/>
        <v>FVSU_0645</v>
      </c>
      <c r="B2347" t="str">
        <f t="shared" si="145"/>
        <v>FVSU_ARS STORAGE SHED #2</v>
      </c>
      <c r="C2347" t="s">
        <v>447</v>
      </c>
      <c r="D2347" s="180" t="s">
        <v>23</v>
      </c>
      <c r="E2347" t="s">
        <v>4684</v>
      </c>
      <c r="F2347" t="s">
        <v>7086</v>
      </c>
      <c r="G2347" s="180">
        <v>4200</v>
      </c>
      <c r="H2347">
        <v>1999</v>
      </c>
      <c r="J2347" s="1334" t="s">
        <v>475</v>
      </c>
      <c r="K2347" s="1335" t="s">
        <v>475</v>
      </c>
      <c r="L2347" s="180">
        <v>100</v>
      </c>
      <c r="M2347" t="s">
        <v>68</v>
      </c>
      <c r="N2347" t="str">
        <f t="shared" si="146"/>
        <v>ARS STORAGE SHED #2 (0645)</v>
      </c>
      <c r="O2347" t="s">
        <v>39</v>
      </c>
      <c r="P2347" t="str">
        <f t="shared" si="147"/>
        <v>33000_0645</v>
      </c>
      <c r="Q2347" s="180">
        <v>0</v>
      </c>
    </row>
    <row r="2348" spans="1:17">
      <c r="A2348" t="str">
        <f t="shared" si="144"/>
        <v>FVSU_0650</v>
      </c>
      <c r="B2348" t="str">
        <f t="shared" si="145"/>
        <v>FVSU_GA CENTER AQUACULTURE INCUBATO</v>
      </c>
      <c r="C2348" t="s">
        <v>447</v>
      </c>
      <c r="D2348" s="180" t="s">
        <v>23</v>
      </c>
      <c r="E2348" t="s">
        <v>2585</v>
      </c>
      <c r="F2348" t="s">
        <v>7087</v>
      </c>
      <c r="G2348" s="180">
        <v>13285</v>
      </c>
      <c r="H2348">
        <v>1999</v>
      </c>
      <c r="J2348" s="1334" t="s">
        <v>475</v>
      </c>
      <c r="K2348" s="1335" t="s">
        <v>475</v>
      </c>
      <c r="L2348" s="180">
        <v>100</v>
      </c>
      <c r="M2348" t="s">
        <v>68</v>
      </c>
      <c r="N2348" t="str">
        <f t="shared" si="146"/>
        <v>GA CENTER AQUACULTURE INCUBATO (0650)</v>
      </c>
      <c r="O2348" t="s">
        <v>39</v>
      </c>
      <c r="P2348" t="str">
        <f t="shared" si="147"/>
        <v>33000_0650</v>
      </c>
      <c r="Q2348" s="180">
        <v>0</v>
      </c>
    </row>
    <row r="2349" spans="1:17">
      <c r="A2349" t="str">
        <f t="shared" si="144"/>
        <v>FVSU_0881</v>
      </c>
      <c r="B2349" t="str">
        <f t="shared" si="145"/>
        <v>FVSU_FLD EXPER</v>
      </c>
      <c r="C2349" t="s">
        <v>447</v>
      </c>
      <c r="D2349" s="180" t="s">
        <v>23</v>
      </c>
      <c r="E2349" t="s">
        <v>709</v>
      </c>
      <c r="F2349" t="s">
        <v>4880</v>
      </c>
      <c r="G2349" s="180">
        <v>9999</v>
      </c>
      <c r="H2349">
        <v>1895</v>
      </c>
      <c r="J2349" s="1334" t="s">
        <v>475</v>
      </c>
      <c r="K2349" s="1335" t="s">
        <v>475</v>
      </c>
      <c r="L2349" s="180">
        <v>100</v>
      </c>
      <c r="M2349" t="s">
        <v>68</v>
      </c>
      <c r="N2349" t="str">
        <f t="shared" si="146"/>
        <v>FLD EXPER (0881)</v>
      </c>
      <c r="O2349" t="s">
        <v>39</v>
      </c>
      <c r="P2349" t="str">
        <f t="shared" si="147"/>
        <v>33000_0881</v>
      </c>
      <c r="Q2349" s="180">
        <v>0</v>
      </c>
    </row>
    <row r="2350" spans="1:17">
      <c r="A2350" t="str">
        <f t="shared" si="144"/>
        <v>FVSU_611A</v>
      </c>
      <c r="B2350" t="str">
        <f t="shared" si="145"/>
        <v>FVSU_KELL BUILDING</v>
      </c>
      <c r="C2350" t="s">
        <v>447</v>
      </c>
      <c r="D2350" s="180" t="s">
        <v>23</v>
      </c>
      <c r="E2350" t="s">
        <v>7018</v>
      </c>
      <c r="F2350" t="s">
        <v>7088</v>
      </c>
      <c r="G2350" s="180">
        <v>12450</v>
      </c>
      <c r="H2350">
        <v>1999</v>
      </c>
      <c r="J2350" s="1334" t="s">
        <v>475</v>
      </c>
      <c r="K2350" s="1335" t="s">
        <v>475</v>
      </c>
      <c r="L2350" s="180">
        <v>0</v>
      </c>
      <c r="M2350" t="s">
        <v>4</v>
      </c>
      <c r="N2350" t="str">
        <f t="shared" si="146"/>
        <v>KELL BUILDING (611A)</v>
      </c>
      <c r="O2350" t="s">
        <v>39</v>
      </c>
      <c r="P2350" t="str">
        <f t="shared" si="147"/>
        <v>33000_611A</v>
      </c>
      <c r="Q2350" s="180">
        <v>31</v>
      </c>
    </row>
    <row r="2351" spans="1:17">
      <c r="A2351" t="str">
        <f t="shared" si="144"/>
        <v>FVSU_AVS1</v>
      </c>
      <c r="B2351" t="str">
        <f t="shared" si="145"/>
        <v>FVSU_AGRICULTURAL VEGETABLE SHED</v>
      </c>
      <c r="C2351" t="s">
        <v>447</v>
      </c>
      <c r="D2351" s="180" t="s">
        <v>23</v>
      </c>
      <c r="E2351" t="s">
        <v>7019</v>
      </c>
      <c r="F2351" t="s">
        <v>7089</v>
      </c>
      <c r="G2351" s="180">
        <v>800</v>
      </c>
      <c r="H2351">
        <v>1999</v>
      </c>
      <c r="J2351" s="1334" t="s">
        <v>475</v>
      </c>
      <c r="K2351" s="1335" t="s">
        <v>475</v>
      </c>
      <c r="L2351" s="180">
        <v>100</v>
      </c>
      <c r="M2351" t="s">
        <v>68</v>
      </c>
      <c r="N2351" t="str">
        <f t="shared" si="146"/>
        <v>AGRICULTURAL VEGETABLE SHED (AVS1)</v>
      </c>
      <c r="O2351" t="s">
        <v>39</v>
      </c>
      <c r="P2351" t="str">
        <f t="shared" si="147"/>
        <v>33000_AVS1</v>
      </c>
      <c r="Q2351" s="180">
        <v>0</v>
      </c>
    </row>
    <row r="2352" spans="1:17">
      <c r="A2352" t="str">
        <f t="shared" si="144"/>
        <v>GCSU_1010</v>
      </c>
      <c r="B2352" t="str">
        <f t="shared" si="145"/>
        <v>GCSU_Kilpatrick Hall</v>
      </c>
      <c r="C2352" t="s">
        <v>448</v>
      </c>
      <c r="D2352" s="180" t="s">
        <v>26</v>
      </c>
      <c r="E2352" t="s">
        <v>1933</v>
      </c>
      <c r="F2352" t="s">
        <v>5087</v>
      </c>
      <c r="G2352" s="180">
        <v>30032</v>
      </c>
      <c r="H2352">
        <v>1939</v>
      </c>
      <c r="I2352">
        <v>1992</v>
      </c>
      <c r="J2352" s="1334" t="s">
        <v>475</v>
      </c>
      <c r="K2352" s="1335" t="s">
        <v>475</v>
      </c>
      <c r="L2352" s="180">
        <v>100</v>
      </c>
      <c r="M2352" t="s">
        <v>7823</v>
      </c>
      <c r="N2352" t="str">
        <f t="shared" si="146"/>
        <v>Kilpatrick Hall (1010)</v>
      </c>
      <c r="O2352" t="s">
        <v>41</v>
      </c>
      <c r="P2352" t="str">
        <f t="shared" si="147"/>
        <v>36000_1010</v>
      </c>
      <c r="Q2352" s="180">
        <v>0</v>
      </c>
    </row>
    <row r="2353" spans="1:17">
      <c r="A2353" t="str">
        <f t="shared" si="144"/>
        <v>GCSU_1011</v>
      </c>
      <c r="B2353" t="str">
        <f t="shared" si="145"/>
        <v>GCSU_Kilpatrick Educ #2</v>
      </c>
      <c r="C2353" t="s">
        <v>448</v>
      </c>
      <c r="D2353" s="180" t="s">
        <v>26</v>
      </c>
      <c r="E2353" t="s">
        <v>3256</v>
      </c>
      <c r="F2353" t="s">
        <v>5020</v>
      </c>
      <c r="G2353" s="180">
        <v>27504</v>
      </c>
      <c r="H2353">
        <v>1977</v>
      </c>
      <c r="I2353">
        <v>1992</v>
      </c>
      <c r="J2353" s="1334" t="s">
        <v>475</v>
      </c>
      <c r="K2353" s="1335" t="s">
        <v>475</v>
      </c>
      <c r="L2353" s="180">
        <v>100</v>
      </c>
      <c r="M2353" t="s">
        <v>7823</v>
      </c>
      <c r="N2353" t="str">
        <f t="shared" si="146"/>
        <v>Kilpatrick Educ #2 (1011)</v>
      </c>
      <c r="O2353" t="s">
        <v>41</v>
      </c>
      <c r="P2353" t="str">
        <f t="shared" si="147"/>
        <v>36000_1011</v>
      </c>
      <c r="Q2353" s="180">
        <v>12</v>
      </c>
    </row>
    <row r="2354" spans="1:17">
      <c r="A2354" t="str">
        <f t="shared" si="144"/>
        <v>GCSU_1013</v>
      </c>
      <c r="B2354" t="str">
        <f t="shared" si="145"/>
        <v>GCSU_Smith House</v>
      </c>
      <c r="C2354" t="s">
        <v>448</v>
      </c>
      <c r="D2354" s="180" t="s">
        <v>26</v>
      </c>
      <c r="E2354" t="s">
        <v>1583</v>
      </c>
      <c r="F2354" t="s">
        <v>5088</v>
      </c>
      <c r="G2354" s="180">
        <v>5108</v>
      </c>
      <c r="H2354">
        <v>1947</v>
      </c>
      <c r="J2354" s="1334" t="s">
        <v>475</v>
      </c>
      <c r="K2354" s="1335" t="s">
        <v>475</v>
      </c>
      <c r="L2354" s="180">
        <v>100</v>
      </c>
      <c r="M2354" t="s">
        <v>7823</v>
      </c>
      <c r="N2354" t="str">
        <f t="shared" si="146"/>
        <v>Smith House (1013)</v>
      </c>
      <c r="O2354" t="s">
        <v>41</v>
      </c>
      <c r="P2354" t="str">
        <f t="shared" si="147"/>
        <v>36000_1013</v>
      </c>
      <c r="Q2354" s="180">
        <v>0</v>
      </c>
    </row>
    <row r="2355" spans="1:17">
      <c r="A2355" t="str">
        <f t="shared" si="144"/>
        <v>GCSU_1014</v>
      </c>
      <c r="B2355" t="str">
        <f t="shared" si="145"/>
        <v>GCSU_Lanier Hall</v>
      </c>
      <c r="C2355" t="s">
        <v>448</v>
      </c>
      <c r="D2355" s="180" t="s">
        <v>26</v>
      </c>
      <c r="E2355" t="s">
        <v>1788</v>
      </c>
      <c r="F2355" t="s">
        <v>5082</v>
      </c>
      <c r="G2355" s="180">
        <v>20658</v>
      </c>
      <c r="H2355">
        <v>1927</v>
      </c>
      <c r="I2355">
        <v>1997</v>
      </c>
      <c r="J2355" s="1334" t="s">
        <v>475</v>
      </c>
      <c r="K2355" s="1335" t="s">
        <v>475</v>
      </c>
      <c r="L2355" s="180">
        <v>100</v>
      </c>
      <c r="M2355" t="s">
        <v>7823</v>
      </c>
      <c r="N2355" t="str">
        <f t="shared" si="146"/>
        <v>Lanier Hall (1014)</v>
      </c>
      <c r="O2355" t="s">
        <v>41</v>
      </c>
      <c r="P2355" t="str">
        <f t="shared" si="147"/>
        <v>36000_1014</v>
      </c>
      <c r="Q2355" s="180">
        <v>0</v>
      </c>
    </row>
    <row r="2356" spans="1:17">
      <c r="A2356" t="str">
        <f t="shared" si="144"/>
        <v>GCSU_1015</v>
      </c>
      <c r="B2356" t="str">
        <f t="shared" si="145"/>
        <v>GCSU_Russell Library</v>
      </c>
      <c r="C2356" t="s">
        <v>448</v>
      </c>
      <c r="D2356" s="180" t="s">
        <v>26</v>
      </c>
      <c r="E2356" t="s">
        <v>4976</v>
      </c>
      <c r="F2356" t="s">
        <v>4977</v>
      </c>
      <c r="G2356" s="180">
        <v>139732</v>
      </c>
      <c r="H2356">
        <v>1928</v>
      </c>
      <c r="I2356">
        <v>2001</v>
      </c>
      <c r="J2356" s="1334" t="s">
        <v>520</v>
      </c>
      <c r="K2356" s="1335" t="s">
        <v>475</v>
      </c>
      <c r="L2356" s="180">
        <v>96</v>
      </c>
      <c r="M2356" t="s">
        <v>7823</v>
      </c>
      <c r="N2356" t="str">
        <f t="shared" si="146"/>
        <v>Russell Library (1015)</v>
      </c>
      <c r="O2356" t="s">
        <v>41</v>
      </c>
      <c r="P2356" t="str">
        <f t="shared" si="147"/>
        <v>36000_1015</v>
      </c>
      <c r="Q2356" s="180">
        <v>0</v>
      </c>
    </row>
    <row r="2357" spans="1:17">
      <c r="A2357" t="str">
        <f t="shared" si="144"/>
        <v>GCSU_1055</v>
      </c>
      <c r="B2357" t="str">
        <f t="shared" si="145"/>
        <v>GCSU_Ennis Hall</v>
      </c>
      <c r="C2357" t="s">
        <v>448</v>
      </c>
      <c r="D2357" s="180" t="s">
        <v>26</v>
      </c>
      <c r="E2357" t="s">
        <v>5072</v>
      </c>
      <c r="F2357" t="s">
        <v>5073</v>
      </c>
      <c r="G2357" s="180">
        <v>32393</v>
      </c>
      <c r="H2357">
        <v>1918</v>
      </c>
      <c r="I2357">
        <v>2013</v>
      </c>
      <c r="J2357" s="1334" t="s">
        <v>520</v>
      </c>
      <c r="K2357" s="1335" t="s">
        <v>475</v>
      </c>
      <c r="L2357" s="180">
        <v>100</v>
      </c>
      <c r="M2357" t="s">
        <v>7823</v>
      </c>
      <c r="N2357" t="str">
        <f t="shared" si="146"/>
        <v>Ennis Hall (1055)</v>
      </c>
      <c r="O2357" t="s">
        <v>41</v>
      </c>
      <c r="P2357" t="str">
        <f t="shared" si="147"/>
        <v>36000_1055</v>
      </c>
      <c r="Q2357" s="180">
        <v>0</v>
      </c>
    </row>
    <row r="2358" spans="1:17">
      <c r="A2358" t="str">
        <f t="shared" si="144"/>
        <v>GCSU_1056</v>
      </c>
      <c r="B2358" t="str">
        <f t="shared" si="145"/>
        <v>GCSU_Bell Hall</v>
      </c>
      <c r="C2358" t="s">
        <v>448</v>
      </c>
      <c r="D2358" s="180" t="s">
        <v>26</v>
      </c>
      <c r="E2358" t="s">
        <v>5050</v>
      </c>
      <c r="F2358" t="s">
        <v>5051</v>
      </c>
      <c r="G2358" s="180">
        <v>47517</v>
      </c>
      <c r="H2358">
        <v>1928</v>
      </c>
      <c r="I2358">
        <v>2008</v>
      </c>
      <c r="J2358" s="1334" t="s">
        <v>486</v>
      </c>
      <c r="K2358" s="1335" t="s">
        <v>475</v>
      </c>
      <c r="L2358" s="180">
        <v>0</v>
      </c>
      <c r="M2358" t="s">
        <v>7823</v>
      </c>
      <c r="N2358" t="str">
        <f t="shared" si="146"/>
        <v>Bell Hall (1056)</v>
      </c>
      <c r="O2358" t="s">
        <v>41</v>
      </c>
      <c r="P2358" t="str">
        <f t="shared" si="147"/>
        <v>36000_1056</v>
      </c>
      <c r="Q2358" s="180">
        <v>0</v>
      </c>
    </row>
    <row r="2359" spans="1:17">
      <c r="A2359" t="str">
        <f t="shared" si="144"/>
        <v>GCSU_1057</v>
      </c>
      <c r="B2359" t="str">
        <f t="shared" si="145"/>
        <v>GCSU_Old Governor's Mansion</v>
      </c>
      <c r="C2359" t="s">
        <v>448</v>
      </c>
      <c r="D2359" s="180" t="s">
        <v>26</v>
      </c>
      <c r="E2359" t="s">
        <v>3577</v>
      </c>
      <c r="F2359" t="s">
        <v>5106</v>
      </c>
      <c r="G2359" s="180">
        <v>21912</v>
      </c>
      <c r="H2359">
        <v>1838</v>
      </c>
      <c r="I2359">
        <v>2003</v>
      </c>
      <c r="J2359" s="1334" t="s">
        <v>520</v>
      </c>
      <c r="K2359" s="1335" t="s">
        <v>475</v>
      </c>
      <c r="L2359" s="180">
        <v>100</v>
      </c>
      <c r="M2359" t="s">
        <v>7823</v>
      </c>
      <c r="N2359" t="str">
        <f t="shared" si="146"/>
        <v>Old Governor's Mansion (1057)</v>
      </c>
      <c r="O2359" t="s">
        <v>41</v>
      </c>
      <c r="P2359" t="str">
        <f t="shared" si="147"/>
        <v>36000_1057</v>
      </c>
      <c r="Q2359" s="180">
        <v>4</v>
      </c>
    </row>
    <row r="2360" spans="1:17">
      <c r="A2360" t="str">
        <f t="shared" si="144"/>
        <v>GCSU_1062</v>
      </c>
      <c r="B2360" t="str">
        <f t="shared" si="145"/>
        <v>GCSU_Parks Memorial</v>
      </c>
      <c r="C2360" t="s">
        <v>448</v>
      </c>
      <c r="D2360" s="180" t="s">
        <v>26</v>
      </c>
      <c r="E2360" t="s">
        <v>4970</v>
      </c>
      <c r="F2360" t="s">
        <v>4971</v>
      </c>
      <c r="G2360" s="180">
        <v>11937</v>
      </c>
      <c r="H2360">
        <v>1929</v>
      </c>
      <c r="I2360">
        <v>1975</v>
      </c>
      <c r="J2360" s="1334" t="s">
        <v>475</v>
      </c>
      <c r="K2360" s="1335" t="s">
        <v>475</v>
      </c>
      <c r="L2360" s="180">
        <v>100</v>
      </c>
      <c r="M2360" t="s">
        <v>7823</v>
      </c>
      <c r="N2360" t="str">
        <f t="shared" si="146"/>
        <v>Parks Memorial (1062)</v>
      </c>
      <c r="O2360" t="s">
        <v>41</v>
      </c>
      <c r="P2360" t="str">
        <f t="shared" si="147"/>
        <v>36000_1062</v>
      </c>
      <c r="Q2360" s="180">
        <v>0</v>
      </c>
    </row>
    <row r="2361" spans="1:17">
      <c r="A2361" t="str">
        <f t="shared" si="144"/>
        <v>GCSU_1063</v>
      </c>
      <c r="B2361" t="str">
        <f t="shared" si="145"/>
        <v>GCSU_Atkinson Hall</v>
      </c>
      <c r="C2361" t="s">
        <v>448</v>
      </c>
      <c r="D2361" s="180" t="s">
        <v>26</v>
      </c>
      <c r="E2361" t="s">
        <v>5083</v>
      </c>
      <c r="F2361" t="s">
        <v>5084</v>
      </c>
      <c r="G2361" s="180">
        <v>58443</v>
      </c>
      <c r="H2361">
        <v>1897</v>
      </c>
      <c r="I2361">
        <v>1982</v>
      </c>
      <c r="J2361" s="1334" t="s">
        <v>475</v>
      </c>
      <c r="K2361" s="1335" t="s">
        <v>475</v>
      </c>
      <c r="L2361" s="180">
        <v>99</v>
      </c>
      <c r="M2361" t="s">
        <v>7823</v>
      </c>
      <c r="N2361" t="str">
        <f t="shared" si="146"/>
        <v>Atkinson Hall (1063)</v>
      </c>
      <c r="O2361" t="s">
        <v>41</v>
      </c>
      <c r="P2361" t="str">
        <f t="shared" si="147"/>
        <v>36000_1063</v>
      </c>
      <c r="Q2361" s="180">
        <v>23</v>
      </c>
    </row>
    <row r="2362" spans="1:17">
      <c r="A2362" t="str">
        <f t="shared" si="144"/>
        <v>GCSU_1070</v>
      </c>
      <c r="B2362" t="str">
        <f t="shared" si="145"/>
        <v>GCSU_Parks Hall</v>
      </c>
      <c r="C2362" t="s">
        <v>448</v>
      </c>
      <c r="D2362" s="180" t="s">
        <v>26</v>
      </c>
      <c r="E2362" t="s">
        <v>4195</v>
      </c>
      <c r="F2362" t="s">
        <v>4958</v>
      </c>
      <c r="G2362" s="180">
        <v>43505</v>
      </c>
      <c r="H2362">
        <v>1911</v>
      </c>
      <c r="I2362">
        <v>1991</v>
      </c>
      <c r="J2362" s="1334" t="s">
        <v>475</v>
      </c>
      <c r="K2362" s="1335" t="s">
        <v>475</v>
      </c>
      <c r="L2362" s="180">
        <v>100</v>
      </c>
      <c r="M2362" t="s">
        <v>7823</v>
      </c>
      <c r="N2362" t="str">
        <f t="shared" si="146"/>
        <v>Parks Hall (1070)</v>
      </c>
      <c r="O2362" t="s">
        <v>41</v>
      </c>
      <c r="P2362" t="str">
        <f t="shared" si="147"/>
        <v>36000_1070</v>
      </c>
      <c r="Q2362" s="180">
        <v>10</v>
      </c>
    </row>
    <row r="2363" spans="1:17">
      <c r="A2363" t="str">
        <f t="shared" si="144"/>
        <v>GCSU_1072</v>
      </c>
      <c r="B2363" t="str">
        <f t="shared" si="145"/>
        <v>GCSU_Russell Auditorium</v>
      </c>
      <c r="C2363" t="s">
        <v>448</v>
      </c>
      <c r="D2363" s="180" t="s">
        <v>26</v>
      </c>
      <c r="E2363" t="s">
        <v>2979</v>
      </c>
      <c r="F2363" t="s">
        <v>5120</v>
      </c>
      <c r="G2363" s="180">
        <v>15336</v>
      </c>
      <c r="H2363">
        <v>1928</v>
      </c>
      <c r="I2363">
        <v>1995</v>
      </c>
      <c r="J2363" s="1334" t="s">
        <v>475</v>
      </c>
      <c r="K2363" s="1335" t="s">
        <v>475</v>
      </c>
      <c r="L2363" s="180">
        <v>100</v>
      </c>
      <c r="M2363" t="s">
        <v>7823</v>
      </c>
      <c r="N2363" t="str">
        <f t="shared" si="146"/>
        <v>Russell Auditorium (1072)</v>
      </c>
      <c r="O2363" t="s">
        <v>41</v>
      </c>
      <c r="P2363" t="str">
        <f t="shared" si="147"/>
        <v>36000_1072</v>
      </c>
      <c r="Q2363" s="180">
        <v>0</v>
      </c>
    </row>
    <row r="2364" spans="1:17">
      <c r="A2364" t="str">
        <f t="shared" si="144"/>
        <v>GCSU_1077</v>
      </c>
      <c r="B2364" t="str">
        <f t="shared" si="145"/>
        <v>GCSU_Central Receiving</v>
      </c>
      <c r="C2364" t="s">
        <v>448</v>
      </c>
      <c r="D2364" s="180" t="s">
        <v>26</v>
      </c>
      <c r="E2364" t="s">
        <v>2064</v>
      </c>
      <c r="F2364" t="s">
        <v>4750</v>
      </c>
      <c r="G2364" s="180">
        <v>9763</v>
      </c>
      <c r="H2364">
        <v>1939</v>
      </c>
      <c r="I2364">
        <v>1992</v>
      </c>
      <c r="J2364" s="1334" t="s">
        <v>475</v>
      </c>
      <c r="K2364" s="1335" t="s">
        <v>475</v>
      </c>
      <c r="L2364" s="180">
        <v>100</v>
      </c>
      <c r="M2364" t="s">
        <v>7823</v>
      </c>
      <c r="N2364" t="str">
        <f t="shared" si="146"/>
        <v>Central Receiving (1077)</v>
      </c>
      <c r="O2364" t="s">
        <v>41</v>
      </c>
      <c r="P2364" t="str">
        <f t="shared" si="147"/>
        <v>36000_1077</v>
      </c>
      <c r="Q2364" s="180">
        <v>0</v>
      </c>
    </row>
    <row r="2365" spans="1:17">
      <c r="A2365" t="str">
        <f t="shared" si="144"/>
        <v>GCSU_1078</v>
      </c>
      <c r="B2365" t="str">
        <f t="shared" si="145"/>
        <v>GCSU_Miller Court</v>
      </c>
      <c r="C2365" t="s">
        <v>448</v>
      </c>
      <c r="D2365" s="180" t="s">
        <v>26</v>
      </c>
      <c r="E2365" t="s">
        <v>5085</v>
      </c>
      <c r="F2365" t="s">
        <v>5086</v>
      </c>
      <c r="G2365" s="180">
        <v>25402</v>
      </c>
      <c r="H2365">
        <v>1945</v>
      </c>
      <c r="I2365">
        <v>1994</v>
      </c>
      <c r="J2365" s="1334" t="s">
        <v>475</v>
      </c>
      <c r="K2365" s="1335" t="s">
        <v>475</v>
      </c>
      <c r="L2365" s="180">
        <v>100</v>
      </c>
      <c r="M2365" t="s">
        <v>7823</v>
      </c>
      <c r="N2365" t="str">
        <f t="shared" si="146"/>
        <v>Miller Court (1078)</v>
      </c>
      <c r="O2365" t="s">
        <v>41</v>
      </c>
      <c r="P2365" t="str">
        <f t="shared" si="147"/>
        <v>36000_1078</v>
      </c>
      <c r="Q2365" s="180">
        <v>0</v>
      </c>
    </row>
    <row r="2366" spans="1:17">
      <c r="A2366" t="str">
        <f t="shared" si="144"/>
        <v>GCSU_1989</v>
      </c>
      <c r="B2366" t="str">
        <f t="shared" si="145"/>
        <v>GCSU_Centennial Center</v>
      </c>
      <c r="C2366" t="s">
        <v>448</v>
      </c>
      <c r="D2366" s="180" t="s">
        <v>26</v>
      </c>
      <c r="E2366" t="s">
        <v>4989</v>
      </c>
      <c r="F2366" t="s">
        <v>4990</v>
      </c>
      <c r="G2366" s="180">
        <v>99748</v>
      </c>
      <c r="H2366">
        <v>1988</v>
      </c>
      <c r="J2366" s="1334" t="s">
        <v>475</v>
      </c>
      <c r="K2366" s="1335" t="s">
        <v>475</v>
      </c>
      <c r="L2366" s="180">
        <v>100</v>
      </c>
      <c r="M2366" t="s">
        <v>7823</v>
      </c>
      <c r="N2366" t="str">
        <f t="shared" si="146"/>
        <v>Centennial Center (1989)</v>
      </c>
      <c r="O2366" t="s">
        <v>41</v>
      </c>
      <c r="P2366" t="str">
        <f t="shared" si="147"/>
        <v>36000_1989</v>
      </c>
      <c r="Q2366" s="180">
        <v>0</v>
      </c>
    </row>
    <row r="2367" spans="1:17">
      <c r="A2367" t="str">
        <f t="shared" si="144"/>
        <v>GCSU_1990</v>
      </c>
      <c r="B2367" t="str">
        <f t="shared" si="145"/>
        <v>GCSU_The Depot</v>
      </c>
      <c r="C2367" t="s">
        <v>448</v>
      </c>
      <c r="D2367" s="180" t="s">
        <v>26</v>
      </c>
      <c r="E2367" t="s">
        <v>4950</v>
      </c>
      <c r="F2367" t="s">
        <v>4951</v>
      </c>
      <c r="G2367" s="180">
        <v>10802</v>
      </c>
      <c r="H2367">
        <v>1890</v>
      </c>
      <c r="I2367">
        <v>2003</v>
      </c>
      <c r="J2367" s="1334" t="s">
        <v>475</v>
      </c>
      <c r="K2367" s="1335" t="s">
        <v>475</v>
      </c>
      <c r="L2367" s="180">
        <v>100</v>
      </c>
      <c r="M2367" t="s">
        <v>7823</v>
      </c>
      <c r="N2367" t="str">
        <f t="shared" si="146"/>
        <v>The Depot (1990)</v>
      </c>
      <c r="O2367" t="s">
        <v>41</v>
      </c>
      <c r="P2367" t="str">
        <f t="shared" si="147"/>
        <v>36000_1990</v>
      </c>
      <c r="Q2367" s="180">
        <v>0</v>
      </c>
    </row>
    <row r="2368" spans="1:17">
      <c r="A2368" t="str">
        <f t="shared" si="144"/>
        <v>GCSU_2056</v>
      </c>
      <c r="B2368" t="str">
        <f t="shared" si="145"/>
        <v>GCSU_Terrell Hall</v>
      </c>
      <c r="C2368" t="s">
        <v>448</v>
      </c>
      <c r="D2368" s="180" t="s">
        <v>26</v>
      </c>
      <c r="E2368" t="s">
        <v>5002</v>
      </c>
      <c r="F2368" t="s">
        <v>5003</v>
      </c>
      <c r="G2368" s="180">
        <v>36782</v>
      </c>
      <c r="H2368">
        <v>1909</v>
      </c>
      <c r="I2368">
        <v>2018</v>
      </c>
      <c r="J2368" s="1334" t="s">
        <v>520</v>
      </c>
      <c r="K2368" s="1335" t="s">
        <v>475</v>
      </c>
      <c r="L2368" s="180">
        <v>100</v>
      </c>
      <c r="M2368" t="s">
        <v>7823</v>
      </c>
      <c r="N2368" t="str">
        <f t="shared" si="146"/>
        <v>Terrell Hall (2056)</v>
      </c>
      <c r="O2368" t="s">
        <v>41</v>
      </c>
      <c r="P2368" t="str">
        <f t="shared" si="147"/>
        <v>36000_2056</v>
      </c>
      <c r="Q2368" s="180">
        <v>0</v>
      </c>
    </row>
    <row r="2369" spans="1:17">
      <c r="A2369" t="str">
        <f t="shared" si="144"/>
        <v>GCSU_2060</v>
      </c>
      <c r="B2369" t="str">
        <f t="shared" si="145"/>
        <v>GCSU_Maxwell Student Union</v>
      </c>
      <c r="C2369" t="s">
        <v>448</v>
      </c>
      <c r="D2369" s="180" t="s">
        <v>26</v>
      </c>
      <c r="E2369" t="s">
        <v>4940</v>
      </c>
      <c r="F2369" t="s">
        <v>4941</v>
      </c>
      <c r="G2369" s="180">
        <v>65790</v>
      </c>
      <c r="H2369">
        <v>1971</v>
      </c>
      <c r="J2369" s="1334" t="s">
        <v>475</v>
      </c>
      <c r="K2369" s="1335" t="s">
        <v>475</v>
      </c>
      <c r="L2369" s="180">
        <v>42</v>
      </c>
      <c r="M2369" t="s">
        <v>7823</v>
      </c>
      <c r="N2369" t="str">
        <f t="shared" si="146"/>
        <v>Maxwell Student Union (2060)</v>
      </c>
      <c r="O2369" t="s">
        <v>41</v>
      </c>
      <c r="P2369" t="str">
        <f t="shared" si="147"/>
        <v>36000_2060</v>
      </c>
      <c r="Q2369" s="180">
        <v>0</v>
      </c>
    </row>
    <row r="2370" spans="1:17">
      <c r="A2370" t="str">
        <f t="shared" si="144"/>
        <v>GCSU_2063</v>
      </c>
      <c r="B2370" t="str">
        <f t="shared" si="145"/>
        <v>GCSU_Miller Gym</v>
      </c>
      <c r="C2370" t="s">
        <v>448</v>
      </c>
      <c r="D2370" s="180" t="s">
        <v>26</v>
      </c>
      <c r="E2370" t="s">
        <v>5006</v>
      </c>
      <c r="F2370" t="s">
        <v>5007</v>
      </c>
      <c r="G2370" s="180">
        <v>13038</v>
      </c>
      <c r="H2370">
        <v>1943</v>
      </c>
      <c r="I2370">
        <v>1990</v>
      </c>
      <c r="J2370" s="1334" t="s">
        <v>475</v>
      </c>
      <c r="K2370" s="1335" t="s">
        <v>475</v>
      </c>
      <c r="L2370" s="180">
        <v>100</v>
      </c>
      <c r="M2370" t="s">
        <v>7823</v>
      </c>
      <c r="N2370" t="str">
        <f t="shared" si="146"/>
        <v>Miller Gym (2063)</v>
      </c>
      <c r="O2370" t="s">
        <v>41</v>
      </c>
      <c r="P2370" t="str">
        <f t="shared" si="147"/>
        <v>36000_2063</v>
      </c>
      <c r="Q2370" s="180">
        <v>0</v>
      </c>
    </row>
    <row r="2371" spans="1:17">
      <c r="A2371" t="str">
        <f t="shared" ref="A2371:A2434" si="148">_xlfn.CONCAT(D2371,"_",E2371)</f>
        <v>GCSU_2070</v>
      </c>
      <c r="B2371" t="str">
        <f t="shared" ref="B2371:B2434" si="149">_xlfn.CONCAT(D2371,"_",F2371)</f>
        <v>GCSU_Bone House</v>
      </c>
      <c r="C2371" t="s">
        <v>448</v>
      </c>
      <c r="D2371" s="180" t="s">
        <v>26</v>
      </c>
      <c r="E2371" t="s">
        <v>5089</v>
      </c>
      <c r="F2371" t="s">
        <v>5090</v>
      </c>
      <c r="G2371" s="180">
        <v>3974</v>
      </c>
      <c r="H2371">
        <v>1901</v>
      </c>
      <c r="J2371" s="1334" t="s">
        <v>475</v>
      </c>
      <c r="K2371" s="1335" t="s">
        <v>475</v>
      </c>
      <c r="L2371" s="180">
        <v>100</v>
      </c>
      <c r="M2371" t="s">
        <v>7823</v>
      </c>
      <c r="N2371" t="str">
        <f t="shared" ref="N2371:N2434" si="150">_xlfn.CONCAT(F2371," (",E2371,")")</f>
        <v>Bone House (2070)</v>
      </c>
      <c r="O2371" t="s">
        <v>41</v>
      </c>
      <c r="P2371" t="str">
        <f t="shared" ref="P2371:P2434" si="151">_xlfn.CONCAT(C2371,"_",E2371)</f>
        <v>36000_2070</v>
      </c>
      <c r="Q2371" s="180">
        <v>0</v>
      </c>
    </row>
    <row r="2372" spans="1:17">
      <c r="A2372" t="str">
        <f t="shared" si="148"/>
        <v>GCSU_3014</v>
      </c>
      <c r="B2372" t="str">
        <f t="shared" si="149"/>
        <v>GCSU_Porter Hall</v>
      </c>
      <c r="C2372" t="s">
        <v>448</v>
      </c>
      <c r="D2372" s="180" t="s">
        <v>26</v>
      </c>
      <c r="E2372" t="s">
        <v>5063</v>
      </c>
      <c r="F2372" t="s">
        <v>5064</v>
      </c>
      <c r="G2372" s="180">
        <v>36484</v>
      </c>
      <c r="H2372">
        <v>1939</v>
      </c>
      <c r="J2372" s="1334" t="s">
        <v>475</v>
      </c>
      <c r="K2372" s="1335" t="s">
        <v>475</v>
      </c>
      <c r="L2372" s="180">
        <v>100</v>
      </c>
      <c r="M2372" t="s">
        <v>7823</v>
      </c>
      <c r="N2372" t="str">
        <f t="shared" si="150"/>
        <v>Porter Hall (3014)</v>
      </c>
      <c r="O2372" t="s">
        <v>41</v>
      </c>
      <c r="P2372" t="str">
        <f t="shared" si="151"/>
        <v>36000_3014</v>
      </c>
      <c r="Q2372" s="180">
        <v>0</v>
      </c>
    </row>
    <row r="2373" spans="1:17">
      <c r="A2373" t="str">
        <f t="shared" si="148"/>
        <v>GCSU_3063</v>
      </c>
      <c r="B2373" t="str">
        <f t="shared" si="149"/>
        <v>GCSU_Mayfair Hall</v>
      </c>
      <c r="C2373" t="s">
        <v>448</v>
      </c>
      <c r="D2373" s="180" t="s">
        <v>26</v>
      </c>
      <c r="E2373" t="s">
        <v>5046</v>
      </c>
      <c r="F2373" t="s">
        <v>5047</v>
      </c>
      <c r="G2373" s="180">
        <v>16701</v>
      </c>
      <c r="H2373">
        <v>1910</v>
      </c>
      <c r="I2373">
        <v>2017</v>
      </c>
      <c r="J2373" s="1334" t="s">
        <v>520</v>
      </c>
      <c r="K2373" s="1335" t="s">
        <v>475</v>
      </c>
      <c r="L2373" s="180">
        <v>100</v>
      </c>
      <c r="M2373" t="s">
        <v>7823</v>
      </c>
      <c r="N2373" t="str">
        <f t="shared" si="150"/>
        <v>Mayfair Hall (3063)</v>
      </c>
      <c r="O2373" t="s">
        <v>41</v>
      </c>
      <c r="P2373" t="str">
        <f t="shared" si="151"/>
        <v>36000_3063</v>
      </c>
      <c r="Q2373" s="180">
        <v>0</v>
      </c>
    </row>
    <row r="2374" spans="1:17">
      <c r="A2374" t="str">
        <f t="shared" si="148"/>
        <v>GCSU_4014</v>
      </c>
      <c r="B2374" t="str">
        <f t="shared" si="149"/>
        <v>GCSU_Health Sciences</v>
      </c>
      <c r="C2374" t="s">
        <v>448</v>
      </c>
      <c r="D2374" s="180" t="s">
        <v>26</v>
      </c>
      <c r="E2374" t="s">
        <v>4991</v>
      </c>
      <c r="F2374" t="s">
        <v>73</v>
      </c>
      <c r="G2374" s="180">
        <v>48001</v>
      </c>
      <c r="H2374">
        <v>1939</v>
      </c>
      <c r="I2374">
        <v>2008</v>
      </c>
      <c r="J2374" s="1334" t="s">
        <v>520</v>
      </c>
      <c r="K2374" s="1335" t="s">
        <v>475</v>
      </c>
      <c r="L2374" s="180">
        <v>100</v>
      </c>
      <c r="M2374" t="s">
        <v>7823</v>
      </c>
      <c r="N2374" t="str">
        <f t="shared" si="150"/>
        <v>Health Sciences (4014)</v>
      </c>
      <c r="O2374" t="s">
        <v>41</v>
      </c>
      <c r="P2374" t="str">
        <f t="shared" si="151"/>
        <v>36000_4014</v>
      </c>
      <c r="Q2374" s="180">
        <v>0</v>
      </c>
    </row>
    <row r="2375" spans="1:17">
      <c r="A2375" t="str">
        <f t="shared" si="148"/>
        <v>GCSU_4056</v>
      </c>
      <c r="B2375" t="str">
        <f t="shared" si="149"/>
        <v>GCSU_Sanford Hall</v>
      </c>
      <c r="C2375" t="s">
        <v>448</v>
      </c>
      <c r="D2375" s="180" t="s">
        <v>26</v>
      </c>
      <c r="E2375" t="s">
        <v>4961</v>
      </c>
      <c r="F2375" t="s">
        <v>4962</v>
      </c>
      <c r="G2375" s="180">
        <v>44897</v>
      </c>
      <c r="H2375">
        <v>1938</v>
      </c>
      <c r="I2375">
        <v>2002</v>
      </c>
      <c r="J2375" s="1334" t="s">
        <v>486</v>
      </c>
      <c r="K2375" s="1335" t="s">
        <v>475</v>
      </c>
      <c r="L2375" s="180">
        <v>0</v>
      </c>
      <c r="M2375" t="s">
        <v>7823</v>
      </c>
      <c r="N2375" t="str">
        <f t="shared" si="150"/>
        <v>Sanford Hall (4056)</v>
      </c>
      <c r="O2375" t="s">
        <v>41</v>
      </c>
      <c r="P2375" t="str">
        <f t="shared" si="151"/>
        <v>36000_4056</v>
      </c>
      <c r="Q2375" s="180">
        <v>0</v>
      </c>
    </row>
    <row r="2376" spans="1:17">
      <c r="A2376" t="str">
        <f t="shared" si="148"/>
        <v>GCSU_4063</v>
      </c>
      <c r="B2376" t="str">
        <f t="shared" si="149"/>
        <v>GCSU_Lake Laurel Lodge</v>
      </c>
      <c r="C2376" t="s">
        <v>448</v>
      </c>
      <c r="D2376" s="180" t="s">
        <v>26</v>
      </c>
      <c r="E2376" t="s">
        <v>1547</v>
      </c>
      <c r="F2376" t="s">
        <v>4967</v>
      </c>
      <c r="G2376" s="180">
        <v>3343</v>
      </c>
      <c r="H2376">
        <v>1938</v>
      </c>
      <c r="J2376" s="1334" t="s">
        <v>475</v>
      </c>
      <c r="K2376" s="1335" t="s">
        <v>475</v>
      </c>
      <c r="L2376" s="180">
        <v>100</v>
      </c>
      <c r="M2376" t="s">
        <v>7823</v>
      </c>
      <c r="N2376" t="str">
        <f t="shared" si="150"/>
        <v>Lake Laurel Lodge (4063)</v>
      </c>
      <c r="O2376" t="s">
        <v>41</v>
      </c>
      <c r="P2376" t="str">
        <f t="shared" si="151"/>
        <v>36000_4063</v>
      </c>
      <c r="Q2376" s="180">
        <v>0</v>
      </c>
    </row>
    <row r="2377" spans="1:17">
      <c r="A2377" t="str">
        <f t="shared" si="148"/>
        <v>GCSU_4064</v>
      </c>
      <c r="B2377" t="str">
        <f t="shared" si="149"/>
        <v>GCSU_West Complex Pavillion</v>
      </c>
      <c r="C2377" t="s">
        <v>448</v>
      </c>
      <c r="D2377" s="180" t="s">
        <v>26</v>
      </c>
      <c r="E2377" t="s">
        <v>4942</v>
      </c>
      <c r="F2377" t="s">
        <v>4943</v>
      </c>
      <c r="G2377" s="180">
        <v>3277</v>
      </c>
      <c r="H2377">
        <v>1977</v>
      </c>
      <c r="J2377" s="1334" t="s">
        <v>475</v>
      </c>
      <c r="K2377" s="1335" t="s">
        <v>475</v>
      </c>
      <c r="L2377" s="180">
        <v>100</v>
      </c>
      <c r="M2377" t="s">
        <v>7823</v>
      </c>
      <c r="N2377" t="str">
        <f t="shared" si="150"/>
        <v>West Complex Pavillion (4064)</v>
      </c>
      <c r="O2377" t="s">
        <v>41</v>
      </c>
      <c r="P2377" t="str">
        <f t="shared" si="151"/>
        <v>36000_4064</v>
      </c>
      <c r="Q2377" s="180">
        <v>0</v>
      </c>
    </row>
    <row r="2378" spans="1:17">
      <c r="A2378" t="str">
        <f t="shared" si="148"/>
        <v>GCSU_4065</v>
      </c>
      <c r="B2378" t="str">
        <f t="shared" si="149"/>
        <v>GCSU_West Complex Restrooms</v>
      </c>
      <c r="C2378" t="s">
        <v>448</v>
      </c>
      <c r="D2378" s="180" t="s">
        <v>26</v>
      </c>
      <c r="E2378" t="s">
        <v>4944</v>
      </c>
      <c r="F2378" t="s">
        <v>4945</v>
      </c>
      <c r="G2378" s="180">
        <v>832</v>
      </c>
      <c r="H2378">
        <v>1983</v>
      </c>
      <c r="J2378" s="1334" t="s">
        <v>475</v>
      </c>
      <c r="K2378" s="1335" t="s">
        <v>475</v>
      </c>
      <c r="L2378" s="180">
        <v>100</v>
      </c>
      <c r="M2378" t="s">
        <v>7823</v>
      </c>
      <c r="N2378" t="str">
        <f t="shared" si="150"/>
        <v>West Complex Restrooms (4065)</v>
      </c>
      <c r="O2378" t="s">
        <v>41</v>
      </c>
      <c r="P2378" t="str">
        <f t="shared" si="151"/>
        <v>36000_4065</v>
      </c>
      <c r="Q2378" s="180">
        <v>0</v>
      </c>
    </row>
    <row r="2379" spans="1:17">
      <c r="A2379" t="str">
        <f t="shared" si="148"/>
        <v>GCSU_4067</v>
      </c>
      <c r="B2379" t="str">
        <f t="shared" si="149"/>
        <v>GCSU_West Complex Dugouts</v>
      </c>
      <c r="C2379" t="s">
        <v>448</v>
      </c>
      <c r="D2379" s="180" t="s">
        <v>26</v>
      </c>
      <c r="E2379" t="s">
        <v>5017</v>
      </c>
      <c r="F2379" t="s">
        <v>5018</v>
      </c>
      <c r="G2379" s="180">
        <v>1220</v>
      </c>
      <c r="H2379">
        <v>1980</v>
      </c>
      <c r="J2379" s="1334" t="s">
        <v>475</v>
      </c>
      <c r="K2379" s="1335" t="s">
        <v>475</v>
      </c>
      <c r="L2379" s="180">
        <v>100</v>
      </c>
      <c r="M2379" t="s">
        <v>7823</v>
      </c>
      <c r="N2379" t="str">
        <f t="shared" si="150"/>
        <v>West Complex Dugouts (4067)</v>
      </c>
      <c r="O2379" t="s">
        <v>41</v>
      </c>
      <c r="P2379" t="str">
        <f t="shared" si="151"/>
        <v>36000_4067</v>
      </c>
      <c r="Q2379" s="180">
        <v>0</v>
      </c>
    </row>
    <row r="2380" spans="1:17">
      <c r="A2380" t="str">
        <f t="shared" si="148"/>
        <v>GCSU_4068</v>
      </c>
      <c r="B2380" t="str">
        <f t="shared" si="149"/>
        <v>GCSU_Soccer Stadium</v>
      </c>
      <c r="C2380" t="s">
        <v>448</v>
      </c>
      <c r="D2380" s="180" t="s">
        <v>26</v>
      </c>
      <c r="E2380" t="s">
        <v>7020</v>
      </c>
      <c r="F2380" t="s">
        <v>7090</v>
      </c>
      <c r="G2380" s="180">
        <v>2012</v>
      </c>
      <c r="H2380">
        <v>2009</v>
      </c>
      <c r="J2380" s="1334" t="s">
        <v>475</v>
      </c>
      <c r="K2380" s="1335" t="s">
        <v>475</v>
      </c>
      <c r="L2380" s="180">
        <v>100</v>
      </c>
      <c r="M2380" t="s">
        <v>7823</v>
      </c>
      <c r="N2380" t="str">
        <f t="shared" si="150"/>
        <v>Soccer Stadium (4068)</v>
      </c>
      <c r="O2380" t="s">
        <v>41</v>
      </c>
      <c r="P2380" t="str">
        <f t="shared" si="151"/>
        <v>36000_4068</v>
      </c>
      <c r="Q2380" s="180">
        <v>0</v>
      </c>
    </row>
    <row r="2381" spans="1:17">
      <c r="A2381" t="str">
        <f t="shared" si="148"/>
        <v>GCSU_5014</v>
      </c>
      <c r="B2381" t="str">
        <f t="shared" si="149"/>
        <v>GCSU_Herty Hall</v>
      </c>
      <c r="C2381" t="s">
        <v>448</v>
      </c>
      <c r="D2381" s="180" t="s">
        <v>26</v>
      </c>
      <c r="E2381" t="s">
        <v>3934</v>
      </c>
      <c r="F2381" t="s">
        <v>5019</v>
      </c>
      <c r="G2381" s="180">
        <v>24909</v>
      </c>
      <c r="H2381">
        <v>1954</v>
      </c>
      <c r="I2381">
        <v>1998</v>
      </c>
      <c r="J2381" s="1334" t="s">
        <v>475</v>
      </c>
      <c r="K2381" s="1335" t="s">
        <v>475</v>
      </c>
      <c r="L2381" s="180">
        <v>100</v>
      </c>
      <c r="M2381" t="s">
        <v>7823</v>
      </c>
      <c r="N2381" t="str">
        <f t="shared" si="150"/>
        <v>Herty Hall (5014)</v>
      </c>
      <c r="O2381" t="s">
        <v>41</v>
      </c>
      <c r="P2381" t="str">
        <f t="shared" si="151"/>
        <v>36000_5014</v>
      </c>
      <c r="Q2381" s="180">
        <v>0</v>
      </c>
    </row>
    <row r="2382" spans="1:17">
      <c r="A2382" t="str">
        <f t="shared" si="148"/>
        <v>GCSU_5015</v>
      </c>
      <c r="B2382" t="str">
        <f t="shared" si="149"/>
        <v>GCSU_Greenhouse</v>
      </c>
      <c r="C2382" t="s">
        <v>448</v>
      </c>
      <c r="D2382" s="180" t="s">
        <v>26</v>
      </c>
      <c r="E2382" t="s">
        <v>2938</v>
      </c>
      <c r="F2382" t="s">
        <v>1278</v>
      </c>
      <c r="G2382" s="180">
        <v>2064</v>
      </c>
      <c r="H2382">
        <v>1954</v>
      </c>
      <c r="I2382">
        <v>1986</v>
      </c>
      <c r="J2382" s="1334" t="s">
        <v>475</v>
      </c>
      <c r="K2382" s="1335" t="s">
        <v>475</v>
      </c>
      <c r="L2382" s="180">
        <v>100</v>
      </c>
      <c r="M2382" t="s">
        <v>7823</v>
      </c>
      <c r="N2382" t="str">
        <f t="shared" si="150"/>
        <v>Greenhouse (5015)</v>
      </c>
      <c r="O2382" t="s">
        <v>41</v>
      </c>
      <c r="P2382" t="str">
        <f t="shared" si="151"/>
        <v>36000_5015</v>
      </c>
      <c r="Q2382" s="180">
        <v>0</v>
      </c>
    </row>
    <row r="2383" spans="1:17">
      <c r="A2383" t="str">
        <f t="shared" si="148"/>
        <v>GCSU_5016</v>
      </c>
      <c r="B2383" t="str">
        <f t="shared" si="149"/>
        <v>GCSU_HazMat Bldg</v>
      </c>
      <c r="C2383" t="s">
        <v>448</v>
      </c>
      <c r="D2383" s="180" t="s">
        <v>26</v>
      </c>
      <c r="E2383" t="s">
        <v>2017</v>
      </c>
      <c r="F2383" t="s">
        <v>5065</v>
      </c>
      <c r="G2383" s="180">
        <v>380</v>
      </c>
      <c r="H2383">
        <v>1998</v>
      </c>
      <c r="J2383" s="1334" t="s">
        <v>475</v>
      </c>
      <c r="K2383" s="1335" t="s">
        <v>475</v>
      </c>
      <c r="L2383" s="180">
        <v>100</v>
      </c>
      <c r="M2383" t="s">
        <v>7823</v>
      </c>
      <c r="N2383" t="str">
        <f t="shared" si="150"/>
        <v>HazMat Bldg (5016)</v>
      </c>
      <c r="O2383" t="s">
        <v>41</v>
      </c>
      <c r="P2383" t="str">
        <f t="shared" si="151"/>
        <v>36000_5016</v>
      </c>
      <c r="Q2383" s="180">
        <v>0</v>
      </c>
    </row>
    <row r="2384" spans="1:17">
      <c r="A2384" t="str">
        <f t="shared" si="148"/>
        <v>GCSU_5056</v>
      </c>
      <c r="B2384" t="str">
        <f t="shared" si="149"/>
        <v>GCSU_Beeson Hall</v>
      </c>
      <c r="C2384" t="s">
        <v>448</v>
      </c>
      <c r="D2384" s="180" t="s">
        <v>26</v>
      </c>
      <c r="E2384" t="s">
        <v>3545</v>
      </c>
      <c r="F2384" t="s">
        <v>5021</v>
      </c>
      <c r="G2384" s="180">
        <v>33895</v>
      </c>
      <c r="H2384">
        <v>1937</v>
      </c>
      <c r="I2384">
        <v>2017</v>
      </c>
      <c r="J2384" s="1334" t="s">
        <v>520</v>
      </c>
      <c r="K2384" s="1335" t="s">
        <v>475</v>
      </c>
      <c r="L2384" s="180">
        <v>100</v>
      </c>
      <c r="M2384" t="s">
        <v>7823</v>
      </c>
      <c r="N2384" t="str">
        <f t="shared" si="150"/>
        <v>Beeson Hall (5056)</v>
      </c>
      <c r="O2384" t="s">
        <v>41</v>
      </c>
      <c r="P2384" t="str">
        <f t="shared" si="151"/>
        <v>36000_5056</v>
      </c>
      <c r="Q2384" s="180">
        <v>0</v>
      </c>
    </row>
    <row r="2385" spans="1:17">
      <c r="A2385" t="str">
        <f t="shared" si="148"/>
        <v>GCSU_5063</v>
      </c>
      <c r="B2385" t="str">
        <f t="shared" si="149"/>
        <v>GCSU_Lake Laurel Craftshack</v>
      </c>
      <c r="C2385" t="s">
        <v>448</v>
      </c>
      <c r="D2385" s="180" t="s">
        <v>26</v>
      </c>
      <c r="E2385" t="s">
        <v>3918</v>
      </c>
      <c r="F2385" t="s">
        <v>4997</v>
      </c>
      <c r="G2385" s="180">
        <v>1131</v>
      </c>
      <c r="H2385">
        <v>1973</v>
      </c>
      <c r="J2385" s="1334" t="s">
        <v>475</v>
      </c>
      <c r="K2385" s="1335" t="s">
        <v>475</v>
      </c>
      <c r="L2385" s="180">
        <v>100</v>
      </c>
      <c r="M2385" t="s">
        <v>4</v>
      </c>
      <c r="N2385" t="str">
        <f t="shared" si="150"/>
        <v>Lake Laurel Craftshack (5063)</v>
      </c>
      <c r="O2385" t="s">
        <v>41</v>
      </c>
      <c r="P2385" t="str">
        <f t="shared" si="151"/>
        <v>36000_5063</v>
      </c>
      <c r="Q2385" s="180">
        <v>0</v>
      </c>
    </row>
    <row r="2386" spans="1:17">
      <c r="A2386" t="str">
        <f t="shared" si="148"/>
        <v>GCSU_5064</v>
      </c>
      <c r="B2386" t="str">
        <f t="shared" si="149"/>
        <v>GCSU_Lake Laurel Cabin</v>
      </c>
      <c r="C2386" t="s">
        <v>448</v>
      </c>
      <c r="D2386" s="180" t="s">
        <v>26</v>
      </c>
      <c r="E2386" t="s">
        <v>5074</v>
      </c>
      <c r="F2386" t="s">
        <v>5075</v>
      </c>
      <c r="G2386" s="180">
        <v>225</v>
      </c>
      <c r="H2386">
        <v>1938</v>
      </c>
      <c r="J2386" s="1334" t="s">
        <v>475</v>
      </c>
      <c r="K2386" s="1335" t="s">
        <v>475</v>
      </c>
      <c r="L2386" s="180">
        <v>100</v>
      </c>
      <c r="M2386" t="s">
        <v>4</v>
      </c>
      <c r="N2386" t="str">
        <f t="shared" si="150"/>
        <v>Lake Laurel Cabin (5064)</v>
      </c>
      <c r="O2386" t="s">
        <v>41</v>
      </c>
      <c r="P2386" t="str">
        <f t="shared" si="151"/>
        <v>36000_5064</v>
      </c>
      <c r="Q2386" s="180">
        <v>0</v>
      </c>
    </row>
    <row r="2387" spans="1:17">
      <c r="A2387" t="str">
        <f t="shared" si="148"/>
        <v>GCSU_5067</v>
      </c>
      <c r="B2387" t="str">
        <f t="shared" si="149"/>
        <v>GCSU_Lake Laurel Canoe Storage</v>
      </c>
      <c r="C2387" t="s">
        <v>448</v>
      </c>
      <c r="D2387" s="180" t="s">
        <v>26</v>
      </c>
      <c r="E2387" t="s">
        <v>3657</v>
      </c>
      <c r="F2387" t="s">
        <v>4978</v>
      </c>
      <c r="G2387" s="180">
        <v>840</v>
      </c>
      <c r="H2387">
        <v>2000</v>
      </c>
      <c r="J2387" s="1334" t="s">
        <v>475</v>
      </c>
      <c r="K2387" s="1335" t="s">
        <v>475</v>
      </c>
      <c r="L2387" s="180">
        <v>100</v>
      </c>
      <c r="M2387" t="s">
        <v>4</v>
      </c>
      <c r="N2387" t="str">
        <f t="shared" si="150"/>
        <v>Lake Laurel Canoe Storage (5067)</v>
      </c>
      <c r="O2387" t="s">
        <v>41</v>
      </c>
      <c r="P2387" t="str">
        <f t="shared" si="151"/>
        <v>36000_5067</v>
      </c>
      <c r="Q2387" s="180">
        <v>0</v>
      </c>
    </row>
    <row r="2388" spans="1:17">
      <c r="A2388" t="str">
        <f t="shared" si="148"/>
        <v>GCSU_5070</v>
      </c>
      <c r="B2388" t="str">
        <f t="shared" si="149"/>
        <v>GCSU_Lake Laurel Pavilion</v>
      </c>
      <c r="C2388" t="s">
        <v>448</v>
      </c>
      <c r="D2388" s="180" t="s">
        <v>26</v>
      </c>
      <c r="E2388" t="s">
        <v>1869</v>
      </c>
      <c r="F2388" t="s">
        <v>4979</v>
      </c>
      <c r="G2388" s="180">
        <v>2433</v>
      </c>
      <c r="H2388">
        <v>2021</v>
      </c>
      <c r="J2388" s="1334" t="s">
        <v>475</v>
      </c>
      <c r="K2388" s="1335" t="s">
        <v>520</v>
      </c>
      <c r="L2388" s="180">
        <v>100</v>
      </c>
      <c r="M2388" t="s">
        <v>4</v>
      </c>
      <c r="N2388" t="str">
        <f t="shared" si="150"/>
        <v>Lake Laurel Pavilion (5070)</v>
      </c>
      <c r="O2388" t="s">
        <v>41</v>
      </c>
      <c r="P2388" t="str">
        <f t="shared" si="151"/>
        <v>36000_5070</v>
      </c>
      <c r="Q2388" s="180">
        <v>0</v>
      </c>
    </row>
    <row r="2389" spans="1:17">
      <c r="A2389" t="str">
        <f t="shared" si="148"/>
        <v>GCSU_5071</v>
      </c>
      <c r="B2389" t="str">
        <f t="shared" si="149"/>
        <v>GCSU_Lake Laurel Restrooms</v>
      </c>
      <c r="C2389" t="s">
        <v>448</v>
      </c>
      <c r="D2389" s="180" t="s">
        <v>26</v>
      </c>
      <c r="E2389" t="s">
        <v>7021</v>
      </c>
      <c r="F2389" t="s">
        <v>7091</v>
      </c>
      <c r="G2389" s="180">
        <v>360</v>
      </c>
      <c r="H2389">
        <v>2021</v>
      </c>
      <c r="J2389" s="1334" t="s">
        <v>475</v>
      </c>
      <c r="K2389" s="1335" t="s">
        <v>920</v>
      </c>
      <c r="L2389" s="180">
        <v>100</v>
      </c>
      <c r="M2389" t="s">
        <v>4</v>
      </c>
      <c r="N2389" t="str">
        <f t="shared" si="150"/>
        <v>Lake Laurel Restrooms (5071)</v>
      </c>
      <c r="O2389" t="s">
        <v>41</v>
      </c>
      <c r="P2389" t="str">
        <f t="shared" si="151"/>
        <v>36000_5071</v>
      </c>
      <c r="Q2389" s="180">
        <v>0</v>
      </c>
    </row>
    <row r="2390" spans="1:17">
      <c r="A2390" t="str">
        <f t="shared" si="148"/>
        <v>GCSU_5108</v>
      </c>
      <c r="B2390" t="str">
        <f t="shared" si="149"/>
        <v>GCSU_Golf Cart Storage</v>
      </c>
      <c r="C2390" t="s">
        <v>448</v>
      </c>
      <c r="D2390" s="180" t="s">
        <v>26</v>
      </c>
      <c r="E2390" t="s">
        <v>7022</v>
      </c>
      <c r="F2390" t="s">
        <v>7092</v>
      </c>
      <c r="G2390" s="180">
        <v>960</v>
      </c>
      <c r="H2390">
        <v>2016</v>
      </c>
      <c r="J2390" s="1334" t="s">
        <v>475</v>
      </c>
      <c r="K2390" s="1335" t="s">
        <v>475</v>
      </c>
      <c r="L2390" s="180">
        <v>100</v>
      </c>
      <c r="M2390" t="s">
        <v>7823</v>
      </c>
      <c r="N2390" t="str">
        <f t="shared" si="150"/>
        <v>Golf Cart Storage (5108)</v>
      </c>
      <c r="O2390" t="s">
        <v>41</v>
      </c>
      <c r="P2390" t="str">
        <f t="shared" si="151"/>
        <v>36000_5108</v>
      </c>
      <c r="Q2390" s="180">
        <v>0</v>
      </c>
    </row>
    <row r="2391" spans="1:17">
      <c r="A2391" t="str">
        <f t="shared" si="148"/>
        <v>GCSU_6014</v>
      </c>
      <c r="B2391" t="str">
        <f t="shared" si="149"/>
        <v>GCSU_Chappell Hall</v>
      </c>
      <c r="C2391" t="s">
        <v>448</v>
      </c>
      <c r="D2391" s="180" t="s">
        <v>26</v>
      </c>
      <c r="E2391" t="s">
        <v>2904</v>
      </c>
      <c r="F2391" t="s">
        <v>5052</v>
      </c>
      <c r="G2391" s="180">
        <v>36032</v>
      </c>
      <c r="H2391">
        <v>1962</v>
      </c>
      <c r="J2391" s="1334" t="s">
        <v>475</v>
      </c>
      <c r="K2391" s="1335" t="s">
        <v>475</v>
      </c>
      <c r="L2391" s="180">
        <v>100</v>
      </c>
      <c r="M2391" t="s">
        <v>7823</v>
      </c>
      <c r="N2391" t="str">
        <f t="shared" si="150"/>
        <v>Chappell Hall (6014)</v>
      </c>
      <c r="O2391" t="s">
        <v>41</v>
      </c>
      <c r="P2391" t="str">
        <f t="shared" si="151"/>
        <v>36000_6014</v>
      </c>
      <c r="Q2391" s="180">
        <v>0</v>
      </c>
    </row>
    <row r="2392" spans="1:17">
      <c r="A2392" t="str">
        <f t="shared" si="148"/>
        <v>GCSU_6050</v>
      </c>
      <c r="B2392" t="str">
        <f t="shared" si="149"/>
        <v>GCSU_Lake Laurel Cottage</v>
      </c>
      <c r="C2392" t="s">
        <v>448</v>
      </c>
      <c r="D2392" s="180" t="s">
        <v>26</v>
      </c>
      <c r="E2392" t="s">
        <v>5036</v>
      </c>
      <c r="F2392" t="s">
        <v>5037</v>
      </c>
      <c r="G2392" s="180">
        <v>1464</v>
      </c>
      <c r="H2392">
        <v>1951</v>
      </c>
      <c r="J2392" s="1334" t="s">
        <v>475</v>
      </c>
      <c r="K2392" s="1335" t="s">
        <v>475</v>
      </c>
      <c r="L2392" s="180">
        <v>100</v>
      </c>
      <c r="M2392" t="s">
        <v>4</v>
      </c>
      <c r="N2392" t="str">
        <f t="shared" si="150"/>
        <v>Lake Laurel Cottage (6050)</v>
      </c>
      <c r="O2392" t="s">
        <v>41</v>
      </c>
      <c r="P2392" t="str">
        <f t="shared" si="151"/>
        <v>36000_6050</v>
      </c>
      <c r="Q2392" s="180">
        <v>0</v>
      </c>
    </row>
    <row r="2393" spans="1:17">
      <c r="A2393" t="str">
        <f t="shared" si="148"/>
        <v>GCSU_8014</v>
      </c>
      <c r="B2393" t="str">
        <f t="shared" si="149"/>
        <v>GCSU_Herty Science #2</v>
      </c>
      <c r="C2393" t="s">
        <v>448</v>
      </c>
      <c r="D2393" s="180" t="s">
        <v>26</v>
      </c>
      <c r="E2393" t="s">
        <v>5024</v>
      </c>
      <c r="F2393" t="s">
        <v>5025</v>
      </c>
      <c r="G2393" s="180">
        <v>54078</v>
      </c>
      <c r="H2393">
        <v>1971</v>
      </c>
      <c r="I2393">
        <v>2010</v>
      </c>
      <c r="J2393" s="1334" t="s">
        <v>520</v>
      </c>
      <c r="K2393" s="1335" t="s">
        <v>475</v>
      </c>
      <c r="L2393" s="180">
        <v>100</v>
      </c>
      <c r="M2393" t="s">
        <v>7823</v>
      </c>
      <c r="N2393" t="str">
        <f t="shared" si="150"/>
        <v>Herty Science #2 (8014)</v>
      </c>
      <c r="O2393" t="s">
        <v>41</v>
      </c>
      <c r="P2393" t="str">
        <f t="shared" si="151"/>
        <v>36000_8014</v>
      </c>
      <c r="Q2393" s="180">
        <v>0</v>
      </c>
    </row>
    <row r="2394" spans="1:17">
      <c r="A2394" t="str">
        <f t="shared" si="148"/>
        <v>GCSU_8015</v>
      </c>
      <c r="B2394" t="str">
        <f t="shared" si="149"/>
        <v>GCSU_Underwood</v>
      </c>
      <c r="C2394" t="s">
        <v>448</v>
      </c>
      <c r="D2394" s="180" t="s">
        <v>26</v>
      </c>
      <c r="E2394" t="s">
        <v>4946</v>
      </c>
      <c r="F2394" t="s">
        <v>4947</v>
      </c>
      <c r="G2394" s="180">
        <v>5794</v>
      </c>
      <c r="H2394">
        <v>1936</v>
      </c>
      <c r="J2394" s="1334" t="s">
        <v>475</v>
      </c>
      <c r="K2394" s="1335" t="s">
        <v>475</v>
      </c>
      <c r="L2394" s="180">
        <v>100</v>
      </c>
      <c r="M2394" t="s">
        <v>7823</v>
      </c>
      <c r="N2394" t="str">
        <f t="shared" si="150"/>
        <v>Underwood (8015)</v>
      </c>
      <c r="O2394" t="s">
        <v>41</v>
      </c>
      <c r="P2394" t="str">
        <f t="shared" si="151"/>
        <v>36000_8015</v>
      </c>
      <c r="Q2394" s="180">
        <v>0</v>
      </c>
    </row>
    <row r="2395" spans="1:17">
      <c r="A2395" t="str">
        <f t="shared" si="148"/>
        <v>GCSU_8016</v>
      </c>
      <c r="B2395" t="str">
        <f t="shared" si="149"/>
        <v>GCSU_Newell-Watts House</v>
      </c>
      <c r="C2395" t="s">
        <v>448</v>
      </c>
      <c r="D2395" s="180" t="s">
        <v>26</v>
      </c>
      <c r="E2395" t="s">
        <v>5066</v>
      </c>
      <c r="F2395" t="s">
        <v>5067</v>
      </c>
      <c r="G2395" s="180">
        <v>6548</v>
      </c>
      <c r="H2395">
        <v>1826</v>
      </c>
      <c r="J2395" s="1334" t="s">
        <v>475</v>
      </c>
      <c r="K2395" s="1335" t="s">
        <v>475</v>
      </c>
      <c r="L2395" s="180">
        <v>100</v>
      </c>
      <c r="M2395" t="s">
        <v>7823</v>
      </c>
      <c r="N2395" t="str">
        <f t="shared" si="150"/>
        <v>Newell-Watts House (8016)</v>
      </c>
      <c r="O2395" t="s">
        <v>41</v>
      </c>
      <c r="P2395" t="str">
        <f t="shared" si="151"/>
        <v>36000_8016</v>
      </c>
      <c r="Q2395" s="180">
        <v>0</v>
      </c>
    </row>
    <row r="2396" spans="1:17">
      <c r="A2396" t="str">
        <f t="shared" si="148"/>
        <v>GCSU_8050</v>
      </c>
      <c r="B2396" t="str">
        <f t="shared" si="149"/>
        <v>GCSU_Blackbridge House</v>
      </c>
      <c r="C2396" t="s">
        <v>448</v>
      </c>
      <c r="D2396" s="180" t="s">
        <v>26</v>
      </c>
      <c r="E2396" t="s">
        <v>4959</v>
      </c>
      <c r="F2396" t="s">
        <v>4960</v>
      </c>
      <c r="G2396" s="180">
        <v>5165</v>
      </c>
      <c r="H2396">
        <v>1900</v>
      </c>
      <c r="I2396">
        <v>1985</v>
      </c>
      <c r="J2396" s="1334" t="s">
        <v>475</v>
      </c>
      <c r="K2396" s="1335" t="s">
        <v>475</v>
      </c>
      <c r="L2396" s="180">
        <v>100</v>
      </c>
      <c r="M2396" t="s">
        <v>7823</v>
      </c>
      <c r="N2396" t="str">
        <f t="shared" si="150"/>
        <v>Blackbridge House (8050)</v>
      </c>
      <c r="O2396" t="s">
        <v>41</v>
      </c>
      <c r="P2396" t="str">
        <f t="shared" si="151"/>
        <v>36000_8050</v>
      </c>
      <c r="Q2396" s="180">
        <v>0</v>
      </c>
    </row>
    <row r="2397" spans="1:17">
      <c r="A2397" t="str">
        <f t="shared" si="148"/>
        <v>GCSU_8056</v>
      </c>
      <c r="B2397" t="str">
        <f t="shared" si="149"/>
        <v>GCSU_Wooten-Garner House</v>
      </c>
      <c r="C2397" t="s">
        <v>448</v>
      </c>
      <c r="D2397" s="180" t="s">
        <v>26</v>
      </c>
      <c r="E2397" t="s">
        <v>5068</v>
      </c>
      <c r="F2397" t="s">
        <v>5069</v>
      </c>
      <c r="G2397" s="180">
        <v>7544</v>
      </c>
      <c r="H2397">
        <v>1900</v>
      </c>
      <c r="I2397">
        <v>1991</v>
      </c>
      <c r="J2397" s="1334" t="s">
        <v>475</v>
      </c>
      <c r="K2397" s="1335" t="s">
        <v>475</v>
      </c>
      <c r="L2397" s="180">
        <v>100</v>
      </c>
      <c r="M2397" t="s">
        <v>7823</v>
      </c>
      <c r="N2397" t="str">
        <f t="shared" si="150"/>
        <v>Wooten-Garner House (8056)</v>
      </c>
      <c r="O2397" t="s">
        <v>41</v>
      </c>
      <c r="P2397" t="str">
        <f t="shared" si="151"/>
        <v>36000_8056</v>
      </c>
      <c r="Q2397" s="180">
        <v>0</v>
      </c>
    </row>
    <row r="2398" spans="1:17">
      <c r="A2398" t="str">
        <f t="shared" si="148"/>
        <v>GCSU_9014</v>
      </c>
      <c r="B2398" t="str">
        <f t="shared" si="149"/>
        <v>GCSU_Peeler Hall</v>
      </c>
      <c r="C2398" t="s">
        <v>448</v>
      </c>
      <c r="D2398" s="180" t="s">
        <v>26</v>
      </c>
      <c r="E2398" t="s">
        <v>4972</v>
      </c>
      <c r="F2398" t="s">
        <v>4973</v>
      </c>
      <c r="G2398" s="180">
        <v>14384</v>
      </c>
      <c r="H2398">
        <v>1975</v>
      </c>
      <c r="J2398" s="1334" t="s">
        <v>475</v>
      </c>
      <c r="K2398" s="1335" t="s">
        <v>475</v>
      </c>
      <c r="L2398" s="180">
        <v>100</v>
      </c>
      <c r="M2398" t="s">
        <v>7823</v>
      </c>
      <c r="N2398" t="str">
        <f t="shared" si="150"/>
        <v>Peeler Hall (9014)</v>
      </c>
      <c r="O2398" t="s">
        <v>41</v>
      </c>
      <c r="P2398" t="str">
        <f t="shared" si="151"/>
        <v>36000_9014</v>
      </c>
      <c r="Q2398" s="180">
        <v>0</v>
      </c>
    </row>
    <row r="2399" spans="1:17">
      <c r="A2399" t="str">
        <f t="shared" si="148"/>
        <v>GCSU_9015</v>
      </c>
      <c r="B2399" t="str">
        <f t="shared" si="149"/>
        <v>GCSU_West Complex Pressbox</v>
      </c>
      <c r="C2399" t="s">
        <v>448</v>
      </c>
      <c r="D2399" s="180" t="s">
        <v>26</v>
      </c>
      <c r="E2399" t="s">
        <v>5010</v>
      </c>
      <c r="F2399" t="s">
        <v>5011</v>
      </c>
      <c r="G2399" s="180">
        <v>539</v>
      </c>
      <c r="H2399">
        <v>1990</v>
      </c>
      <c r="J2399" s="1334" t="s">
        <v>475</v>
      </c>
      <c r="K2399" s="1335" t="s">
        <v>475</v>
      </c>
      <c r="L2399" s="180">
        <v>100</v>
      </c>
      <c r="M2399" t="s">
        <v>7823</v>
      </c>
      <c r="N2399" t="str">
        <f t="shared" si="150"/>
        <v>West Complex Pressbox (9015)</v>
      </c>
      <c r="O2399" t="s">
        <v>41</v>
      </c>
      <c r="P2399" t="str">
        <f t="shared" si="151"/>
        <v>36000_9015</v>
      </c>
      <c r="Q2399" s="180">
        <v>0</v>
      </c>
    </row>
    <row r="2400" spans="1:17">
      <c r="A2400" t="str">
        <f t="shared" si="148"/>
        <v>GCSU_9016</v>
      </c>
      <c r="B2400" t="str">
        <f t="shared" si="149"/>
        <v>GCSU_Bus Barn</v>
      </c>
      <c r="C2400" t="s">
        <v>448</v>
      </c>
      <c r="D2400" s="180" t="s">
        <v>26</v>
      </c>
      <c r="E2400" t="s">
        <v>5034</v>
      </c>
      <c r="F2400" t="s">
        <v>5035</v>
      </c>
      <c r="G2400" s="180">
        <v>2202</v>
      </c>
      <c r="H2400">
        <v>1990</v>
      </c>
      <c r="J2400" s="1334" t="s">
        <v>475</v>
      </c>
      <c r="K2400" s="1335" t="s">
        <v>475</v>
      </c>
      <c r="L2400" s="180">
        <v>100</v>
      </c>
      <c r="M2400" t="s">
        <v>7823</v>
      </c>
      <c r="N2400" t="str">
        <f t="shared" si="150"/>
        <v>Bus Barn (9016)</v>
      </c>
      <c r="O2400" t="s">
        <v>41</v>
      </c>
      <c r="P2400" t="str">
        <f t="shared" si="151"/>
        <v>36000_9016</v>
      </c>
      <c r="Q2400" s="180">
        <v>0</v>
      </c>
    </row>
    <row r="2401" spans="1:17">
      <c r="A2401" t="str">
        <f t="shared" si="148"/>
        <v>GCSU_9017</v>
      </c>
      <c r="B2401" t="str">
        <f t="shared" si="149"/>
        <v>GCSU_Centennial Poolhouse</v>
      </c>
      <c r="C2401" t="s">
        <v>448</v>
      </c>
      <c r="D2401" s="180" t="s">
        <v>26</v>
      </c>
      <c r="E2401" t="s">
        <v>5032</v>
      </c>
      <c r="F2401" t="s">
        <v>5033</v>
      </c>
      <c r="G2401" s="180">
        <v>1876</v>
      </c>
      <c r="H2401">
        <v>1992</v>
      </c>
      <c r="J2401" s="1334" t="s">
        <v>475</v>
      </c>
      <c r="K2401" s="1335" t="s">
        <v>475</v>
      </c>
      <c r="L2401" s="180">
        <v>100</v>
      </c>
      <c r="M2401" t="s">
        <v>7823</v>
      </c>
      <c r="N2401" t="str">
        <f t="shared" si="150"/>
        <v>Centennial Poolhouse (9017)</v>
      </c>
      <c r="O2401" t="s">
        <v>41</v>
      </c>
      <c r="P2401" t="str">
        <f t="shared" si="151"/>
        <v>36000_9017</v>
      </c>
      <c r="Q2401" s="180">
        <v>0</v>
      </c>
    </row>
    <row r="2402" spans="1:17">
      <c r="A2402" t="str">
        <f t="shared" si="148"/>
        <v>GCSU_9018</v>
      </c>
      <c r="B2402" t="str">
        <f t="shared" si="149"/>
        <v>GCSU_Humber-White House</v>
      </c>
      <c r="C2402" t="s">
        <v>448</v>
      </c>
      <c r="D2402" s="180" t="s">
        <v>26</v>
      </c>
      <c r="E2402" t="s">
        <v>5102</v>
      </c>
      <c r="F2402" t="s">
        <v>5103</v>
      </c>
      <c r="G2402" s="180">
        <v>5382</v>
      </c>
      <c r="H2402">
        <v>1911</v>
      </c>
      <c r="J2402" s="1334" t="s">
        <v>475</v>
      </c>
      <c r="K2402" s="1335" t="s">
        <v>475</v>
      </c>
      <c r="L2402" s="180">
        <v>66</v>
      </c>
      <c r="M2402" t="s">
        <v>7823</v>
      </c>
      <c r="N2402" t="str">
        <f t="shared" si="150"/>
        <v>Humber-White House (9018)</v>
      </c>
      <c r="O2402" t="s">
        <v>41</v>
      </c>
      <c r="P2402" t="str">
        <f t="shared" si="151"/>
        <v>36000_9018</v>
      </c>
      <c r="Q2402" s="180">
        <v>0</v>
      </c>
    </row>
    <row r="2403" spans="1:17">
      <c r="A2403" t="str">
        <f t="shared" si="148"/>
        <v>GCSU_9019</v>
      </c>
      <c r="B2403" t="str">
        <f t="shared" si="149"/>
        <v>GCSU_McIntosh House</v>
      </c>
      <c r="C2403" t="s">
        <v>448</v>
      </c>
      <c r="D2403" s="180" t="s">
        <v>26</v>
      </c>
      <c r="E2403" t="s">
        <v>5022</v>
      </c>
      <c r="F2403" t="s">
        <v>5023</v>
      </c>
      <c r="G2403" s="180">
        <v>7082</v>
      </c>
      <c r="H2403">
        <v>1900</v>
      </c>
      <c r="I2403">
        <v>2017</v>
      </c>
      <c r="J2403" s="1334" t="s">
        <v>520</v>
      </c>
      <c r="K2403" s="1335" t="s">
        <v>475</v>
      </c>
      <c r="L2403" s="180">
        <v>100</v>
      </c>
      <c r="M2403" t="s">
        <v>7823</v>
      </c>
      <c r="N2403" t="str">
        <f t="shared" si="150"/>
        <v>McIntosh House (9019)</v>
      </c>
      <c r="O2403" t="s">
        <v>41</v>
      </c>
      <c r="P2403" t="str">
        <f t="shared" si="151"/>
        <v>36000_9019</v>
      </c>
      <c r="Q2403" s="180">
        <v>0</v>
      </c>
    </row>
    <row r="2404" spans="1:17">
      <c r="A2404" t="str">
        <f t="shared" si="148"/>
        <v>GCSU_9020</v>
      </c>
      <c r="B2404" t="str">
        <f t="shared" si="149"/>
        <v>GCSU_Montgomery House</v>
      </c>
      <c r="C2404" t="s">
        <v>448</v>
      </c>
      <c r="D2404" s="180" t="s">
        <v>26</v>
      </c>
      <c r="E2404" t="s">
        <v>4954</v>
      </c>
      <c r="F2404" t="s">
        <v>4955</v>
      </c>
      <c r="G2404" s="180">
        <v>850</v>
      </c>
      <c r="H2404">
        <v>1940</v>
      </c>
      <c r="I2404">
        <v>1993</v>
      </c>
      <c r="J2404" s="1334" t="s">
        <v>475</v>
      </c>
      <c r="K2404" s="1335" t="s">
        <v>475</v>
      </c>
      <c r="L2404" s="180">
        <v>0</v>
      </c>
      <c r="M2404" t="s">
        <v>7823</v>
      </c>
      <c r="N2404" t="str">
        <f t="shared" si="150"/>
        <v>Montgomery House (9020)</v>
      </c>
      <c r="O2404" t="s">
        <v>41</v>
      </c>
      <c r="P2404" t="str">
        <f t="shared" si="151"/>
        <v>36000_9020</v>
      </c>
      <c r="Q2404" s="180">
        <v>0</v>
      </c>
    </row>
    <row r="2405" spans="1:17">
      <c r="A2405" t="str">
        <f t="shared" si="148"/>
        <v>GCSU_9023</v>
      </c>
      <c r="B2405" t="str">
        <f t="shared" si="149"/>
        <v>GCSU_Arts &amp; Sciences</v>
      </c>
      <c r="C2405" t="s">
        <v>448</v>
      </c>
      <c r="D2405" s="180" t="s">
        <v>26</v>
      </c>
      <c r="E2405" t="s">
        <v>5014</v>
      </c>
      <c r="F2405" t="s">
        <v>4575</v>
      </c>
      <c r="G2405" s="180">
        <v>124857</v>
      </c>
      <c r="H2405">
        <v>1995</v>
      </c>
      <c r="J2405" s="1334" t="s">
        <v>520</v>
      </c>
      <c r="K2405" s="1335" t="s">
        <v>475</v>
      </c>
      <c r="L2405" s="180">
        <v>99</v>
      </c>
      <c r="M2405" t="s">
        <v>7823</v>
      </c>
      <c r="N2405" t="str">
        <f t="shared" si="150"/>
        <v>Arts &amp; Sciences (9023)</v>
      </c>
      <c r="O2405" t="s">
        <v>41</v>
      </c>
      <c r="P2405" t="str">
        <f t="shared" si="151"/>
        <v>36000_9023</v>
      </c>
      <c r="Q2405" s="180">
        <v>0</v>
      </c>
    </row>
    <row r="2406" spans="1:17">
      <c r="A2406" t="str">
        <f t="shared" si="148"/>
        <v>GCSU_9024</v>
      </c>
      <c r="B2406" t="str">
        <f t="shared" si="149"/>
        <v>GCSU_Harrison House</v>
      </c>
      <c r="C2406" t="s">
        <v>448</v>
      </c>
      <c r="D2406" s="180" t="s">
        <v>26</v>
      </c>
      <c r="E2406" t="s">
        <v>5091</v>
      </c>
      <c r="F2406" t="s">
        <v>5092</v>
      </c>
      <c r="G2406" s="180">
        <v>4242</v>
      </c>
      <c r="H2406">
        <v>1947</v>
      </c>
      <c r="J2406" s="1334" t="s">
        <v>475</v>
      </c>
      <c r="K2406" s="1335" t="s">
        <v>475</v>
      </c>
      <c r="L2406" s="180">
        <v>100</v>
      </c>
      <c r="M2406" t="s">
        <v>7823</v>
      </c>
      <c r="N2406" t="str">
        <f t="shared" si="150"/>
        <v>Harrison House (9024)</v>
      </c>
      <c r="O2406" t="s">
        <v>41</v>
      </c>
      <c r="P2406" t="str">
        <f t="shared" si="151"/>
        <v>36000_9024</v>
      </c>
      <c r="Q2406" s="180">
        <v>0</v>
      </c>
    </row>
    <row r="2407" spans="1:17">
      <c r="A2407" t="str">
        <f t="shared" si="148"/>
        <v>GCSU_9025</v>
      </c>
      <c r="B2407" t="str">
        <f t="shared" si="149"/>
        <v>GCSU_Grassman Studio</v>
      </c>
      <c r="C2407" t="s">
        <v>448</v>
      </c>
      <c r="D2407" s="180" t="s">
        <v>26</v>
      </c>
      <c r="E2407" t="s">
        <v>5076</v>
      </c>
      <c r="F2407" t="s">
        <v>5077</v>
      </c>
      <c r="G2407" s="180">
        <v>3192</v>
      </c>
      <c r="H2407">
        <v>1997</v>
      </c>
      <c r="J2407" s="1334" t="s">
        <v>475</v>
      </c>
      <c r="K2407" s="1335" t="s">
        <v>475</v>
      </c>
      <c r="L2407" s="180">
        <v>100</v>
      </c>
      <c r="M2407" t="s">
        <v>7823</v>
      </c>
      <c r="N2407" t="str">
        <f t="shared" si="150"/>
        <v>Grassman Studio (9025)</v>
      </c>
      <c r="O2407" t="s">
        <v>41</v>
      </c>
      <c r="P2407" t="str">
        <f t="shared" si="151"/>
        <v>36000_9025</v>
      </c>
      <c r="Q2407" s="180">
        <v>0</v>
      </c>
    </row>
    <row r="2408" spans="1:17">
      <c r="A2408" t="str">
        <f t="shared" si="148"/>
        <v>GCSU_9026</v>
      </c>
      <c r="B2408" t="str">
        <f t="shared" si="149"/>
        <v>GCSU_East Campus Field Station</v>
      </c>
      <c r="C2408" t="s">
        <v>448</v>
      </c>
      <c r="D2408" s="180" t="s">
        <v>26</v>
      </c>
      <c r="E2408" t="s">
        <v>5000</v>
      </c>
      <c r="F2408" t="s">
        <v>5001</v>
      </c>
      <c r="G2408" s="180">
        <v>3615</v>
      </c>
      <c r="H2408">
        <v>1997</v>
      </c>
      <c r="J2408" s="1334" t="s">
        <v>475</v>
      </c>
      <c r="K2408" s="1335" t="s">
        <v>475</v>
      </c>
      <c r="L2408" s="180">
        <v>100</v>
      </c>
      <c r="M2408" t="s">
        <v>7823</v>
      </c>
      <c r="N2408" t="str">
        <f t="shared" si="150"/>
        <v>East Campus Field Station (9026)</v>
      </c>
      <c r="O2408" t="s">
        <v>41</v>
      </c>
      <c r="P2408" t="str">
        <f t="shared" si="151"/>
        <v>36000_9026</v>
      </c>
      <c r="Q2408" s="180">
        <v>0</v>
      </c>
    </row>
    <row r="2409" spans="1:17">
      <c r="A2409" t="str">
        <f t="shared" si="148"/>
        <v>GCSU_9027</v>
      </c>
      <c r="B2409" t="str">
        <f t="shared" si="149"/>
        <v>GCSU_Courthouse</v>
      </c>
      <c r="C2409" t="s">
        <v>448</v>
      </c>
      <c r="D2409" s="180" t="s">
        <v>26</v>
      </c>
      <c r="E2409" t="s">
        <v>5012</v>
      </c>
      <c r="F2409" t="s">
        <v>5013</v>
      </c>
      <c r="G2409" s="180">
        <v>20866</v>
      </c>
      <c r="H2409">
        <v>1893</v>
      </c>
      <c r="J2409" s="1334" t="s">
        <v>475</v>
      </c>
      <c r="K2409" s="1335" t="s">
        <v>520</v>
      </c>
      <c r="L2409" s="180">
        <v>100</v>
      </c>
      <c r="M2409" t="s">
        <v>7823</v>
      </c>
      <c r="N2409" t="str">
        <f t="shared" si="150"/>
        <v>Courthouse (9027)</v>
      </c>
      <c r="O2409" t="s">
        <v>41</v>
      </c>
      <c r="P2409" t="str">
        <f t="shared" si="151"/>
        <v>36000_9027</v>
      </c>
      <c r="Q2409" s="180">
        <v>0</v>
      </c>
    </row>
    <row r="2410" spans="1:17">
      <c r="A2410" t="str">
        <f t="shared" si="148"/>
        <v>GCSU_9028</v>
      </c>
      <c r="B2410" t="str">
        <f t="shared" si="149"/>
        <v>GCSU_Hall House</v>
      </c>
      <c r="C2410" t="s">
        <v>448</v>
      </c>
      <c r="D2410" s="180" t="s">
        <v>26</v>
      </c>
      <c r="E2410" t="s">
        <v>5008</v>
      </c>
      <c r="F2410" t="s">
        <v>5009</v>
      </c>
      <c r="G2410" s="180">
        <v>6896</v>
      </c>
      <c r="H2410">
        <v>1906</v>
      </c>
      <c r="I2410">
        <v>2005</v>
      </c>
      <c r="J2410" s="1334" t="s">
        <v>475</v>
      </c>
      <c r="K2410" s="1335" t="s">
        <v>475</v>
      </c>
      <c r="L2410" s="180">
        <v>100</v>
      </c>
      <c r="M2410" t="s">
        <v>7823</v>
      </c>
      <c r="N2410" t="str">
        <f t="shared" si="150"/>
        <v>Hall House (9028)</v>
      </c>
      <c r="O2410" t="s">
        <v>41</v>
      </c>
      <c r="P2410" t="str">
        <f t="shared" si="151"/>
        <v>36000_9028</v>
      </c>
      <c r="Q2410" s="180">
        <v>0</v>
      </c>
    </row>
    <row r="2411" spans="1:17">
      <c r="A2411" t="str">
        <f t="shared" si="148"/>
        <v>GCSU_9029</v>
      </c>
      <c r="B2411" t="str">
        <f t="shared" si="149"/>
        <v>GCSU_Scene Shop</v>
      </c>
      <c r="C2411" t="s">
        <v>448</v>
      </c>
      <c r="D2411" s="180" t="s">
        <v>26</v>
      </c>
      <c r="E2411" t="s">
        <v>4934</v>
      </c>
      <c r="F2411" t="s">
        <v>4935</v>
      </c>
      <c r="G2411" s="180">
        <v>3400</v>
      </c>
      <c r="H2411">
        <v>2003</v>
      </c>
      <c r="J2411" s="1334" t="s">
        <v>475</v>
      </c>
      <c r="K2411" s="1335" t="s">
        <v>475</v>
      </c>
      <c r="L2411" s="180">
        <v>100</v>
      </c>
      <c r="M2411" t="s">
        <v>7823</v>
      </c>
      <c r="N2411" t="str">
        <f t="shared" si="150"/>
        <v>Scene Shop (9029)</v>
      </c>
      <c r="O2411" t="s">
        <v>41</v>
      </c>
      <c r="P2411" t="str">
        <f t="shared" si="151"/>
        <v>36000_9029</v>
      </c>
      <c r="Q2411" s="180">
        <v>0</v>
      </c>
    </row>
    <row r="2412" spans="1:17">
      <c r="A2412" t="str">
        <f t="shared" si="148"/>
        <v>GCSU_9030</v>
      </c>
      <c r="B2412" t="str">
        <f t="shared" si="149"/>
        <v>GCSU_Chiller Plant</v>
      </c>
      <c r="C2412" t="s">
        <v>448</v>
      </c>
      <c r="D2412" s="180" t="s">
        <v>26</v>
      </c>
      <c r="E2412" t="s">
        <v>5042</v>
      </c>
      <c r="F2412" t="s">
        <v>5043</v>
      </c>
      <c r="G2412" s="180">
        <v>7216</v>
      </c>
      <c r="H2412">
        <v>2003</v>
      </c>
      <c r="J2412" s="1334" t="s">
        <v>475</v>
      </c>
      <c r="K2412" s="1335" t="s">
        <v>475</v>
      </c>
      <c r="L2412" s="180">
        <v>100</v>
      </c>
      <c r="M2412" t="s">
        <v>7823</v>
      </c>
      <c r="N2412" t="str">
        <f t="shared" si="150"/>
        <v>Chiller Plant (9030)</v>
      </c>
      <c r="O2412" t="s">
        <v>41</v>
      </c>
      <c r="P2412" t="str">
        <f t="shared" si="151"/>
        <v>36000_9030</v>
      </c>
      <c r="Q2412" s="180">
        <v>0</v>
      </c>
    </row>
    <row r="2413" spans="1:17">
      <c r="A2413" t="str">
        <f t="shared" si="148"/>
        <v>GCSU_9032</v>
      </c>
      <c r="B2413" t="str">
        <f t="shared" si="149"/>
        <v>GCSU_Parkhurst Hall</v>
      </c>
      <c r="C2413" t="s">
        <v>448</v>
      </c>
      <c r="D2413" s="180" t="s">
        <v>26</v>
      </c>
      <c r="E2413" t="s">
        <v>5004</v>
      </c>
      <c r="F2413" t="s">
        <v>5005</v>
      </c>
      <c r="G2413" s="180">
        <v>79732</v>
      </c>
      <c r="H2413">
        <v>2002</v>
      </c>
      <c r="J2413" s="1334" t="s">
        <v>486</v>
      </c>
      <c r="K2413" s="1335" t="s">
        <v>475</v>
      </c>
      <c r="L2413" s="180">
        <v>0</v>
      </c>
      <c r="M2413" t="s">
        <v>7823</v>
      </c>
      <c r="N2413" t="str">
        <f t="shared" si="150"/>
        <v>Parkhurst Hall (9032)</v>
      </c>
      <c r="O2413" t="s">
        <v>41</v>
      </c>
      <c r="P2413" t="str">
        <f t="shared" si="151"/>
        <v>36000_9032</v>
      </c>
      <c r="Q2413" s="180">
        <v>0</v>
      </c>
    </row>
    <row r="2414" spans="1:17">
      <c r="A2414" t="str">
        <f t="shared" si="148"/>
        <v>GCSU_9033</v>
      </c>
      <c r="B2414" t="str">
        <f t="shared" si="149"/>
        <v>GCSU_Foundation Hall</v>
      </c>
      <c r="C2414" t="s">
        <v>448</v>
      </c>
      <c r="D2414" s="180" t="s">
        <v>26</v>
      </c>
      <c r="E2414" t="s">
        <v>5108</v>
      </c>
      <c r="F2414" t="s">
        <v>5109</v>
      </c>
      <c r="G2414" s="180">
        <v>81683</v>
      </c>
      <c r="H2414">
        <v>2002</v>
      </c>
      <c r="J2414" s="1334" t="s">
        <v>486</v>
      </c>
      <c r="K2414" s="1335" t="s">
        <v>475</v>
      </c>
      <c r="L2414" s="180">
        <v>0</v>
      </c>
      <c r="M2414" t="s">
        <v>7823</v>
      </c>
      <c r="N2414" t="str">
        <f t="shared" si="150"/>
        <v>Foundation Hall (9033)</v>
      </c>
      <c r="O2414" t="s">
        <v>41</v>
      </c>
      <c r="P2414" t="str">
        <f t="shared" si="151"/>
        <v>36000_9033</v>
      </c>
      <c r="Q2414" s="180">
        <v>0</v>
      </c>
    </row>
    <row r="2415" spans="1:17">
      <c r="A2415" t="str">
        <f t="shared" si="148"/>
        <v>GCSU_9034</v>
      </c>
      <c r="B2415" t="str">
        <f t="shared" si="149"/>
        <v>GCSU_Wells Hall</v>
      </c>
      <c r="C2415" t="s">
        <v>448</v>
      </c>
      <c r="D2415" s="180" t="s">
        <v>26</v>
      </c>
      <c r="E2415" t="s">
        <v>5038</v>
      </c>
      <c r="F2415" t="s">
        <v>5039</v>
      </c>
      <c r="G2415" s="180">
        <v>53554</v>
      </c>
      <c r="H2415">
        <v>2003</v>
      </c>
      <c r="J2415" s="1334" t="s">
        <v>486</v>
      </c>
      <c r="K2415" s="1335" t="s">
        <v>475</v>
      </c>
      <c r="L2415" s="180">
        <v>0</v>
      </c>
      <c r="M2415" t="s">
        <v>7823</v>
      </c>
      <c r="N2415" t="str">
        <f t="shared" si="150"/>
        <v>Wells Hall (9034)</v>
      </c>
      <c r="O2415" t="s">
        <v>41</v>
      </c>
      <c r="P2415" t="str">
        <f t="shared" si="151"/>
        <v>36000_9034</v>
      </c>
      <c r="Q2415" s="180">
        <v>0</v>
      </c>
    </row>
    <row r="2416" spans="1:17">
      <c r="A2416" t="str">
        <f t="shared" si="148"/>
        <v>GCSU_9035</v>
      </c>
      <c r="B2416" t="str">
        <f t="shared" si="149"/>
        <v>GCSU_Adams Hall</v>
      </c>
      <c r="C2416" t="s">
        <v>448</v>
      </c>
      <c r="D2416" s="180" t="s">
        <v>26</v>
      </c>
      <c r="E2416" t="s">
        <v>4968</v>
      </c>
      <c r="F2416" t="s">
        <v>4969</v>
      </c>
      <c r="G2416" s="180">
        <v>65426</v>
      </c>
      <c r="H2416">
        <v>2004</v>
      </c>
      <c r="J2416" s="1334" t="s">
        <v>486</v>
      </c>
      <c r="K2416" s="1335" t="s">
        <v>475</v>
      </c>
      <c r="L2416" s="180">
        <v>0</v>
      </c>
      <c r="M2416" t="s">
        <v>7823</v>
      </c>
      <c r="N2416" t="str">
        <f t="shared" si="150"/>
        <v>Adams Hall (9035)</v>
      </c>
      <c r="O2416" t="s">
        <v>41</v>
      </c>
      <c r="P2416" t="str">
        <f t="shared" si="151"/>
        <v>36000_9035</v>
      </c>
      <c r="Q2416" s="180">
        <v>0</v>
      </c>
    </row>
    <row r="2417" spans="1:17">
      <c r="A2417" t="str">
        <f t="shared" si="148"/>
        <v>GCSU_9036</v>
      </c>
      <c r="B2417" t="str">
        <f t="shared" si="149"/>
        <v>GCSU_Napier Hall</v>
      </c>
      <c r="C2417" t="s">
        <v>448</v>
      </c>
      <c r="D2417" s="180" t="s">
        <v>26</v>
      </c>
      <c r="E2417" t="s">
        <v>4974</v>
      </c>
      <c r="F2417" t="s">
        <v>4975</v>
      </c>
      <c r="G2417" s="180">
        <v>53988</v>
      </c>
      <c r="H2417">
        <v>2004</v>
      </c>
      <c r="J2417" s="1334" t="s">
        <v>486</v>
      </c>
      <c r="K2417" s="1335" t="s">
        <v>475</v>
      </c>
      <c r="L2417" s="180">
        <v>0</v>
      </c>
      <c r="M2417" t="s">
        <v>7823</v>
      </c>
      <c r="N2417" t="str">
        <f t="shared" si="150"/>
        <v>Napier Hall (9036)</v>
      </c>
      <c r="O2417" t="s">
        <v>41</v>
      </c>
      <c r="P2417" t="str">
        <f t="shared" si="151"/>
        <v>36000_9036</v>
      </c>
      <c r="Q2417" s="180">
        <v>0</v>
      </c>
    </row>
    <row r="2418" spans="1:17">
      <c r="A2418" t="str">
        <f t="shared" si="148"/>
        <v>GCSU_9040</v>
      </c>
      <c r="B2418" t="str">
        <f t="shared" si="149"/>
        <v>GCSU_Village 1</v>
      </c>
      <c r="C2418" t="s">
        <v>448</v>
      </c>
      <c r="D2418" s="180" t="s">
        <v>26</v>
      </c>
      <c r="E2418" t="s">
        <v>5057</v>
      </c>
      <c r="F2418" t="s">
        <v>5058</v>
      </c>
      <c r="G2418" s="180">
        <v>58374</v>
      </c>
      <c r="H2418">
        <v>2002</v>
      </c>
      <c r="J2418" s="1334" t="s">
        <v>486</v>
      </c>
      <c r="K2418" s="1335" t="s">
        <v>475</v>
      </c>
      <c r="L2418" s="180">
        <v>0</v>
      </c>
      <c r="M2418" t="s">
        <v>7823</v>
      </c>
      <c r="N2418" t="str">
        <f t="shared" si="150"/>
        <v>Village 1 (9040)</v>
      </c>
      <c r="O2418" t="s">
        <v>41</v>
      </c>
      <c r="P2418" t="str">
        <f t="shared" si="151"/>
        <v>36000_9040</v>
      </c>
      <c r="Q2418" s="180">
        <v>0</v>
      </c>
    </row>
    <row r="2419" spans="1:17">
      <c r="A2419" t="str">
        <f t="shared" si="148"/>
        <v>GCSU_9041</v>
      </c>
      <c r="B2419" t="str">
        <f t="shared" si="149"/>
        <v>GCSU_Village 2</v>
      </c>
      <c r="C2419" t="s">
        <v>448</v>
      </c>
      <c r="D2419" s="180" t="s">
        <v>26</v>
      </c>
      <c r="E2419" t="s">
        <v>5110</v>
      </c>
      <c r="F2419" t="s">
        <v>5111</v>
      </c>
      <c r="G2419" s="180">
        <v>51331</v>
      </c>
      <c r="H2419">
        <v>2002</v>
      </c>
      <c r="J2419" s="1334" t="s">
        <v>486</v>
      </c>
      <c r="K2419" s="1335" t="s">
        <v>475</v>
      </c>
      <c r="L2419" s="180">
        <v>0</v>
      </c>
      <c r="M2419" t="s">
        <v>7823</v>
      </c>
      <c r="N2419" t="str">
        <f t="shared" si="150"/>
        <v>Village 2 (9041)</v>
      </c>
      <c r="O2419" t="s">
        <v>41</v>
      </c>
      <c r="P2419" t="str">
        <f t="shared" si="151"/>
        <v>36000_9041</v>
      </c>
      <c r="Q2419" s="180">
        <v>0</v>
      </c>
    </row>
    <row r="2420" spans="1:17">
      <c r="A2420" t="str">
        <f t="shared" si="148"/>
        <v>GCSU_9042</v>
      </c>
      <c r="B2420" t="str">
        <f t="shared" si="149"/>
        <v>GCSU_Village 3</v>
      </c>
      <c r="C2420" t="s">
        <v>448</v>
      </c>
      <c r="D2420" s="180" t="s">
        <v>26</v>
      </c>
      <c r="E2420" t="s">
        <v>4952</v>
      </c>
      <c r="F2420" t="s">
        <v>4953</v>
      </c>
      <c r="G2420" s="180">
        <v>51331</v>
      </c>
      <c r="H2420">
        <v>2002</v>
      </c>
      <c r="J2420" s="1334" t="s">
        <v>486</v>
      </c>
      <c r="K2420" s="1335" t="s">
        <v>475</v>
      </c>
      <c r="L2420" s="180">
        <v>0</v>
      </c>
      <c r="M2420" t="s">
        <v>7823</v>
      </c>
      <c r="N2420" t="str">
        <f t="shared" si="150"/>
        <v>Village 3 (9042)</v>
      </c>
      <c r="O2420" t="s">
        <v>41</v>
      </c>
      <c r="P2420" t="str">
        <f t="shared" si="151"/>
        <v>36000_9042</v>
      </c>
      <c r="Q2420" s="180">
        <v>0</v>
      </c>
    </row>
    <row r="2421" spans="1:17">
      <c r="A2421" t="str">
        <f t="shared" si="148"/>
        <v>GCSU_9043</v>
      </c>
      <c r="B2421" t="str">
        <f t="shared" si="149"/>
        <v>GCSU_Clubhouse</v>
      </c>
      <c r="C2421" t="s">
        <v>448</v>
      </c>
      <c r="D2421" s="180" t="s">
        <v>26</v>
      </c>
      <c r="E2421" t="s">
        <v>5048</v>
      </c>
      <c r="F2421" t="s">
        <v>5049</v>
      </c>
      <c r="G2421" s="180">
        <v>5785</v>
      </c>
      <c r="H2421">
        <v>2002</v>
      </c>
      <c r="J2421" s="1334" t="s">
        <v>486</v>
      </c>
      <c r="K2421" s="1335" t="s">
        <v>475</v>
      </c>
      <c r="L2421" s="180">
        <v>30</v>
      </c>
      <c r="M2421" t="s">
        <v>7823</v>
      </c>
      <c r="N2421" t="str">
        <f t="shared" si="150"/>
        <v>Clubhouse (9043)</v>
      </c>
      <c r="O2421" t="s">
        <v>41</v>
      </c>
      <c r="P2421" t="str">
        <f t="shared" si="151"/>
        <v>36000_9043</v>
      </c>
      <c r="Q2421" s="180">
        <v>0</v>
      </c>
    </row>
    <row r="2422" spans="1:17">
      <c r="A2422" t="str">
        <f t="shared" si="148"/>
        <v>GCSU_9045</v>
      </c>
      <c r="B2422" t="str">
        <f t="shared" si="149"/>
        <v>GCSU_Pole Barn</v>
      </c>
      <c r="C2422" t="s">
        <v>448</v>
      </c>
      <c r="D2422" s="180" t="s">
        <v>26</v>
      </c>
      <c r="E2422" t="s">
        <v>5078</v>
      </c>
      <c r="F2422" t="s">
        <v>5079</v>
      </c>
      <c r="G2422" s="180">
        <v>2070</v>
      </c>
      <c r="H2422">
        <v>1994</v>
      </c>
      <c r="J2422" s="1334" t="s">
        <v>475</v>
      </c>
      <c r="K2422" s="1335" t="s">
        <v>475</v>
      </c>
      <c r="L2422" s="180">
        <v>100</v>
      </c>
      <c r="M2422" t="s">
        <v>7823</v>
      </c>
      <c r="N2422" t="str">
        <f t="shared" si="150"/>
        <v>Pole Barn (9045)</v>
      </c>
      <c r="O2422" t="s">
        <v>41</v>
      </c>
      <c r="P2422" t="str">
        <f t="shared" si="151"/>
        <v>36000_9045</v>
      </c>
      <c r="Q2422" s="180">
        <v>0</v>
      </c>
    </row>
    <row r="2423" spans="1:17">
      <c r="A2423" t="str">
        <f t="shared" si="148"/>
        <v>GCSU_9051</v>
      </c>
      <c r="B2423" t="str">
        <f t="shared" si="149"/>
        <v>GCSU_Intramural Concessions</v>
      </c>
      <c r="C2423" t="s">
        <v>448</v>
      </c>
      <c r="D2423" s="180" t="s">
        <v>26</v>
      </c>
      <c r="E2423" t="s">
        <v>4982</v>
      </c>
      <c r="F2423" t="s">
        <v>4983</v>
      </c>
      <c r="G2423" s="180">
        <v>1248</v>
      </c>
      <c r="H2423">
        <v>2003</v>
      </c>
      <c r="J2423" s="1334" t="s">
        <v>475</v>
      </c>
      <c r="K2423" s="1335" t="s">
        <v>475</v>
      </c>
      <c r="L2423" s="180">
        <v>100</v>
      </c>
      <c r="M2423" t="s">
        <v>7823</v>
      </c>
      <c r="N2423" t="str">
        <f t="shared" si="150"/>
        <v>Intramural Concessions (9051)</v>
      </c>
      <c r="O2423" t="s">
        <v>41</v>
      </c>
      <c r="P2423" t="str">
        <f t="shared" si="151"/>
        <v>36000_9051</v>
      </c>
      <c r="Q2423" s="180">
        <v>0</v>
      </c>
    </row>
    <row r="2424" spans="1:17">
      <c r="A2424" t="str">
        <f t="shared" si="148"/>
        <v>GCSU_9052</v>
      </c>
      <c r="B2424" t="str">
        <f t="shared" si="149"/>
        <v>GCSU_Paint Shop</v>
      </c>
      <c r="C2424" t="s">
        <v>448</v>
      </c>
      <c r="D2424" s="180" t="s">
        <v>26</v>
      </c>
      <c r="E2424" t="s">
        <v>5059</v>
      </c>
      <c r="F2424" t="s">
        <v>5060</v>
      </c>
      <c r="G2424" s="180">
        <v>847</v>
      </c>
      <c r="H2424">
        <v>1994</v>
      </c>
      <c r="J2424" s="1334" t="s">
        <v>475</v>
      </c>
      <c r="K2424" s="1335" t="s">
        <v>475</v>
      </c>
      <c r="L2424" s="180">
        <v>100</v>
      </c>
      <c r="M2424" t="s">
        <v>7823</v>
      </c>
      <c r="N2424" t="str">
        <f t="shared" si="150"/>
        <v>Paint Shop (9052)</v>
      </c>
      <c r="O2424" t="s">
        <v>41</v>
      </c>
      <c r="P2424" t="str">
        <f t="shared" si="151"/>
        <v>36000_9052</v>
      </c>
      <c r="Q2424" s="180">
        <v>0</v>
      </c>
    </row>
    <row r="2425" spans="1:17">
      <c r="A2425" t="str">
        <f t="shared" si="148"/>
        <v>GCSU_9053</v>
      </c>
      <c r="B2425" t="str">
        <f t="shared" si="149"/>
        <v>GCSU_Grounds Shed Maintenance</v>
      </c>
      <c r="C2425" t="s">
        <v>448</v>
      </c>
      <c r="D2425" s="180" t="s">
        <v>26</v>
      </c>
      <c r="E2425" t="s">
        <v>5070</v>
      </c>
      <c r="F2425" t="s">
        <v>5071</v>
      </c>
      <c r="G2425" s="180">
        <v>3019</v>
      </c>
      <c r="H2425">
        <v>1980</v>
      </c>
      <c r="J2425" s="1334" t="s">
        <v>475</v>
      </c>
      <c r="K2425" s="1335" t="s">
        <v>475</v>
      </c>
      <c r="L2425" s="180">
        <v>100</v>
      </c>
      <c r="M2425" t="s">
        <v>7823</v>
      </c>
      <c r="N2425" t="str">
        <f t="shared" si="150"/>
        <v>Grounds Shed Maintenance (9053)</v>
      </c>
      <c r="O2425" t="s">
        <v>41</v>
      </c>
      <c r="P2425" t="str">
        <f t="shared" si="151"/>
        <v>36000_9053</v>
      </c>
      <c r="Q2425" s="180">
        <v>0</v>
      </c>
    </row>
    <row r="2426" spans="1:17">
      <c r="A2426" t="str">
        <f t="shared" si="148"/>
        <v>GCSU_9054</v>
      </c>
      <c r="B2426" t="str">
        <f t="shared" si="149"/>
        <v>GCSU_Yurt</v>
      </c>
      <c r="C2426" t="s">
        <v>448</v>
      </c>
      <c r="D2426" s="180" t="s">
        <v>26</v>
      </c>
      <c r="E2426" t="s">
        <v>5044</v>
      </c>
      <c r="F2426" t="s">
        <v>5045</v>
      </c>
      <c r="G2426" s="180">
        <v>717</v>
      </c>
      <c r="H2426">
        <v>1998</v>
      </c>
      <c r="J2426" s="1334" t="s">
        <v>475</v>
      </c>
      <c r="K2426" s="1335" t="s">
        <v>475</v>
      </c>
      <c r="L2426" s="180">
        <v>100</v>
      </c>
      <c r="M2426" t="s">
        <v>7823</v>
      </c>
      <c r="N2426" t="str">
        <f t="shared" si="150"/>
        <v>Yurt (9054)</v>
      </c>
      <c r="O2426" t="s">
        <v>41</v>
      </c>
      <c r="P2426" t="str">
        <f t="shared" si="151"/>
        <v>36000_9054</v>
      </c>
      <c r="Q2426" s="180">
        <v>0</v>
      </c>
    </row>
    <row r="2427" spans="1:17">
      <c r="A2427" t="str">
        <f t="shared" si="148"/>
        <v>GCSU_9059</v>
      </c>
      <c r="B2427" t="str">
        <f t="shared" si="149"/>
        <v>GCSU_Student Activities Center(FMC)</v>
      </c>
      <c r="C2427" t="s">
        <v>448</v>
      </c>
      <c r="D2427" s="180" t="s">
        <v>26</v>
      </c>
      <c r="E2427" t="s">
        <v>4998</v>
      </c>
      <c r="F2427" t="s">
        <v>4999</v>
      </c>
      <c r="G2427" s="180">
        <v>27451</v>
      </c>
      <c r="H2427">
        <v>1913</v>
      </c>
      <c r="J2427" s="1334" t="s">
        <v>486</v>
      </c>
      <c r="K2427" s="1335" t="s">
        <v>475</v>
      </c>
      <c r="L2427" s="180">
        <v>100</v>
      </c>
      <c r="M2427" t="s">
        <v>7823</v>
      </c>
      <c r="N2427" t="str">
        <f t="shared" si="150"/>
        <v>Student Activities Center(FMC) (9059)</v>
      </c>
      <c r="O2427" t="s">
        <v>41</v>
      </c>
      <c r="P2427" t="str">
        <f t="shared" si="151"/>
        <v>36000_9059</v>
      </c>
      <c r="Q2427" s="180">
        <v>0</v>
      </c>
    </row>
    <row r="2428" spans="1:17">
      <c r="A2428" t="str">
        <f t="shared" si="148"/>
        <v>GCSU_9062</v>
      </c>
      <c r="B2428" t="str">
        <f t="shared" si="149"/>
        <v>GCSU_Miller Annex (ALG)</v>
      </c>
      <c r="C2428" t="s">
        <v>448</v>
      </c>
      <c r="D2428" s="180" t="s">
        <v>26</v>
      </c>
      <c r="E2428" t="s">
        <v>5100</v>
      </c>
      <c r="F2428" t="s">
        <v>5101</v>
      </c>
      <c r="G2428" s="180">
        <v>3883</v>
      </c>
      <c r="H2428">
        <v>1970</v>
      </c>
      <c r="J2428" s="1334" t="s">
        <v>475</v>
      </c>
      <c r="K2428" s="1335" t="s">
        <v>475</v>
      </c>
      <c r="L2428" s="180">
        <v>100</v>
      </c>
      <c r="M2428" t="s">
        <v>7823</v>
      </c>
      <c r="N2428" t="str">
        <f t="shared" si="150"/>
        <v>Miller Annex (ALG) (9062)</v>
      </c>
      <c r="O2428" t="s">
        <v>41</v>
      </c>
      <c r="P2428" t="str">
        <f t="shared" si="151"/>
        <v>36000_9062</v>
      </c>
      <c r="Q2428" s="180">
        <v>0</v>
      </c>
    </row>
    <row r="2429" spans="1:17">
      <c r="A2429" t="str">
        <f t="shared" si="148"/>
        <v>GCSU_9063</v>
      </c>
      <c r="B2429" t="str">
        <f t="shared" si="149"/>
        <v>GCSU_Maintenance Shop I (West)</v>
      </c>
      <c r="C2429" t="s">
        <v>448</v>
      </c>
      <c r="D2429" s="180" t="s">
        <v>26</v>
      </c>
      <c r="E2429" t="s">
        <v>5061</v>
      </c>
      <c r="F2429" t="s">
        <v>5062</v>
      </c>
      <c r="G2429" s="180">
        <v>3400</v>
      </c>
      <c r="H2429">
        <v>2000</v>
      </c>
      <c r="J2429" s="1334" t="s">
        <v>475</v>
      </c>
      <c r="K2429" s="1335" t="s">
        <v>475</v>
      </c>
      <c r="L2429" s="180">
        <v>100</v>
      </c>
      <c r="M2429" t="s">
        <v>7823</v>
      </c>
      <c r="N2429" t="str">
        <f t="shared" si="150"/>
        <v>Maintenance Shop I (West) (9063)</v>
      </c>
      <c r="O2429" t="s">
        <v>41</v>
      </c>
      <c r="P2429" t="str">
        <f t="shared" si="151"/>
        <v>36000_9063</v>
      </c>
      <c r="Q2429" s="180">
        <v>0</v>
      </c>
    </row>
    <row r="2430" spans="1:17">
      <c r="A2430" t="str">
        <f t="shared" si="148"/>
        <v>GCSU_9064</v>
      </c>
      <c r="B2430" t="str">
        <f t="shared" si="149"/>
        <v>GCSU_Maintenance Shop II (West)</v>
      </c>
      <c r="C2430" t="s">
        <v>448</v>
      </c>
      <c r="D2430" s="180" t="s">
        <v>26</v>
      </c>
      <c r="E2430" t="s">
        <v>5098</v>
      </c>
      <c r="F2430" t="s">
        <v>5099</v>
      </c>
      <c r="G2430" s="180">
        <v>5496</v>
      </c>
      <c r="H2430">
        <v>2003</v>
      </c>
      <c r="J2430" s="1334" t="s">
        <v>475</v>
      </c>
      <c r="K2430" s="1335" t="s">
        <v>475</v>
      </c>
      <c r="L2430" s="180">
        <v>100</v>
      </c>
      <c r="M2430" t="s">
        <v>7823</v>
      </c>
      <c r="N2430" t="str">
        <f t="shared" si="150"/>
        <v>Maintenance Shop II (West) (9064)</v>
      </c>
      <c r="O2430" t="s">
        <v>41</v>
      </c>
      <c r="P2430" t="str">
        <f t="shared" si="151"/>
        <v>36000_9064</v>
      </c>
      <c r="Q2430" s="180">
        <v>0</v>
      </c>
    </row>
    <row r="2431" spans="1:17">
      <c r="A2431" t="str">
        <f t="shared" si="148"/>
        <v>GCSU_9065</v>
      </c>
      <c r="B2431" t="str">
        <f t="shared" si="149"/>
        <v>GCSU_Education Center</v>
      </c>
      <c r="C2431" t="s">
        <v>448</v>
      </c>
      <c r="D2431" s="180" t="s">
        <v>26</v>
      </c>
      <c r="E2431" t="s">
        <v>4980</v>
      </c>
      <c r="F2431" t="s">
        <v>4981</v>
      </c>
      <c r="G2431" s="180">
        <v>1233</v>
      </c>
      <c r="H2431">
        <v>2003</v>
      </c>
      <c r="J2431" s="1334" t="s">
        <v>475</v>
      </c>
      <c r="K2431" s="1335" t="s">
        <v>475</v>
      </c>
      <c r="L2431" s="180">
        <v>100</v>
      </c>
      <c r="M2431" t="s">
        <v>7823</v>
      </c>
      <c r="N2431" t="str">
        <f t="shared" si="150"/>
        <v>Education Center (9065)</v>
      </c>
      <c r="O2431" t="s">
        <v>41</v>
      </c>
      <c r="P2431" t="str">
        <f t="shared" si="151"/>
        <v>36000_9065</v>
      </c>
      <c r="Q2431" s="180">
        <v>0</v>
      </c>
    </row>
    <row r="2432" spans="1:17">
      <c r="A2432" t="str">
        <f t="shared" si="148"/>
        <v>GCSU_9066</v>
      </c>
      <c r="B2432" t="str">
        <f t="shared" si="149"/>
        <v>GCSU_Mansion Kitchen Addition</v>
      </c>
      <c r="C2432" t="s">
        <v>448</v>
      </c>
      <c r="D2432" s="180" t="s">
        <v>26</v>
      </c>
      <c r="E2432" t="s">
        <v>4963</v>
      </c>
      <c r="F2432" t="s">
        <v>4964</v>
      </c>
      <c r="G2432" s="180">
        <v>2121</v>
      </c>
      <c r="H2432">
        <v>2003</v>
      </c>
      <c r="J2432" s="1334" t="s">
        <v>475</v>
      </c>
      <c r="K2432" s="1335" t="s">
        <v>475</v>
      </c>
      <c r="L2432" s="180">
        <v>100</v>
      </c>
      <c r="M2432" t="s">
        <v>7823</v>
      </c>
      <c r="N2432" t="str">
        <f t="shared" si="150"/>
        <v>Mansion Kitchen Addition (9066)</v>
      </c>
      <c r="O2432" t="s">
        <v>41</v>
      </c>
      <c r="P2432" t="str">
        <f t="shared" si="151"/>
        <v>36000_9066</v>
      </c>
      <c r="Q2432" s="180">
        <v>0</v>
      </c>
    </row>
    <row r="2433" spans="1:17">
      <c r="A2433" t="str">
        <f t="shared" si="148"/>
        <v>GCSU_9067</v>
      </c>
      <c r="B2433" t="str">
        <f t="shared" si="149"/>
        <v>GCSU_Mechanical Building</v>
      </c>
      <c r="C2433" t="s">
        <v>448</v>
      </c>
      <c r="D2433" s="180" t="s">
        <v>26</v>
      </c>
      <c r="E2433" t="s">
        <v>4956</v>
      </c>
      <c r="F2433" t="s">
        <v>4957</v>
      </c>
      <c r="G2433" s="180">
        <v>422</v>
      </c>
      <c r="H2433">
        <v>2003</v>
      </c>
      <c r="J2433" s="1334" t="s">
        <v>475</v>
      </c>
      <c r="K2433" s="1335" t="s">
        <v>475</v>
      </c>
      <c r="L2433" s="180">
        <v>100</v>
      </c>
      <c r="M2433" t="s">
        <v>7823</v>
      </c>
      <c r="N2433" t="str">
        <f t="shared" si="150"/>
        <v>Mechanical Building (9067)</v>
      </c>
      <c r="O2433" t="s">
        <v>41</v>
      </c>
      <c r="P2433" t="str">
        <f t="shared" si="151"/>
        <v>36000_9067</v>
      </c>
      <c r="Q2433" s="180">
        <v>0</v>
      </c>
    </row>
    <row r="2434" spans="1:17">
      <c r="A2434" t="str">
        <f t="shared" si="148"/>
        <v>GCSU_9070</v>
      </c>
      <c r="B2434" t="str">
        <f t="shared" si="149"/>
        <v>GCSU_Village 4</v>
      </c>
      <c r="C2434" t="s">
        <v>448</v>
      </c>
      <c r="D2434" s="180" t="s">
        <v>26</v>
      </c>
      <c r="E2434" t="s">
        <v>5112</v>
      </c>
      <c r="F2434" t="s">
        <v>5113</v>
      </c>
      <c r="G2434" s="180">
        <v>67789</v>
      </c>
      <c r="H2434">
        <v>2004</v>
      </c>
      <c r="J2434" s="1334" t="s">
        <v>486</v>
      </c>
      <c r="K2434" s="1335" t="s">
        <v>475</v>
      </c>
      <c r="L2434" s="180">
        <v>0</v>
      </c>
      <c r="M2434" t="s">
        <v>7823</v>
      </c>
      <c r="N2434" t="str">
        <f t="shared" si="150"/>
        <v>Village 4 (9070)</v>
      </c>
      <c r="O2434" t="s">
        <v>41</v>
      </c>
      <c r="P2434" t="str">
        <f t="shared" si="151"/>
        <v>36000_9070</v>
      </c>
      <c r="Q2434" s="180">
        <v>0</v>
      </c>
    </row>
    <row r="2435" spans="1:17">
      <c r="A2435" t="str">
        <f t="shared" ref="A2435:A2498" si="152">_xlfn.CONCAT(D2435,"_",E2435)</f>
        <v>GCSU_9071</v>
      </c>
      <c r="B2435" t="str">
        <f t="shared" ref="B2435:B2498" si="153">_xlfn.CONCAT(D2435,"_",F2435)</f>
        <v>GCSU_Village 5</v>
      </c>
      <c r="C2435" t="s">
        <v>448</v>
      </c>
      <c r="D2435" s="180" t="s">
        <v>26</v>
      </c>
      <c r="E2435" t="s">
        <v>5030</v>
      </c>
      <c r="F2435" t="s">
        <v>5031</v>
      </c>
      <c r="G2435" s="180">
        <v>67781</v>
      </c>
      <c r="H2435">
        <v>2004</v>
      </c>
      <c r="J2435" s="1334" t="s">
        <v>486</v>
      </c>
      <c r="K2435" s="1335" t="s">
        <v>475</v>
      </c>
      <c r="L2435" s="180">
        <v>0</v>
      </c>
      <c r="M2435" t="s">
        <v>7823</v>
      </c>
      <c r="N2435" t="str">
        <f t="shared" ref="N2435:N2498" si="154">_xlfn.CONCAT(F2435," (",E2435,")")</f>
        <v>Village 5 (9071)</v>
      </c>
      <c r="O2435" t="s">
        <v>41</v>
      </c>
      <c r="P2435" t="str">
        <f t="shared" ref="P2435:P2498" si="155">_xlfn.CONCAT(C2435,"_",E2435)</f>
        <v>36000_9071</v>
      </c>
      <c r="Q2435" s="180">
        <v>0</v>
      </c>
    </row>
    <row r="2436" spans="1:17">
      <c r="A2436" t="str">
        <f t="shared" si="152"/>
        <v>GCSU_9072</v>
      </c>
      <c r="B2436" t="str">
        <f t="shared" si="153"/>
        <v>GCSU_Village 6</v>
      </c>
      <c r="C2436" t="s">
        <v>448</v>
      </c>
      <c r="D2436" s="180" t="s">
        <v>26</v>
      </c>
      <c r="E2436" t="s">
        <v>5114</v>
      </c>
      <c r="F2436" t="s">
        <v>5115</v>
      </c>
      <c r="G2436" s="180">
        <v>67512</v>
      </c>
      <c r="H2436">
        <v>2004</v>
      </c>
      <c r="J2436" s="1334" t="s">
        <v>486</v>
      </c>
      <c r="K2436" s="1335" t="s">
        <v>475</v>
      </c>
      <c r="L2436" s="180">
        <v>0</v>
      </c>
      <c r="M2436" t="s">
        <v>7823</v>
      </c>
      <c r="N2436" t="str">
        <f t="shared" si="154"/>
        <v>Village 6 (9072)</v>
      </c>
      <c r="O2436" t="s">
        <v>41</v>
      </c>
      <c r="P2436" t="str">
        <f t="shared" si="155"/>
        <v>36000_9072</v>
      </c>
      <c r="Q2436" s="180">
        <v>0</v>
      </c>
    </row>
    <row r="2437" spans="1:17">
      <c r="A2437" t="str">
        <f t="shared" si="152"/>
        <v>GCSU_9073</v>
      </c>
      <c r="B2437" t="str">
        <f t="shared" si="153"/>
        <v>GCSU_WRGC Radio Station</v>
      </c>
      <c r="C2437" t="s">
        <v>448</v>
      </c>
      <c r="D2437" s="180" t="s">
        <v>26</v>
      </c>
      <c r="E2437" t="s">
        <v>4994</v>
      </c>
      <c r="F2437" t="s">
        <v>7162</v>
      </c>
      <c r="G2437" s="180">
        <v>1139</v>
      </c>
      <c r="H2437">
        <v>2004</v>
      </c>
      <c r="J2437" s="1334" t="s">
        <v>486</v>
      </c>
      <c r="K2437" s="1335" t="s">
        <v>475</v>
      </c>
      <c r="L2437" s="180">
        <v>100</v>
      </c>
      <c r="M2437" t="s">
        <v>7823</v>
      </c>
      <c r="N2437" t="str">
        <f t="shared" si="154"/>
        <v>WRGC Radio Station (9073)</v>
      </c>
      <c r="O2437" t="s">
        <v>41</v>
      </c>
      <c r="P2437" t="str">
        <f t="shared" si="155"/>
        <v>36000_9073</v>
      </c>
      <c r="Q2437" s="180">
        <v>0</v>
      </c>
    </row>
    <row r="2438" spans="1:17">
      <c r="A2438" t="str">
        <f t="shared" si="152"/>
        <v>GCSU_9074</v>
      </c>
      <c r="B2438" t="str">
        <f t="shared" si="153"/>
        <v>GCSU_Miller Annex Storage</v>
      </c>
      <c r="C2438" t="s">
        <v>448</v>
      </c>
      <c r="D2438" s="180" t="s">
        <v>26</v>
      </c>
      <c r="E2438" t="s">
        <v>5116</v>
      </c>
      <c r="F2438" t="s">
        <v>5117</v>
      </c>
      <c r="G2438" s="180">
        <v>1332</v>
      </c>
      <c r="H2438">
        <v>1980</v>
      </c>
      <c r="J2438" s="1334" t="s">
        <v>475</v>
      </c>
      <c r="K2438" s="1335" t="s">
        <v>475</v>
      </c>
      <c r="L2438" s="180">
        <v>100</v>
      </c>
      <c r="M2438" t="s">
        <v>7823</v>
      </c>
      <c r="N2438" t="str">
        <f t="shared" si="154"/>
        <v>Miller Annex Storage (9074)</v>
      </c>
      <c r="O2438" t="s">
        <v>41</v>
      </c>
      <c r="P2438" t="str">
        <f t="shared" si="155"/>
        <v>36000_9074</v>
      </c>
      <c r="Q2438" s="180">
        <v>0</v>
      </c>
    </row>
    <row r="2439" spans="1:17">
      <c r="A2439" t="str">
        <f t="shared" si="152"/>
        <v>GCSU_9075</v>
      </c>
      <c r="B2439" t="str">
        <f t="shared" si="153"/>
        <v>GCSU_Communication Tower Bldg</v>
      </c>
      <c r="C2439" t="s">
        <v>448</v>
      </c>
      <c r="D2439" s="180" t="s">
        <v>26</v>
      </c>
      <c r="E2439" t="s">
        <v>5118</v>
      </c>
      <c r="F2439" t="s">
        <v>5119</v>
      </c>
      <c r="G2439" s="180">
        <v>200</v>
      </c>
      <c r="H2439">
        <v>2004</v>
      </c>
      <c r="J2439" s="1334" t="s">
        <v>475</v>
      </c>
      <c r="K2439" s="1335" t="s">
        <v>475</v>
      </c>
      <c r="L2439" s="180">
        <v>100</v>
      </c>
      <c r="M2439" t="s">
        <v>7823</v>
      </c>
      <c r="N2439" t="str">
        <f t="shared" si="154"/>
        <v>Communication Tower Bldg (9075)</v>
      </c>
      <c r="O2439" t="s">
        <v>41</v>
      </c>
      <c r="P2439" t="str">
        <f t="shared" si="155"/>
        <v>36000_9075</v>
      </c>
      <c r="Q2439" s="180">
        <v>0</v>
      </c>
    </row>
    <row r="2440" spans="1:17">
      <c r="A2440" t="str">
        <f t="shared" si="152"/>
        <v>GCSU_9097</v>
      </c>
      <c r="B2440" t="str">
        <f t="shared" si="153"/>
        <v>GCSU_Campus Theatre</v>
      </c>
      <c r="C2440" t="s">
        <v>448</v>
      </c>
      <c r="D2440" s="180" t="s">
        <v>26</v>
      </c>
      <c r="E2440" t="s">
        <v>4965</v>
      </c>
      <c r="F2440" t="s">
        <v>4966</v>
      </c>
      <c r="G2440" s="180">
        <v>26747</v>
      </c>
      <c r="H2440">
        <v>1935</v>
      </c>
      <c r="J2440" s="1334" t="s">
        <v>1520</v>
      </c>
      <c r="K2440" s="1335" t="s">
        <v>475</v>
      </c>
      <c r="L2440" s="180">
        <v>60</v>
      </c>
      <c r="M2440" t="s">
        <v>7823</v>
      </c>
      <c r="N2440" t="str">
        <f t="shared" si="154"/>
        <v>Campus Theatre (9097)</v>
      </c>
      <c r="O2440" t="s">
        <v>41</v>
      </c>
      <c r="P2440" t="str">
        <f t="shared" si="155"/>
        <v>36000_9097</v>
      </c>
      <c r="Q2440" s="180">
        <v>0</v>
      </c>
    </row>
    <row r="2441" spans="1:17">
      <c r="A2441" t="str">
        <f t="shared" si="152"/>
        <v>GCSU_9098</v>
      </c>
      <c r="B2441" t="str">
        <f t="shared" si="153"/>
        <v>GCSU_Sallie Ellis Davis House</v>
      </c>
      <c r="C2441" t="s">
        <v>448</v>
      </c>
      <c r="D2441" s="180" t="s">
        <v>26</v>
      </c>
      <c r="E2441" t="s">
        <v>5080</v>
      </c>
      <c r="F2441" t="s">
        <v>5081</v>
      </c>
      <c r="G2441" s="180">
        <v>2360</v>
      </c>
      <c r="H2441">
        <v>1893</v>
      </c>
      <c r="J2441" s="1334" t="s">
        <v>475</v>
      </c>
      <c r="K2441" s="1335" t="s">
        <v>475</v>
      </c>
      <c r="L2441" s="180">
        <v>100</v>
      </c>
      <c r="M2441" t="s">
        <v>7823</v>
      </c>
      <c r="N2441" t="str">
        <f t="shared" si="154"/>
        <v>Sallie Ellis Davis House (9098)</v>
      </c>
      <c r="O2441" t="s">
        <v>41</v>
      </c>
      <c r="P2441" t="str">
        <f t="shared" si="155"/>
        <v>36000_9098</v>
      </c>
      <c r="Q2441" s="180">
        <v>0</v>
      </c>
    </row>
    <row r="2442" spans="1:17">
      <c r="A2442" t="str">
        <f t="shared" si="152"/>
        <v>GCSU_9100</v>
      </c>
      <c r="B2442" t="str">
        <f t="shared" si="153"/>
        <v>GCSU_Carl Vinson House</v>
      </c>
      <c r="C2442" t="s">
        <v>448</v>
      </c>
      <c r="D2442" s="180" t="s">
        <v>26</v>
      </c>
      <c r="E2442" t="s">
        <v>4984</v>
      </c>
      <c r="F2442" t="s">
        <v>4985</v>
      </c>
      <c r="G2442" s="180">
        <v>4056</v>
      </c>
      <c r="H2442">
        <v>1832</v>
      </c>
      <c r="J2442" s="1334" t="s">
        <v>475</v>
      </c>
      <c r="K2442" s="1335" t="s">
        <v>475</v>
      </c>
      <c r="L2442" s="180">
        <v>100</v>
      </c>
      <c r="M2442" t="s">
        <v>7823</v>
      </c>
      <c r="N2442" t="str">
        <f t="shared" si="154"/>
        <v>Carl Vinson House (9100)</v>
      </c>
      <c r="O2442" t="s">
        <v>41</v>
      </c>
      <c r="P2442" t="str">
        <f t="shared" si="155"/>
        <v>36000_9100</v>
      </c>
      <c r="Q2442" s="180">
        <v>0</v>
      </c>
    </row>
    <row r="2443" spans="1:17">
      <c r="A2443" t="str">
        <f t="shared" si="152"/>
        <v>GCSU_9101</v>
      </c>
      <c r="B2443" t="str">
        <f t="shared" si="153"/>
        <v>GCSU_West Campus Center</v>
      </c>
      <c r="C2443" t="s">
        <v>448</v>
      </c>
      <c r="D2443" s="180" t="s">
        <v>26</v>
      </c>
      <c r="E2443" t="s">
        <v>5055</v>
      </c>
      <c r="F2443" t="s">
        <v>5056</v>
      </c>
      <c r="G2443" s="180">
        <v>9705</v>
      </c>
      <c r="H2443">
        <v>2007</v>
      </c>
      <c r="J2443" s="1334" t="s">
        <v>486</v>
      </c>
      <c r="K2443" s="1335" t="s">
        <v>475</v>
      </c>
      <c r="L2443" s="180">
        <v>84</v>
      </c>
      <c r="M2443" t="s">
        <v>7823</v>
      </c>
      <c r="N2443" t="str">
        <f t="shared" si="154"/>
        <v>West Campus Center (9101)</v>
      </c>
      <c r="O2443" t="s">
        <v>41</v>
      </c>
      <c r="P2443" t="str">
        <f t="shared" si="155"/>
        <v>36000_9101</v>
      </c>
      <c r="Q2443" s="180">
        <v>0</v>
      </c>
    </row>
    <row r="2444" spans="1:17">
      <c r="A2444" t="str">
        <f t="shared" si="152"/>
        <v>GCSU_9103</v>
      </c>
      <c r="B2444" t="str">
        <f t="shared" si="153"/>
        <v>GCSU_Centennial Clock Tower</v>
      </c>
      <c r="C2444" t="s">
        <v>448</v>
      </c>
      <c r="D2444" s="180" t="s">
        <v>26</v>
      </c>
      <c r="E2444" t="s">
        <v>4948</v>
      </c>
      <c r="F2444" t="s">
        <v>4949</v>
      </c>
      <c r="G2444" s="180">
        <v>160</v>
      </c>
      <c r="H2444">
        <v>2004</v>
      </c>
      <c r="J2444" s="1334" t="s">
        <v>486</v>
      </c>
      <c r="K2444" s="1335" t="s">
        <v>475</v>
      </c>
      <c r="L2444" s="180">
        <v>0</v>
      </c>
      <c r="M2444" t="s">
        <v>7823</v>
      </c>
      <c r="N2444" t="str">
        <f t="shared" si="154"/>
        <v>Centennial Clock Tower (9103)</v>
      </c>
      <c r="O2444" t="s">
        <v>41</v>
      </c>
      <c r="P2444" t="str">
        <f t="shared" si="155"/>
        <v>36000_9103</v>
      </c>
      <c r="Q2444" s="180">
        <v>0</v>
      </c>
    </row>
    <row r="2445" spans="1:17">
      <c r="A2445" t="str">
        <f t="shared" si="152"/>
        <v>GCSU_9104</v>
      </c>
      <c r="B2445" t="str">
        <f t="shared" si="153"/>
        <v>GCSU_MASONRY SHED</v>
      </c>
      <c r="C2445" t="s">
        <v>448</v>
      </c>
      <c r="D2445" s="180" t="s">
        <v>26</v>
      </c>
      <c r="E2445" t="s">
        <v>5093</v>
      </c>
      <c r="F2445" t="s">
        <v>5094</v>
      </c>
      <c r="G2445" s="180">
        <v>1250</v>
      </c>
      <c r="H2445">
        <v>1994</v>
      </c>
      <c r="J2445" s="1334" t="s">
        <v>475</v>
      </c>
      <c r="K2445" s="1335" t="s">
        <v>475</v>
      </c>
      <c r="L2445" s="180">
        <v>100</v>
      </c>
      <c r="M2445" t="s">
        <v>7823</v>
      </c>
      <c r="N2445" t="str">
        <f t="shared" si="154"/>
        <v>MASONRY SHED (9104)</v>
      </c>
      <c r="O2445" t="s">
        <v>41</v>
      </c>
      <c r="P2445" t="str">
        <f t="shared" si="155"/>
        <v>36000_9104</v>
      </c>
      <c r="Q2445" s="180">
        <v>0</v>
      </c>
    </row>
    <row r="2446" spans="1:17">
      <c r="A2446" t="str">
        <f t="shared" si="152"/>
        <v>GCSU_9105</v>
      </c>
      <c r="B2446" t="str">
        <f t="shared" si="153"/>
        <v>GCSU_Softball Pressbox</v>
      </c>
      <c r="C2446" t="s">
        <v>448</v>
      </c>
      <c r="D2446" s="180" t="s">
        <v>26</v>
      </c>
      <c r="E2446" t="s">
        <v>4936</v>
      </c>
      <c r="F2446" t="s">
        <v>4937</v>
      </c>
      <c r="G2446" s="180">
        <v>680</v>
      </c>
      <c r="H2446">
        <v>2008</v>
      </c>
      <c r="J2446" s="1334" t="s">
        <v>475</v>
      </c>
      <c r="K2446" s="1335" t="s">
        <v>475</v>
      </c>
      <c r="L2446" s="180">
        <v>100</v>
      </c>
      <c r="M2446" t="s">
        <v>7823</v>
      </c>
      <c r="N2446" t="str">
        <f t="shared" si="154"/>
        <v>Softball Pressbox (9105)</v>
      </c>
      <c r="O2446" t="s">
        <v>41</v>
      </c>
      <c r="P2446" t="str">
        <f t="shared" si="155"/>
        <v>36000_9105</v>
      </c>
      <c r="Q2446" s="180">
        <v>0</v>
      </c>
    </row>
    <row r="2447" spans="1:17">
      <c r="A2447" t="str">
        <f t="shared" si="152"/>
        <v>GCSU_9106</v>
      </c>
      <c r="B2447" t="str">
        <f t="shared" si="153"/>
        <v>GCSU_Switchgear Bldg</v>
      </c>
      <c r="C2447" t="s">
        <v>448</v>
      </c>
      <c r="D2447" s="180" t="s">
        <v>26</v>
      </c>
      <c r="E2447" t="s">
        <v>5015</v>
      </c>
      <c r="F2447" t="s">
        <v>5016</v>
      </c>
      <c r="G2447" s="180">
        <v>1174</v>
      </c>
      <c r="H2447">
        <v>2007</v>
      </c>
      <c r="J2447" s="1334" t="s">
        <v>475</v>
      </c>
      <c r="K2447" s="1335" t="s">
        <v>475</v>
      </c>
      <c r="L2447" s="180">
        <v>100</v>
      </c>
      <c r="M2447" t="s">
        <v>7823</v>
      </c>
      <c r="N2447" t="str">
        <f t="shared" si="154"/>
        <v>Switchgear Bldg (9106)</v>
      </c>
      <c r="O2447" t="s">
        <v>41</v>
      </c>
      <c r="P2447" t="str">
        <f t="shared" si="155"/>
        <v>36000_9106</v>
      </c>
      <c r="Q2447" s="180">
        <v>0</v>
      </c>
    </row>
    <row r="2448" spans="1:17">
      <c r="A2448" t="str">
        <f t="shared" si="152"/>
        <v>GCSU_9107</v>
      </c>
      <c r="B2448" t="str">
        <f t="shared" si="153"/>
        <v>GCSU_Wellness and Recreation Center</v>
      </c>
      <c r="C2448" t="s">
        <v>448</v>
      </c>
      <c r="D2448" s="180" t="s">
        <v>26</v>
      </c>
      <c r="E2448" t="s">
        <v>4986</v>
      </c>
      <c r="F2448" t="s">
        <v>4987</v>
      </c>
      <c r="G2448" s="180">
        <v>104033</v>
      </c>
      <c r="H2448">
        <v>2010</v>
      </c>
      <c r="J2448" s="1334" t="s">
        <v>1520</v>
      </c>
      <c r="K2448" s="1335" t="s">
        <v>475</v>
      </c>
      <c r="L2448" s="180">
        <v>100</v>
      </c>
      <c r="M2448" t="s">
        <v>7823</v>
      </c>
      <c r="N2448" t="str">
        <f t="shared" si="154"/>
        <v>Wellness and Recreation Center (9107)</v>
      </c>
      <c r="O2448" t="s">
        <v>41</v>
      </c>
      <c r="P2448" t="str">
        <f t="shared" si="155"/>
        <v>36000_9107</v>
      </c>
      <c r="Q2448" s="180">
        <v>0</v>
      </c>
    </row>
    <row r="2449" spans="1:17">
      <c r="A2449" t="str">
        <f t="shared" si="152"/>
        <v>GCSU_9108</v>
      </c>
      <c r="B2449" t="str">
        <f t="shared" si="153"/>
        <v>GCSU_Deal Center</v>
      </c>
      <c r="C2449" t="s">
        <v>448</v>
      </c>
      <c r="D2449" s="180" t="s">
        <v>26</v>
      </c>
      <c r="E2449" t="s">
        <v>5040</v>
      </c>
      <c r="F2449" t="s">
        <v>5041</v>
      </c>
      <c r="G2449" s="180">
        <v>3433</v>
      </c>
      <c r="H2449">
        <v>1897</v>
      </c>
      <c r="J2449" s="1334" t="s">
        <v>475</v>
      </c>
      <c r="K2449" s="1335" t="s">
        <v>475</v>
      </c>
      <c r="L2449" s="180">
        <v>100</v>
      </c>
      <c r="M2449" t="s">
        <v>7823</v>
      </c>
      <c r="N2449" t="str">
        <f t="shared" si="154"/>
        <v>Deal Center (9108)</v>
      </c>
      <c r="O2449" t="s">
        <v>41</v>
      </c>
      <c r="P2449" t="str">
        <f t="shared" si="155"/>
        <v>36000_9108</v>
      </c>
      <c r="Q2449" s="180">
        <v>0</v>
      </c>
    </row>
    <row r="2450" spans="1:17">
      <c r="A2450" t="str">
        <f t="shared" si="152"/>
        <v>GCSU_9110</v>
      </c>
      <c r="B2450" t="str">
        <f t="shared" si="153"/>
        <v>GCSU_Composting Facility</v>
      </c>
      <c r="C2450" t="s">
        <v>448</v>
      </c>
      <c r="D2450" s="180" t="s">
        <v>26</v>
      </c>
      <c r="E2450" t="s">
        <v>5026</v>
      </c>
      <c r="F2450" t="s">
        <v>5027</v>
      </c>
      <c r="G2450" s="180">
        <v>1800</v>
      </c>
      <c r="H2450">
        <v>2015</v>
      </c>
      <c r="J2450" s="1334" t="s">
        <v>475</v>
      </c>
      <c r="K2450" s="1335" t="s">
        <v>475</v>
      </c>
      <c r="L2450" s="180">
        <v>100</v>
      </c>
      <c r="M2450" t="s">
        <v>7823</v>
      </c>
      <c r="N2450" t="str">
        <f t="shared" si="154"/>
        <v>Composting Facility (9110)</v>
      </c>
      <c r="O2450" t="s">
        <v>41</v>
      </c>
      <c r="P2450" t="str">
        <f t="shared" si="155"/>
        <v>36000_9110</v>
      </c>
      <c r="Q2450" s="180">
        <v>0</v>
      </c>
    </row>
    <row r="2451" spans="1:17">
      <c r="A2451" t="str">
        <f t="shared" si="152"/>
        <v>GCSU_9115</v>
      </c>
      <c r="B2451" t="str">
        <f t="shared" si="153"/>
        <v>GCSU_Integrated Science Complex</v>
      </c>
      <c r="C2451" t="s">
        <v>448</v>
      </c>
      <c r="D2451" s="180" t="s">
        <v>26</v>
      </c>
      <c r="E2451" t="s">
        <v>5095</v>
      </c>
      <c r="F2451" t="s">
        <v>5096</v>
      </c>
      <c r="G2451" s="180">
        <v>47567</v>
      </c>
      <c r="H2451">
        <v>2020</v>
      </c>
      <c r="J2451" s="1334" t="s">
        <v>520</v>
      </c>
      <c r="K2451" s="1335" t="s">
        <v>901</v>
      </c>
      <c r="L2451" s="180">
        <v>100</v>
      </c>
      <c r="M2451" t="s">
        <v>7823</v>
      </c>
      <c r="N2451" t="str">
        <f t="shared" si="154"/>
        <v>Integrated Science Complex (9115)</v>
      </c>
      <c r="O2451" t="s">
        <v>41</v>
      </c>
      <c r="P2451" t="str">
        <f t="shared" si="155"/>
        <v>36000_9115</v>
      </c>
      <c r="Q2451" s="180">
        <v>0</v>
      </c>
    </row>
    <row r="2452" spans="1:17">
      <c r="A2452" t="str">
        <f t="shared" si="152"/>
        <v>GCSU_9120</v>
      </c>
      <c r="B2452" t="str">
        <f t="shared" si="153"/>
        <v>GCSU_Main House</v>
      </c>
      <c r="C2452" t="s">
        <v>448</v>
      </c>
      <c r="D2452" s="180" t="s">
        <v>26</v>
      </c>
      <c r="E2452" t="s">
        <v>5028</v>
      </c>
      <c r="F2452" t="s">
        <v>5029</v>
      </c>
      <c r="G2452" s="180">
        <v>3998</v>
      </c>
      <c r="H2452">
        <v>1850</v>
      </c>
      <c r="J2452" s="1334" t="s">
        <v>475</v>
      </c>
      <c r="K2452" s="1335" t="s">
        <v>475</v>
      </c>
      <c r="L2452" s="180">
        <v>100</v>
      </c>
      <c r="M2452" t="s">
        <v>7823</v>
      </c>
      <c r="N2452" t="str">
        <f t="shared" si="154"/>
        <v>Main House (9120)</v>
      </c>
      <c r="O2452" t="s">
        <v>41</v>
      </c>
      <c r="P2452" t="str">
        <f t="shared" si="155"/>
        <v>36000_9120</v>
      </c>
      <c r="Q2452" s="180">
        <v>0</v>
      </c>
    </row>
    <row r="2453" spans="1:17">
      <c r="A2453" t="str">
        <f t="shared" si="152"/>
        <v>GCSU_9121</v>
      </c>
      <c r="B2453" t="str">
        <f t="shared" si="153"/>
        <v>GCSU_Hill House</v>
      </c>
      <c r="C2453" t="s">
        <v>448</v>
      </c>
      <c r="D2453" s="180" t="s">
        <v>26</v>
      </c>
      <c r="E2453" t="s">
        <v>4992</v>
      </c>
      <c r="F2453" t="s">
        <v>4993</v>
      </c>
      <c r="G2453" s="180">
        <v>1880</v>
      </c>
      <c r="H2453">
        <v>1850</v>
      </c>
      <c r="J2453" s="1334" t="s">
        <v>475</v>
      </c>
      <c r="K2453" s="1335" t="s">
        <v>475</v>
      </c>
      <c r="L2453" s="180">
        <v>100</v>
      </c>
      <c r="M2453" t="s">
        <v>7823</v>
      </c>
      <c r="N2453" t="str">
        <f t="shared" si="154"/>
        <v>Hill House (9121)</v>
      </c>
      <c r="O2453" t="s">
        <v>41</v>
      </c>
      <c r="P2453" t="str">
        <f t="shared" si="155"/>
        <v>36000_9121</v>
      </c>
      <c r="Q2453" s="180">
        <v>0</v>
      </c>
    </row>
    <row r="2454" spans="1:17">
      <c r="A2454" t="str">
        <f t="shared" si="152"/>
        <v>GCSU_9122</v>
      </c>
      <c r="B2454" t="str">
        <f t="shared" si="153"/>
        <v>GCSU_Barn</v>
      </c>
      <c r="C2454" t="s">
        <v>448</v>
      </c>
      <c r="D2454" s="180" t="s">
        <v>26</v>
      </c>
      <c r="E2454" t="s">
        <v>5053</v>
      </c>
      <c r="F2454" t="s">
        <v>5054</v>
      </c>
      <c r="G2454" s="180">
        <v>6666</v>
      </c>
      <c r="H2454">
        <v>1850</v>
      </c>
      <c r="J2454" s="1334" t="s">
        <v>475</v>
      </c>
      <c r="K2454" s="1335" t="s">
        <v>475</v>
      </c>
      <c r="L2454" s="180">
        <v>100</v>
      </c>
      <c r="M2454" t="s">
        <v>7823</v>
      </c>
      <c r="N2454" t="str">
        <f t="shared" si="154"/>
        <v>Barn (9122)</v>
      </c>
      <c r="O2454" t="s">
        <v>41</v>
      </c>
      <c r="P2454" t="str">
        <f t="shared" si="155"/>
        <v>36000_9122</v>
      </c>
      <c r="Q2454" s="180">
        <v>0</v>
      </c>
    </row>
    <row r="2455" spans="1:17">
      <c r="A2455" t="str">
        <f t="shared" si="152"/>
        <v>GCSU_9123</v>
      </c>
      <c r="B2455" t="str">
        <f t="shared" si="153"/>
        <v>GCSU_Equipment Shed</v>
      </c>
      <c r="C2455" t="s">
        <v>448</v>
      </c>
      <c r="D2455" s="180" t="s">
        <v>26</v>
      </c>
      <c r="E2455" t="s">
        <v>4995</v>
      </c>
      <c r="F2455" t="s">
        <v>4996</v>
      </c>
      <c r="G2455" s="180">
        <v>1500</v>
      </c>
      <c r="H2455">
        <v>1850</v>
      </c>
      <c r="J2455" s="1334" t="s">
        <v>475</v>
      </c>
      <c r="K2455" s="1335" t="s">
        <v>475</v>
      </c>
      <c r="L2455" s="180">
        <v>100</v>
      </c>
      <c r="M2455" t="s">
        <v>7823</v>
      </c>
      <c r="N2455" t="str">
        <f t="shared" si="154"/>
        <v>Equipment Shed (9123)</v>
      </c>
      <c r="O2455" t="s">
        <v>41</v>
      </c>
      <c r="P2455" t="str">
        <f t="shared" si="155"/>
        <v>36000_9123</v>
      </c>
      <c r="Q2455" s="180">
        <v>0</v>
      </c>
    </row>
    <row r="2456" spans="1:17">
      <c r="A2456" t="str">
        <f t="shared" si="152"/>
        <v>GCSU_9124</v>
      </c>
      <c r="B2456" t="str">
        <f t="shared" si="153"/>
        <v>GCSU_Milk House</v>
      </c>
      <c r="C2456" t="s">
        <v>448</v>
      </c>
      <c r="D2456" s="180" t="s">
        <v>26</v>
      </c>
      <c r="E2456" t="s">
        <v>4938</v>
      </c>
      <c r="F2456" t="s">
        <v>4939</v>
      </c>
      <c r="G2456" s="180">
        <v>400</v>
      </c>
      <c r="H2456">
        <v>1850</v>
      </c>
      <c r="J2456" s="1334" t="s">
        <v>475</v>
      </c>
      <c r="K2456" s="1335" t="s">
        <v>475</v>
      </c>
      <c r="L2456" s="180">
        <v>100</v>
      </c>
      <c r="M2456" t="s">
        <v>7823</v>
      </c>
      <c r="N2456" t="str">
        <f t="shared" si="154"/>
        <v>Milk House (9124)</v>
      </c>
      <c r="O2456" t="s">
        <v>41</v>
      </c>
      <c r="P2456" t="str">
        <f t="shared" si="155"/>
        <v>36000_9124</v>
      </c>
      <c r="Q2456" s="180">
        <v>0</v>
      </c>
    </row>
    <row r="2457" spans="1:17">
      <c r="A2457" t="str">
        <f t="shared" si="152"/>
        <v>GCSU_9130</v>
      </c>
      <c r="B2457" t="str">
        <f t="shared" si="153"/>
        <v>GCSU_Interpretive Center</v>
      </c>
      <c r="C2457" t="s">
        <v>448</v>
      </c>
      <c r="D2457" s="180" t="s">
        <v>26</v>
      </c>
      <c r="E2457" t="s">
        <v>5104</v>
      </c>
      <c r="F2457" t="s">
        <v>5105</v>
      </c>
      <c r="G2457" s="180">
        <v>5230</v>
      </c>
      <c r="H2457">
        <v>2021</v>
      </c>
      <c r="J2457" s="1334" t="s">
        <v>520</v>
      </c>
      <c r="K2457" s="1335" t="s">
        <v>901</v>
      </c>
      <c r="L2457" s="180">
        <v>100</v>
      </c>
      <c r="M2457" t="s">
        <v>7823</v>
      </c>
      <c r="N2457" t="str">
        <f t="shared" si="154"/>
        <v>Interpretive Center (9130)</v>
      </c>
      <c r="O2457" t="s">
        <v>41</v>
      </c>
      <c r="P2457" t="str">
        <f t="shared" si="155"/>
        <v>36000_9130</v>
      </c>
      <c r="Q2457" s="180">
        <v>0</v>
      </c>
    </row>
    <row r="2458" spans="1:17">
      <c r="A2458" t="str">
        <f t="shared" si="152"/>
        <v>GCSU_9131</v>
      </c>
      <c r="B2458" t="str">
        <f t="shared" si="153"/>
        <v>GCSU_West Campus Storage</v>
      </c>
      <c r="C2458" t="s">
        <v>448</v>
      </c>
      <c r="D2458" s="180" t="s">
        <v>26</v>
      </c>
      <c r="E2458" t="s">
        <v>7023</v>
      </c>
      <c r="F2458" t="s">
        <v>7093</v>
      </c>
      <c r="G2458" s="180">
        <v>3200</v>
      </c>
      <c r="H2458">
        <v>2022</v>
      </c>
      <c r="J2458" s="1334" t="s">
        <v>475</v>
      </c>
      <c r="K2458" s="1335" t="s">
        <v>920</v>
      </c>
      <c r="L2458" s="180">
        <v>100</v>
      </c>
      <c r="M2458" t="s">
        <v>7823</v>
      </c>
      <c r="N2458" t="str">
        <f t="shared" si="154"/>
        <v>West Campus Storage (9131)</v>
      </c>
      <c r="O2458" t="s">
        <v>41</v>
      </c>
      <c r="P2458" t="str">
        <f t="shared" si="155"/>
        <v>36000_9131</v>
      </c>
      <c r="Q2458" s="180">
        <v>0</v>
      </c>
    </row>
    <row r="2459" spans="1:17">
      <c r="A2459" t="str">
        <f t="shared" si="152"/>
        <v>GCSU_9133</v>
      </c>
      <c r="B2459" t="str">
        <f t="shared" si="153"/>
        <v>GCSU_330 West Thomas Street</v>
      </c>
      <c r="C2459" t="s">
        <v>448</v>
      </c>
      <c r="D2459" s="180" t="s">
        <v>26</v>
      </c>
      <c r="E2459" t="s">
        <v>7024</v>
      </c>
      <c r="F2459" t="s">
        <v>7094</v>
      </c>
      <c r="G2459" s="180">
        <v>3240</v>
      </c>
      <c r="H2459">
        <v>1939</v>
      </c>
      <c r="J2459" s="1334" t="s">
        <v>475</v>
      </c>
      <c r="K2459" s="1335" t="s">
        <v>475</v>
      </c>
      <c r="L2459" s="180">
        <v>0</v>
      </c>
      <c r="M2459" t="s">
        <v>7823</v>
      </c>
      <c r="N2459" t="str">
        <f t="shared" si="154"/>
        <v>330 West Thomas Street (9133)</v>
      </c>
      <c r="O2459" t="s">
        <v>41</v>
      </c>
      <c r="P2459" t="str">
        <f t="shared" si="155"/>
        <v>36000_9133</v>
      </c>
      <c r="Q2459" s="180">
        <v>0</v>
      </c>
    </row>
    <row r="2460" spans="1:17">
      <c r="A2460" t="str">
        <f t="shared" si="152"/>
        <v>GCSU_9134</v>
      </c>
      <c r="B2460" t="str">
        <f t="shared" si="153"/>
        <v>GCSU_330 W Thomas Storage</v>
      </c>
      <c r="C2460" t="s">
        <v>448</v>
      </c>
      <c r="D2460" s="180" t="s">
        <v>26</v>
      </c>
      <c r="E2460" t="s">
        <v>7025</v>
      </c>
      <c r="F2460" t="s">
        <v>7095</v>
      </c>
      <c r="G2460" s="180">
        <v>305</v>
      </c>
      <c r="H2460">
        <v>1939</v>
      </c>
      <c r="J2460" s="1334" t="s">
        <v>475</v>
      </c>
      <c r="K2460" s="1335" t="s">
        <v>475</v>
      </c>
      <c r="L2460" s="180">
        <v>100</v>
      </c>
      <c r="M2460" t="s">
        <v>7823</v>
      </c>
      <c r="N2460" t="str">
        <f t="shared" si="154"/>
        <v>330 W Thomas Storage (9134)</v>
      </c>
      <c r="O2460" t="s">
        <v>41</v>
      </c>
      <c r="P2460" t="str">
        <f t="shared" si="155"/>
        <v>36000_9134</v>
      </c>
      <c r="Q2460" s="180">
        <v>0</v>
      </c>
    </row>
    <row r="2461" spans="1:17">
      <c r="A2461" t="str">
        <f t="shared" si="152"/>
        <v>GSOU_0101</v>
      </c>
      <c r="B2461" t="str">
        <f t="shared" si="153"/>
        <v>GSOU_Marvin Pittman Admin. Bldg</v>
      </c>
      <c r="C2461" t="s">
        <v>449</v>
      </c>
      <c r="D2461" s="180" t="s">
        <v>30</v>
      </c>
      <c r="E2461" t="s">
        <v>751</v>
      </c>
      <c r="F2461" t="s">
        <v>5338</v>
      </c>
      <c r="G2461" s="180">
        <v>42577</v>
      </c>
      <c r="H2461">
        <v>1907</v>
      </c>
      <c r="J2461" s="1334" t="s">
        <v>475</v>
      </c>
      <c r="K2461" s="1335" t="s">
        <v>475</v>
      </c>
      <c r="L2461" s="180">
        <v>100</v>
      </c>
      <c r="M2461" t="s">
        <v>80</v>
      </c>
      <c r="N2461" t="str">
        <f t="shared" si="154"/>
        <v>Marvin Pittman Admin. Bldg (0101)</v>
      </c>
      <c r="O2461" t="s">
        <v>44</v>
      </c>
      <c r="P2461" t="str">
        <f t="shared" si="155"/>
        <v>39000_0101</v>
      </c>
      <c r="Q2461" s="180">
        <v>0</v>
      </c>
    </row>
    <row r="2462" spans="1:17">
      <c r="A2462" t="str">
        <f t="shared" si="152"/>
        <v>GSOU_0102</v>
      </c>
      <c r="B2462" t="str">
        <f t="shared" si="153"/>
        <v>GSOU_Deal Hall</v>
      </c>
      <c r="C2462" t="s">
        <v>449</v>
      </c>
      <c r="D2462" s="180" t="s">
        <v>30</v>
      </c>
      <c r="E2462" t="s">
        <v>947</v>
      </c>
      <c r="F2462" t="s">
        <v>5519</v>
      </c>
      <c r="G2462" s="180">
        <v>18561</v>
      </c>
      <c r="H2462">
        <v>1907</v>
      </c>
      <c r="J2462" s="1334" t="s">
        <v>475</v>
      </c>
      <c r="K2462" s="1335" t="s">
        <v>475</v>
      </c>
      <c r="L2462" s="180">
        <v>100</v>
      </c>
      <c r="M2462" t="s">
        <v>80</v>
      </c>
      <c r="N2462" t="str">
        <f t="shared" si="154"/>
        <v>Deal Hall (0102)</v>
      </c>
      <c r="O2462" t="s">
        <v>44</v>
      </c>
      <c r="P2462" t="str">
        <f t="shared" si="155"/>
        <v>39000_0102</v>
      </c>
      <c r="Q2462" s="180">
        <v>0</v>
      </c>
    </row>
    <row r="2463" spans="1:17">
      <c r="A2463" t="str">
        <f t="shared" si="152"/>
        <v>GSOU_0103</v>
      </c>
      <c r="B2463" t="str">
        <f t="shared" si="153"/>
        <v>GSOU_Anderson Hall</v>
      </c>
      <c r="C2463" t="s">
        <v>449</v>
      </c>
      <c r="D2463" s="180" t="s">
        <v>30</v>
      </c>
      <c r="E2463" t="s">
        <v>535</v>
      </c>
      <c r="F2463" t="s">
        <v>5223</v>
      </c>
      <c r="G2463" s="180">
        <v>18566</v>
      </c>
      <c r="H2463">
        <v>1907</v>
      </c>
      <c r="I2463">
        <v>1989</v>
      </c>
      <c r="J2463" s="1334" t="s">
        <v>475</v>
      </c>
      <c r="K2463" s="1335" t="s">
        <v>475</v>
      </c>
      <c r="L2463" s="180">
        <v>100</v>
      </c>
      <c r="M2463" t="s">
        <v>80</v>
      </c>
      <c r="N2463" t="str">
        <f t="shared" si="154"/>
        <v>Anderson Hall (0103)</v>
      </c>
      <c r="O2463" t="s">
        <v>44</v>
      </c>
      <c r="P2463" t="str">
        <f t="shared" si="155"/>
        <v>39000_0103</v>
      </c>
      <c r="Q2463" s="180">
        <v>0</v>
      </c>
    </row>
    <row r="2464" spans="1:17">
      <c r="A2464" t="str">
        <f t="shared" si="152"/>
        <v>GSOU_0104</v>
      </c>
      <c r="B2464" t="str">
        <f t="shared" si="153"/>
        <v>GSOU_Rosenwald Building</v>
      </c>
      <c r="C2464" t="s">
        <v>449</v>
      </c>
      <c r="D2464" s="180" t="s">
        <v>30</v>
      </c>
      <c r="E2464" t="s">
        <v>686</v>
      </c>
      <c r="F2464" t="s">
        <v>5215</v>
      </c>
      <c r="G2464" s="180">
        <v>43977</v>
      </c>
      <c r="H2464">
        <v>1937</v>
      </c>
      <c r="I2464">
        <v>2004</v>
      </c>
      <c r="J2464" s="1334" t="s">
        <v>475</v>
      </c>
      <c r="K2464" s="1335" t="s">
        <v>475</v>
      </c>
      <c r="L2464" s="180">
        <v>100</v>
      </c>
      <c r="M2464" t="s">
        <v>80</v>
      </c>
      <c r="N2464" t="str">
        <f t="shared" si="154"/>
        <v>Rosenwald Building (0104)</v>
      </c>
      <c r="O2464" t="s">
        <v>44</v>
      </c>
      <c r="P2464" t="str">
        <f t="shared" si="155"/>
        <v>39000_0104</v>
      </c>
      <c r="Q2464" s="180">
        <v>0</v>
      </c>
    </row>
    <row r="2465" spans="1:17">
      <c r="A2465" t="str">
        <f t="shared" si="152"/>
        <v>GSOU_0105</v>
      </c>
      <c r="B2465" t="str">
        <f t="shared" si="153"/>
        <v>GSOU_Eidson House</v>
      </c>
      <c r="C2465" t="s">
        <v>449</v>
      </c>
      <c r="D2465" s="180" t="s">
        <v>30</v>
      </c>
      <c r="E2465" t="s">
        <v>916</v>
      </c>
      <c r="F2465" t="s">
        <v>5175</v>
      </c>
      <c r="G2465" s="180">
        <v>4909</v>
      </c>
      <c r="H2465">
        <v>1954</v>
      </c>
      <c r="I2465">
        <v>2009</v>
      </c>
      <c r="J2465" s="1334" t="s">
        <v>475</v>
      </c>
      <c r="K2465" s="1335" t="s">
        <v>475</v>
      </c>
      <c r="L2465" s="180">
        <v>100</v>
      </c>
      <c r="M2465" t="s">
        <v>80</v>
      </c>
      <c r="N2465" t="str">
        <f t="shared" si="154"/>
        <v>Eidson House (0105)</v>
      </c>
      <c r="O2465" t="s">
        <v>44</v>
      </c>
      <c r="P2465" t="str">
        <f t="shared" si="155"/>
        <v>39000_0105</v>
      </c>
      <c r="Q2465" s="180">
        <v>0</v>
      </c>
    </row>
    <row r="2466" spans="1:17">
      <c r="A2466" t="str">
        <f t="shared" si="152"/>
        <v>GSOU_0109</v>
      </c>
      <c r="B2466" t="str">
        <f t="shared" si="153"/>
        <v>GSOU_Bldg. 109</v>
      </c>
      <c r="C2466" t="s">
        <v>449</v>
      </c>
      <c r="D2466" s="180" t="s">
        <v>30</v>
      </c>
      <c r="E2466" t="s">
        <v>894</v>
      </c>
      <c r="F2466" t="s">
        <v>5125</v>
      </c>
      <c r="G2466" s="180">
        <v>6205</v>
      </c>
      <c r="H2466">
        <v>1965</v>
      </c>
      <c r="I2466">
        <v>2017</v>
      </c>
      <c r="J2466" s="1334" t="s">
        <v>475</v>
      </c>
      <c r="K2466" s="1335" t="s">
        <v>475</v>
      </c>
      <c r="L2466" s="180">
        <v>100</v>
      </c>
      <c r="M2466" t="s">
        <v>80</v>
      </c>
      <c r="N2466" t="str">
        <f t="shared" si="154"/>
        <v>Bldg. 109 (0109)</v>
      </c>
      <c r="O2466" t="s">
        <v>44</v>
      </c>
      <c r="P2466" t="str">
        <f t="shared" si="155"/>
        <v>39000_0109</v>
      </c>
      <c r="Q2466" s="180">
        <v>0</v>
      </c>
    </row>
    <row r="2467" spans="1:17">
      <c r="A2467" t="str">
        <f t="shared" si="152"/>
        <v>GSOU_0110</v>
      </c>
      <c r="B2467" t="str">
        <f t="shared" si="153"/>
        <v>GSOU_Public Safety</v>
      </c>
      <c r="C2467" t="s">
        <v>449</v>
      </c>
      <c r="D2467" s="180" t="s">
        <v>30</v>
      </c>
      <c r="E2467" t="s">
        <v>666</v>
      </c>
      <c r="F2467" t="s">
        <v>1350</v>
      </c>
      <c r="G2467" s="180">
        <v>9327</v>
      </c>
      <c r="H2467">
        <v>1992</v>
      </c>
      <c r="I2467">
        <v>2018</v>
      </c>
      <c r="J2467" s="1334" t="s">
        <v>475</v>
      </c>
      <c r="K2467" s="1335" t="s">
        <v>475</v>
      </c>
      <c r="L2467" s="180">
        <v>100</v>
      </c>
      <c r="M2467" t="s">
        <v>80</v>
      </c>
      <c r="N2467" t="str">
        <f t="shared" si="154"/>
        <v>Public Safety (0110)</v>
      </c>
      <c r="O2467" t="s">
        <v>44</v>
      </c>
      <c r="P2467" t="str">
        <f t="shared" si="155"/>
        <v>39000_0110</v>
      </c>
      <c r="Q2467" s="180">
        <v>0</v>
      </c>
    </row>
    <row r="2468" spans="1:17">
      <c r="A2468" t="str">
        <f t="shared" si="152"/>
        <v>GSOU_0111</v>
      </c>
      <c r="B2468" t="str">
        <f t="shared" si="153"/>
        <v>GSOU_Dan J Parrish Sr. Building</v>
      </c>
      <c r="C2468" t="s">
        <v>449</v>
      </c>
      <c r="D2468" s="180" t="s">
        <v>30</v>
      </c>
      <c r="E2468" t="s">
        <v>834</v>
      </c>
      <c r="F2468" t="s">
        <v>5278</v>
      </c>
      <c r="G2468" s="180">
        <v>11778</v>
      </c>
      <c r="H2468">
        <v>2000</v>
      </c>
      <c r="J2468" s="1334" t="s">
        <v>475</v>
      </c>
      <c r="K2468" s="1335" t="s">
        <v>475</v>
      </c>
      <c r="L2468" s="180">
        <v>0</v>
      </c>
      <c r="M2468" t="s">
        <v>80</v>
      </c>
      <c r="N2468" t="str">
        <f t="shared" si="154"/>
        <v>Dan J Parrish Sr. Building (0111)</v>
      </c>
      <c r="O2468" t="s">
        <v>44</v>
      </c>
      <c r="P2468" t="str">
        <f t="shared" si="155"/>
        <v>39000_0111</v>
      </c>
      <c r="Q2468" s="180">
        <v>0</v>
      </c>
    </row>
    <row r="2469" spans="1:17">
      <c r="A2469" t="str">
        <f t="shared" si="152"/>
        <v>GSOU_0112</v>
      </c>
      <c r="B2469" t="str">
        <f t="shared" si="153"/>
        <v>GSOU_Troy A &amp; Moselle Cowart Bldg</v>
      </c>
      <c r="C2469" t="s">
        <v>449</v>
      </c>
      <c r="D2469" s="180" t="s">
        <v>30</v>
      </c>
      <c r="E2469" t="s">
        <v>5336</v>
      </c>
      <c r="F2469" t="s">
        <v>5337</v>
      </c>
      <c r="G2469" s="180">
        <v>3319</v>
      </c>
      <c r="H2469">
        <v>2000</v>
      </c>
      <c r="J2469" s="1334" t="s">
        <v>475</v>
      </c>
      <c r="K2469" s="1335" t="s">
        <v>475</v>
      </c>
      <c r="L2469" s="180">
        <v>0</v>
      </c>
      <c r="M2469" t="s">
        <v>80</v>
      </c>
      <c r="N2469" t="str">
        <f t="shared" si="154"/>
        <v>Troy A &amp; Moselle Cowart Bldg (0112)</v>
      </c>
      <c r="O2469" t="s">
        <v>44</v>
      </c>
      <c r="P2469" t="str">
        <f t="shared" si="155"/>
        <v>39000_0112</v>
      </c>
      <c r="Q2469" s="180">
        <v>0</v>
      </c>
    </row>
    <row r="2470" spans="1:17">
      <c r="A2470" t="str">
        <f t="shared" si="152"/>
        <v>GSOU_0113</v>
      </c>
      <c r="B2470" t="str">
        <f t="shared" si="153"/>
        <v>GSOU_Lewis Hall</v>
      </c>
      <c r="C2470" t="s">
        <v>449</v>
      </c>
      <c r="D2470" s="180" t="s">
        <v>30</v>
      </c>
      <c r="E2470" t="s">
        <v>4362</v>
      </c>
      <c r="F2470" t="s">
        <v>5207</v>
      </c>
      <c r="G2470" s="180">
        <v>24466</v>
      </c>
      <c r="H2470">
        <v>1937</v>
      </c>
      <c r="I2470">
        <v>2002</v>
      </c>
      <c r="J2470" s="1334" t="s">
        <v>475</v>
      </c>
      <c r="K2470" s="1335" t="s">
        <v>475</v>
      </c>
      <c r="L2470" s="180">
        <v>100</v>
      </c>
      <c r="M2470" t="s">
        <v>80</v>
      </c>
      <c r="N2470" t="str">
        <f t="shared" si="154"/>
        <v>Lewis Hall (0113)</v>
      </c>
      <c r="O2470" t="s">
        <v>44</v>
      </c>
      <c r="P2470" t="str">
        <f t="shared" si="155"/>
        <v>39000_0113</v>
      </c>
      <c r="Q2470" s="180">
        <v>0</v>
      </c>
    </row>
    <row r="2471" spans="1:17">
      <c r="A2471" t="str">
        <f t="shared" si="152"/>
        <v>GSOU_0114</v>
      </c>
      <c r="B2471" t="str">
        <f t="shared" si="153"/>
        <v>GSOU_Parking &amp; Transportation</v>
      </c>
      <c r="C2471" t="s">
        <v>449</v>
      </c>
      <c r="D2471" s="180" t="s">
        <v>30</v>
      </c>
      <c r="E2471" t="s">
        <v>5349</v>
      </c>
      <c r="F2471" t="s">
        <v>5350</v>
      </c>
      <c r="G2471" s="180">
        <v>3050</v>
      </c>
      <c r="H2471">
        <v>2005</v>
      </c>
      <c r="J2471" s="1334" t="s">
        <v>475</v>
      </c>
      <c r="K2471" s="1335" t="s">
        <v>475</v>
      </c>
      <c r="L2471" s="180">
        <v>0</v>
      </c>
      <c r="M2471" t="s">
        <v>80</v>
      </c>
      <c r="N2471" t="str">
        <f t="shared" si="154"/>
        <v>Parking &amp; Transportation (0114)</v>
      </c>
      <c r="O2471" t="s">
        <v>44</v>
      </c>
      <c r="P2471" t="str">
        <f t="shared" si="155"/>
        <v>39000_0114</v>
      </c>
      <c r="Q2471" s="180">
        <v>0</v>
      </c>
    </row>
    <row r="2472" spans="1:17">
      <c r="A2472" t="str">
        <f t="shared" si="152"/>
        <v>GSOU_0115</v>
      </c>
      <c r="B2472" t="str">
        <f t="shared" si="153"/>
        <v>GSOU_Eugene M Bishop Alumni House</v>
      </c>
      <c r="C2472" t="s">
        <v>449</v>
      </c>
      <c r="D2472" s="180" t="s">
        <v>30</v>
      </c>
      <c r="E2472" t="s">
        <v>789</v>
      </c>
      <c r="F2472" t="s">
        <v>5238</v>
      </c>
      <c r="G2472" s="180">
        <v>11463</v>
      </c>
      <c r="H2472">
        <v>2008</v>
      </c>
      <c r="J2472" s="1334" t="s">
        <v>475</v>
      </c>
      <c r="K2472" s="1335" t="s">
        <v>475</v>
      </c>
      <c r="L2472" s="180">
        <v>0</v>
      </c>
      <c r="M2472" t="s">
        <v>80</v>
      </c>
      <c r="N2472" t="str">
        <f t="shared" si="154"/>
        <v>Eugene M Bishop Alumni House (0115)</v>
      </c>
      <c r="O2472" t="s">
        <v>44</v>
      </c>
      <c r="P2472" t="str">
        <f t="shared" si="155"/>
        <v>39000_0115</v>
      </c>
      <c r="Q2472" s="180">
        <v>0</v>
      </c>
    </row>
    <row r="2473" spans="1:17">
      <c r="A2473" t="str">
        <f t="shared" si="152"/>
        <v>GSOU_0200</v>
      </c>
      <c r="B2473" t="str">
        <f t="shared" si="153"/>
        <v>GSOU_Hollis Building</v>
      </c>
      <c r="C2473" t="s">
        <v>449</v>
      </c>
      <c r="D2473" s="180" t="s">
        <v>30</v>
      </c>
      <c r="E2473" t="s">
        <v>500</v>
      </c>
      <c r="F2473" t="s">
        <v>5180</v>
      </c>
      <c r="G2473" s="180">
        <v>48658</v>
      </c>
      <c r="H2473">
        <v>1965</v>
      </c>
      <c r="J2473" s="1334" t="s">
        <v>475</v>
      </c>
      <c r="K2473" s="1335" t="s">
        <v>475</v>
      </c>
      <c r="L2473" s="180">
        <v>100</v>
      </c>
      <c r="M2473" t="s">
        <v>80</v>
      </c>
      <c r="N2473" t="str">
        <f t="shared" si="154"/>
        <v>Hollis Building (0200)</v>
      </c>
      <c r="O2473" t="s">
        <v>44</v>
      </c>
      <c r="P2473" t="str">
        <f t="shared" si="155"/>
        <v>39000_0200</v>
      </c>
      <c r="Q2473" s="180">
        <v>0</v>
      </c>
    </row>
    <row r="2474" spans="1:17">
      <c r="A2474" t="str">
        <f t="shared" si="152"/>
        <v>GSOU_0201</v>
      </c>
      <c r="B2474" t="str">
        <f t="shared" si="153"/>
        <v>GSOU_Herty Building</v>
      </c>
      <c r="C2474" t="s">
        <v>449</v>
      </c>
      <c r="D2474" s="180" t="s">
        <v>30</v>
      </c>
      <c r="E2474" t="s">
        <v>714</v>
      </c>
      <c r="F2474" t="s">
        <v>5439</v>
      </c>
      <c r="G2474" s="180">
        <v>47871</v>
      </c>
      <c r="H2474">
        <v>1958</v>
      </c>
      <c r="I2474">
        <v>2005</v>
      </c>
      <c r="J2474" s="1334" t="s">
        <v>475</v>
      </c>
      <c r="K2474" s="1335" t="s">
        <v>475</v>
      </c>
      <c r="L2474" s="180">
        <v>100</v>
      </c>
      <c r="M2474" t="s">
        <v>80</v>
      </c>
      <c r="N2474" t="str">
        <f t="shared" si="154"/>
        <v>Herty Building (0201)</v>
      </c>
      <c r="O2474" t="s">
        <v>44</v>
      </c>
      <c r="P2474" t="str">
        <f t="shared" si="155"/>
        <v>39000_0201</v>
      </c>
      <c r="Q2474" s="180">
        <v>0</v>
      </c>
    </row>
    <row r="2475" spans="1:17">
      <c r="A2475" t="str">
        <f t="shared" si="152"/>
        <v>GSOU_0202</v>
      </c>
      <c r="B2475" t="str">
        <f t="shared" si="153"/>
        <v>GSOU_Natural Sciences Building</v>
      </c>
      <c r="C2475" t="s">
        <v>449</v>
      </c>
      <c r="D2475" s="180" t="s">
        <v>30</v>
      </c>
      <c r="E2475" t="s">
        <v>5488</v>
      </c>
      <c r="F2475" t="s">
        <v>5489</v>
      </c>
      <c r="G2475" s="180">
        <v>51132</v>
      </c>
      <c r="H2475">
        <v>1968</v>
      </c>
      <c r="J2475" s="1334" t="s">
        <v>475</v>
      </c>
      <c r="K2475" s="1335" t="s">
        <v>475</v>
      </c>
      <c r="L2475" s="180">
        <v>100</v>
      </c>
      <c r="M2475" t="s">
        <v>80</v>
      </c>
      <c r="N2475" t="str">
        <f t="shared" si="154"/>
        <v>Natural Sciences Building (0202)</v>
      </c>
      <c r="O2475" t="s">
        <v>44</v>
      </c>
      <c r="P2475" t="str">
        <f t="shared" si="155"/>
        <v>39000_0202</v>
      </c>
      <c r="Q2475" s="180">
        <v>0</v>
      </c>
    </row>
    <row r="2476" spans="1:17">
      <c r="A2476" t="str">
        <f t="shared" si="152"/>
        <v>GSOU_0203</v>
      </c>
      <c r="B2476" t="str">
        <f t="shared" si="153"/>
        <v>GSOU_Math/Physics Building</v>
      </c>
      <c r="C2476" t="s">
        <v>449</v>
      </c>
      <c r="D2476" s="180" t="s">
        <v>30</v>
      </c>
      <c r="E2476" t="s">
        <v>755</v>
      </c>
      <c r="F2476" t="s">
        <v>5237</v>
      </c>
      <c r="G2476" s="180">
        <v>112864</v>
      </c>
      <c r="H2476">
        <v>1972</v>
      </c>
      <c r="I2476">
        <v>2000</v>
      </c>
      <c r="J2476" s="1334" t="s">
        <v>475</v>
      </c>
      <c r="K2476" s="1335" t="s">
        <v>475</v>
      </c>
      <c r="L2476" s="180">
        <v>100</v>
      </c>
      <c r="M2476" t="s">
        <v>80</v>
      </c>
      <c r="N2476" t="str">
        <f t="shared" si="154"/>
        <v>Math/Physics Building (0203)</v>
      </c>
      <c r="O2476" t="s">
        <v>44</v>
      </c>
      <c r="P2476" t="str">
        <f t="shared" si="155"/>
        <v>39000_0203</v>
      </c>
      <c r="Q2476" s="180">
        <v>0</v>
      </c>
    </row>
    <row r="2477" spans="1:17">
      <c r="A2477" t="str">
        <f t="shared" si="152"/>
        <v>GSOU_0205</v>
      </c>
      <c r="B2477" t="str">
        <f t="shared" si="153"/>
        <v>GSOU_Foy Building</v>
      </c>
      <c r="C2477" t="s">
        <v>449</v>
      </c>
      <c r="D2477" s="180" t="s">
        <v>30</v>
      </c>
      <c r="E2477" t="s">
        <v>908</v>
      </c>
      <c r="F2477" t="s">
        <v>5483</v>
      </c>
      <c r="G2477" s="180">
        <v>73018</v>
      </c>
      <c r="H2477">
        <v>1967</v>
      </c>
      <c r="I2477">
        <v>2007</v>
      </c>
      <c r="J2477" s="1334" t="s">
        <v>475</v>
      </c>
      <c r="K2477" s="1335" t="s">
        <v>475</v>
      </c>
      <c r="L2477" s="180">
        <v>100</v>
      </c>
      <c r="M2477" t="s">
        <v>80</v>
      </c>
      <c r="N2477" t="str">
        <f t="shared" si="154"/>
        <v>Foy Building (0205)</v>
      </c>
      <c r="O2477" t="s">
        <v>44</v>
      </c>
      <c r="P2477" t="str">
        <f t="shared" si="155"/>
        <v>39000_0205</v>
      </c>
      <c r="Q2477" s="180">
        <v>0</v>
      </c>
    </row>
    <row r="2478" spans="1:17">
      <c r="A2478" t="str">
        <f t="shared" si="152"/>
        <v>GSOU_0206</v>
      </c>
      <c r="B2478" t="str">
        <f t="shared" si="153"/>
        <v>GSOU_Carruth Building</v>
      </c>
      <c r="C2478" t="s">
        <v>449</v>
      </c>
      <c r="D2478" s="180" t="s">
        <v>30</v>
      </c>
      <c r="E2478" t="s">
        <v>5136</v>
      </c>
      <c r="F2478" t="s">
        <v>5137</v>
      </c>
      <c r="G2478" s="180">
        <v>38398</v>
      </c>
      <c r="H2478">
        <v>1959</v>
      </c>
      <c r="J2478" s="1334" t="s">
        <v>475</v>
      </c>
      <c r="K2478" s="1335" t="s">
        <v>475</v>
      </c>
      <c r="L2478" s="180">
        <v>100</v>
      </c>
      <c r="M2478" t="s">
        <v>80</v>
      </c>
      <c r="N2478" t="str">
        <f t="shared" si="154"/>
        <v>Carruth Building (0206)</v>
      </c>
      <c r="O2478" t="s">
        <v>44</v>
      </c>
      <c r="P2478" t="str">
        <f t="shared" si="155"/>
        <v>39000_0206</v>
      </c>
      <c r="Q2478" s="180">
        <v>0</v>
      </c>
    </row>
    <row r="2479" spans="1:17">
      <c r="A2479" t="str">
        <f t="shared" si="152"/>
        <v>GSOU_0208</v>
      </c>
      <c r="B2479" t="str">
        <f t="shared" si="153"/>
        <v>GSOU_Henderson Library</v>
      </c>
      <c r="C2479" t="s">
        <v>449</v>
      </c>
      <c r="D2479" s="180" t="s">
        <v>30</v>
      </c>
      <c r="E2479" t="s">
        <v>5279</v>
      </c>
      <c r="F2479" t="s">
        <v>5280</v>
      </c>
      <c r="G2479" s="180">
        <v>245888</v>
      </c>
      <c r="H2479">
        <v>1975</v>
      </c>
      <c r="I2479">
        <v>2007</v>
      </c>
      <c r="J2479" s="1334" t="s">
        <v>475</v>
      </c>
      <c r="K2479" s="1335" t="s">
        <v>475</v>
      </c>
      <c r="L2479" s="180">
        <v>100</v>
      </c>
      <c r="M2479" t="s">
        <v>80</v>
      </c>
      <c r="N2479" t="str">
        <f t="shared" si="154"/>
        <v>Henderson Library (0208)</v>
      </c>
      <c r="O2479" t="s">
        <v>44</v>
      </c>
      <c r="P2479" t="str">
        <f t="shared" si="155"/>
        <v>39000_0208</v>
      </c>
      <c r="Q2479" s="180">
        <v>0</v>
      </c>
    </row>
    <row r="2480" spans="1:17">
      <c r="A2480" t="str">
        <f t="shared" si="152"/>
        <v>GSOU_0209</v>
      </c>
      <c r="B2480" t="str">
        <f t="shared" si="153"/>
        <v>GSOU_Carroll Building</v>
      </c>
      <c r="C2480" t="s">
        <v>449</v>
      </c>
      <c r="D2480" s="180" t="s">
        <v>30</v>
      </c>
      <c r="E2480" t="s">
        <v>869</v>
      </c>
      <c r="F2480" t="s">
        <v>5419</v>
      </c>
      <c r="G2480" s="180">
        <v>78133</v>
      </c>
      <c r="H2480">
        <v>1969</v>
      </c>
      <c r="I2480">
        <v>2000</v>
      </c>
      <c r="J2480" s="1334" t="s">
        <v>475</v>
      </c>
      <c r="K2480" s="1335" t="s">
        <v>475</v>
      </c>
      <c r="L2480" s="180">
        <v>100</v>
      </c>
      <c r="M2480" t="s">
        <v>80</v>
      </c>
      <c r="N2480" t="str">
        <f t="shared" si="154"/>
        <v>Carroll Building (0209)</v>
      </c>
      <c r="O2480" t="s">
        <v>44</v>
      </c>
      <c r="P2480" t="str">
        <f t="shared" si="155"/>
        <v>39000_0209</v>
      </c>
      <c r="Q2480" s="180">
        <v>0</v>
      </c>
    </row>
    <row r="2481" spans="1:17">
      <c r="A2481" t="str">
        <f t="shared" si="152"/>
        <v>GSOU_0210</v>
      </c>
      <c r="B2481" t="str">
        <f t="shared" si="153"/>
        <v>GSOU_Newton Building</v>
      </c>
      <c r="C2481" t="s">
        <v>449</v>
      </c>
      <c r="D2481" s="180" t="s">
        <v>30</v>
      </c>
      <c r="E2481" t="s">
        <v>521</v>
      </c>
      <c r="F2481" t="s">
        <v>5324</v>
      </c>
      <c r="G2481" s="180">
        <v>41806</v>
      </c>
      <c r="H2481">
        <v>1972</v>
      </c>
      <c r="J2481" s="1334" t="s">
        <v>475</v>
      </c>
      <c r="K2481" s="1335" t="s">
        <v>475</v>
      </c>
      <c r="L2481" s="180">
        <v>100</v>
      </c>
      <c r="M2481" t="s">
        <v>80</v>
      </c>
      <c r="N2481" t="str">
        <f t="shared" si="154"/>
        <v>Newton Building (0210)</v>
      </c>
      <c r="O2481" t="s">
        <v>44</v>
      </c>
      <c r="P2481" t="str">
        <f t="shared" si="155"/>
        <v>39000_0210</v>
      </c>
      <c r="Q2481" s="180">
        <v>0</v>
      </c>
    </row>
    <row r="2482" spans="1:17">
      <c r="A2482" t="str">
        <f t="shared" si="152"/>
        <v>GSOU_0213</v>
      </c>
      <c r="B2482" t="str">
        <f t="shared" si="153"/>
        <v>GSOU_Psychology Clinic</v>
      </c>
      <c r="C2482" t="s">
        <v>449</v>
      </c>
      <c r="D2482" s="180" t="s">
        <v>30</v>
      </c>
      <c r="E2482" t="s">
        <v>4891</v>
      </c>
      <c r="F2482" t="s">
        <v>5444</v>
      </c>
      <c r="G2482" s="180">
        <v>3838</v>
      </c>
      <c r="H2482">
        <v>1975</v>
      </c>
      <c r="J2482" s="1334" t="s">
        <v>475</v>
      </c>
      <c r="K2482" s="1335" t="s">
        <v>475</v>
      </c>
      <c r="L2482" s="180">
        <v>100</v>
      </c>
      <c r="M2482" t="s">
        <v>80</v>
      </c>
      <c r="N2482" t="str">
        <f t="shared" si="154"/>
        <v>Psychology Clinic (0213)</v>
      </c>
      <c r="O2482" t="s">
        <v>44</v>
      </c>
      <c r="P2482" t="str">
        <f t="shared" si="155"/>
        <v>39000_0213</v>
      </c>
      <c r="Q2482" s="180">
        <v>0</v>
      </c>
    </row>
    <row r="2483" spans="1:17">
      <c r="A2483" t="str">
        <f t="shared" si="152"/>
        <v>GSOU_0219</v>
      </c>
      <c r="B2483" t="str">
        <f t="shared" si="153"/>
        <v>GSOU_Child Development Center</v>
      </c>
      <c r="C2483" t="s">
        <v>449</v>
      </c>
      <c r="D2483" s="180" t="s">
        <v>30</v>
      </c>
      <c r="E2483" t="s">
        <v>5267</v>
      </c>
      <c r="F2483" t="s">
        <v>5268</v>
      </c>
      <c r="G2483" s="180">
        <v>10470</v>
      </c>
      <c r="H2483">
        <v>1972</v>
      </c>
      <c r="J2483" s="1334" t="s">
        <v>475</v>
      </c>
      <c r="K2483" s="1335" t="s">
        <v>475</v>
      </c>
      <c r="L2483" s="180">
        <v>100</v>
      </c>
      <c r="M2483" t="s">
        <v>80</v>
      </c>
      <c r="N2483" t="str">
        <f t="shared" si="154"/>
        <v>Child Development Center (0219)</v>
      </c>
      <c r="O2483" t="s">
        <v>44</v>
      </c>
      <c r="P2483" t="str">
        <f t="shared" si="155"/>
        <v>39000_0219</v>
      </c>
      <c r="Q2483" s="180">
        <v>0</v>
      </c>
    </row>
    <row r="2484" spans="1:17">
      <c r="A2484" t="str">
        <f t="shared" si="152"/>
        <v>GSOU_0224</v>
      </c>
      <c r="B2484" t="str">
        <f t="shared" si="153"/>
        <v>GSOU_Arts Building</v>
      </c>
      <c r="C2484" t="s">
        <v>449</v>
      </c>
      <c r="D2484" s="180" t="s">
        <v>30</v>
      </c>
      <c r="E2484" t="s">
        <v>5386</v>
      </c>
      <c r="F2484" t="s">
        <v>5387</v>
      </c>
      <c r="G2484" s="180">
        <v>52056</v>
      </c>
      <c r="H2484">
        <v>1937</v>
      </c>
      <c r="I2484">
        <v>2001</v>
      </c>
      <c r="J2484" s="1334" t="s">
        <v>475</v>
      </c>
      <c r="K2484" s="1335" t="s">
        <v>475</v>
      </c>
      <c r="L2484" s="180">
        <v>100</v>
      </c>
      <c r="M2484" t="s">
        <v>80</v>
      </c>
      <c r="N2484" t="str">
        <f t="shared" si="154"/>
        <v>Arts Building (0224)</v>
      </c>
      <c r="O2484" t="s">
        <v>44</v>
      </c>
      <c r="P2484" t="str">
        <f t="shared" si="155"/>
        <v>39000_0224</v>
      </c>
      <c r="Q2484" s="180">
        <v>0</v>
      </c>
    </row>
    <row r="2485" spans="1:17">
      <c r="A2485" t="str">
        <f t="shared" si="152"/>
        <v>GSOU_0229</v>
      </c>
      <c r="B2485" t="str">
        <f t="shared" si="153"/>
        <v>GSOU_Nessmith-Lane Conference Ctr</v>
      </c>
      <c r="C2485" t="s">
        <v>449</v>
      </c>
      <c r="D2485" s="180" t="s">
        <v>30</v>
      </c>
      <c r="E2485" t="s">
        <v>5217</v>
      </c>
      <c r="F2485" t="s">
        <v>5218</v>
      </c>
      <c r="G2485" s="180">
        <v>116874</v>
      </c>
      <c r="H2485">
        <v>1981</v>
      </c>
      <c r="I2485">
        <v>2021</v>
      </c>
      <c r="J2485" s="1334" t="s">
        <v>475</v>
      </c>
      <c r="K2485" s="1335" t="s">
        <v>475</v>
      </c>
      <c r="L2485" s="180">
        <v>100</v>
      </c>
      <c r="M2485" t="s">
        <v>80</v>
      </c>
      <c r="N2485" t="str">
        <f t="shared" si="154"/>
        <v>Nessmith-Lane Conference Ctr (0229)</v>
      </c>
      <c r="O2485" t="s">
        <v>44</v>
      </c>
      <c r="P2485" t="str">
        <f t="shared" si="155"/>
        <v>39000_0229</v>
      </c>
      <c r="Q2485" s="180">
        <v>0</v>
      </c>
    </row>
    <row r="2486" spans="1:17">
      <c r="A2486" t="str">
        <f t="shared" si="152"/>
        <v>GSOU_0230</v>
      </c>
      <c r="B2486" t="str">
        <f t="shared" si="153"/>
        <v>GSOU_Technology IV Building</v>
      </c>
      <c r="C2486" t="s">
        <v>449</v>
      </c>
      <c r="D2486" s="180" t="s">
        <v>30</v>
      </c>
      <c r="E2486" t="s">
        <v>5130</v>
      </c>
      <c r="F2486" t="s">
        <v>5131</v>
      </c>
      <c r="G2486" s="180">
        <v>288</v>
      </c>
      <c r="H2486">
        <v>1987</v>
      </c>
      <c r="J2486" s="1334" t="s">
        <v>475</v>
      </c>
      <c r="K2486" s="1335" t="s">
        <v>475</v>
      </c>
      <c r="L2486" s="180">
        <v>100</v>
      </c>
      <c r="M2486" t="s">
        <v>80</v>
      </c>
      <c r="N2486" t="str">
        <f t="shared" si="154"/>
        <v>Technology IV Building (0230)</v>
      </c>
      <c r="O2486" t="s">
        <v>44</v>
      </c>
      <c r="P2486" t="str">
        <f t="shared" si="155"/>
        <v>39000_0230</v>
      </c>
      <c r="Q2486" s="180">
        <v>0</v>
      </c>
    </row>
    <row r="2487" spans="1:17">
      <c r="A2487" t="str">
        <f t="shared" si="152"/>
        <v>GSOU_0231</v>
      </c>
      <c r="B2487" t="str">
        <f t="shared" si="153"/>
        <v>GSOU_College of Business Bldg</v>
      </c>
      <c r="C2487" t="s">
        <v>449</v>
      </c>
      <c r="D2487" s="180" t="s">
        <v>30</v>
      </c>
      <c r="E2487" t="s">
        <v>5138</v>
      </c>
      <c r="F2487" t="s">
        <v>5139</v>
      </c>
      <c r="G2487" s="180">
        <v>88856</v>
      </c>
      <c r="H2487">
        <v>1995</v>
      </c>
      <c r="J2487" s="1334" t="s">
        <v>520</v>
      </c>
      <c r="K2487" s="1335" t="s">
        <v>475</v>
      </c>
      <c r="L2487" s="180">
        <v>100</v>
      </c>
      <c r="M2487" t="s">
        <v>80</v>
      </c>
      <c r="N2487" t="str">
        <f t="shared" si="154"/>
        <v>College of Business Bldg (0231)</v>
      </c>
      <c r="O2487" t="s">
        <v>44</v>
      </c>
      <c r="P2487" t="str">
        <f t="shared" si="155"/>
        <v>39000_0231</v>
      </c>
      <c r="Q2487" s="180">
        <v>0</v>
      </c>
    </row>
    <row r="2488" spans="1:17">
      <c r="A2488" t="str">
        <f t="shared" si="152"/>
        <v>GSOU_0232</v>
      </c>
      <c r="B2488" t="str">
        <f t="shared" si="153"/>
        <v>GSOU_Engineering Building</v>
      </c>
      <c r="C2488" t="s">
        <v>449</v>
      </c>
      <c r="D2488" s="180" t="s">
        <v>30</v>
      </c>
      <c r="E2488" t="s">
        <v>5531</v>
      </c>
      <c r="F2488" t="s">
        <v>5532</v>
      </c>
      <c r="G2488" s="180">
        <v>80868</v>
      </c>
      <c r="H2488">
        <v>1995</v>
      </c>
      <c r="J2488" s="1334" t="s">
        <v>520</v>
      </c>
      <c r="K2488" s="1335" t="s">
        <v>475</v>
      </c>
      <c r="L2488" s="180">
        <v>100</v>
      </c>
      <c r="M2488" t="s">
        <v>80</v>
      </c>
      <c r="N2488" t="str">
        <f t="shared" si="154"/>
        <v>Engineering Building (0232)</v>
      </c>
      <c r="O2488" t="s">
        <v>44</v>
      </c>
      <c r="P2488" t="str">
        <f t="shared" si="155"/>
        <v>39000_0232</v>
      </c>
      <c r="Q2488" s="180">
        <v>0</v>
      </c>
    </row>
    <row r="2489" spans="1:17">
      <c r="A2489" t="str">
        <f t="shared" si="152"/>
        <v>GSOU_0233</v>
      </c>
      <c r="B2489" t="str">
        <f t="shared" si="153"/>
        <v>GSOU_Center for Art &amp; Theatre</v>
      </c>
      <c r="C2489" t="s">
        <v>449</v>
      </c>
      <c r="D2489" s="180" t="s">
        <v>30</v>
      </c>
      <c r="E2489" t="s">
        <v>5502</v>
      </c>
      <c r="F2489" t="s">
        <v>5503</v>
      </c>
      <c r="G2489" s="180">
        <v>29000</v>
      </c>
      <c r="H2489">
        <v>2007</v>
      </c>
      <c r="J2489" s="1334" t="s">
        <v>475</v>
      </c>
      <c r="K2489" s="1335" t="s">
        <v>475</v>
      </c>
      <c r="L2489" s="180">
        <v>100</v>
      </c>
      <c r="M2489" t="s">
        <v>80</v>
      </c>
      <c r="N2489" t="str">
        <f t="shared" si="154"/>
        <v>Center for Art &amp; Theatre (0233)</v>
      </c>
      <c r="O2489" t="s">
        <v>44</v>
      </c>
      <c r="P2489" t="str">
        <f t="shared" si="155"/>
        <v>39000_0233</v>
      </c>
      <c r="Q2489" s="180">
        <v>13</v>
      </c>
    </row>
    <row r="2490" spans="1:17">
      <c r="A2490" t="str">
        <f t="shared" si="152"/>
        <v>GSOU_0234</v>
      </c>
      <c r="B2490" t="str">
        <f t="shared" si="153"/>
        <v>GSOU_Biology Headhouse</v>
      </c>
      <c r="C2490" t="s">
        <v>449</v>
      </c>
      <c r="D2490" s="180" t="s">
        <v>30</v>
      </c>
      <c r="E2490" t="s">
        <v>5306</v>
      </c>
      <c r="F2490" t="s">
        <v>5307</v>
      </c>
      <c r="G2490" s="180">
        <v>480</v>
      </c>
      <c r="H2490">
        <v>1994</v>
      </c>
      <c r="J2490" s="1334" t="s">
        <v>475</v>
      </c>
      <c r="K2490" s="1335" t="s">
        <v>475</v>
      </c>
      <c r="L2490" s="180">
        <v>100</v>
      </c>
      <c r="M2490" t="s">
        <v>80</v>
      </c>
      <c r="N2490" t="str">
        <f t="shared" si="154"/>
        <v>Biology Headhouse (0234)</v>
      </c>
      <c r="O2490" t="s">
        <v>44</v>
      </c>
      <c r="P2490" t="str">
        <f t="shared" si="155"/>
        <v>39000_0234</v>
      </c>
      <c r="Q2490" s="180">
        <v>0</v>
      </c>
    </row>
    <row r="2491" spans="1:17">
      <c r="A2491" t="str">
        <f t="shared" si="152"/>
        <v>GSOU_0236</v>
      </c>
      <c r="B2491" t="str">
        <f t="shared" si="153"/>
        <v>GSOU_Ceramics/Sculpture Studio</v>
      </c>
      <c r="C2491" t="s">
        <v>449</v>
      </c>
      <c r="D2491" s="180" t="s">
        <v>30</v>
      </c>
      <c r="E2491" t="s">
        <v>5533</v>
      </c>
      <c r="F2491" t="s">
        <v>5534</v>
      </c>
      <c r="G2491" s="180">
        <v>22686</v>
      </c>
      <c r="H2491">
        <v>2000</v>
      </c>
      <c r="J2491" s="1334" t="s">
        <v>475</v>
      </c>
      <c r="K2491" s="1335" t="s">
        <v>475</v>
      </c>
      <c r="L2491" s="180">
        <v>100</v>
      </c>
      <c r="M2491" t="s">
        <v>80</v>
      </c>
      <c r="N2491" t="str">
        <f t="shared" si="154"/>
        <v>Ceramics/Sculpture Studio (0236)</v>
      </c>
      <c r="O2491" t="s">
        <v>44</v>
      </c>
      <c r="P2491" t="str">
        <f t="shared" si="155"/>
        <v>39000_0236</v>
      </c>
      <c r="Q2491" s="180">
        <v>0</v>
      </c>
    </row>
    <row r="2492" spans="1:17">
      <c r="A2492" t="str">
        <f t="shared" si="152"/>
        <v>GSOU_0237</v>
      </c>
      <c r="B2492" t="str">
        <f t="shared" si="153"/>
        <v>GSOU_Education Building</v>
      </c>
      <c r="C2492" t="s">
        <v>449</v>
      </c>
      <c r="D2492" s="180" t="s">
        <v>30</v>
      </c>
      <c r="E2492" t="s">
        <v>5396</v>
      </c>
      <c r="F2492" t="s">
        <v>5397</v>
      </c>
      <c r="G2492" s="180">
        <v>131185</v>
      </c>
      <c r="H2492">
        <v>2000</v>
      </c>
      <c r="J2492" s="1334" t="s">
        <v>520</v>
      </c>
      <c r="K2492" s="1335" t="s">
        <v>475</v>
      </c>
      <c r="L2492" s="180">
        <v>100</v>
      </c>
      <c r="M2492" t="s">
        <v>80</v>
      </c>
      <c r="N2492" t="str">
        <f t="shared" si="154"/>
        <v>Education Building (0237)</v>
      </c>
      <c r="O2492" t="s">
        <v>44</v>
      </c>
      <c r="P2492" t="str">
        <f t="shared" si="155"/>
        <v>39000_0237</v>
      </c>
      <c r="Q2492" s="180">
        <v>0</v>
      </c>
    </row>
    <row r="2493" spans="1:17">
      <c r="A2493" t="str">
        <f t="shared" si="152"/>
        <v>GSOU_0238</v>
      </c>
      <c r="B2493" t="str">
        <f t="shared" si="153"/>
        <v>GSOU_Forest Drive Classroom Bldg</v>
      </c>
      <c r="C2493" t="s">
        <v>449</v>
      </c>
      <c r="D2493" s="180" t="s">
        <v>30</v>
      </c>
      <c r="E2493" t="s">
        <v>5188</v>
      </c>
      <c r="F2493" t="s">
        <v>5189</v>
      </c>
      <c r="G2493" s="180">
        <v>45312</v>
      </c>
      <c r="H2493">
        <v>1993</v>
      </c>
      <c r="J2493" s="1334" t="s">
        <v>475</v>
      </c>
      <c r="K2493" s="1335" t="s">
        <v>475</v>
      </c>
      <c r="L2493" s="180">
        <v>100</v>
      </c>
      <c r="M2493" t="s">
        <v>80</v>
      </c>
      <c r="N2493" t="str">
        <f t="shared" si="154"/>
        <v>Forest Drive Classroom Bldg (0238)</v>
      </c>
      <c r="O2493" t="s">
        <v>44</v>
      </c>
      <c r="P2493" t="str">
        <f t="shared" si="155"/>
        <v>39000_0238</v>
      </c>
      <c r="Q2493" s="180">
        <v>0</v>
      </c>
    </row>
    <row r="2494" spans="1:17">
      <c r="A2494" t="str">
        <f t="shared" si="152"/>
        <v>GSOU_0239</v>
      </c>
      <c r="B2494" t="str">
        <f t="shared" si="153"/>
        <v>GSOU_Human Resources</v>
      </c>
      <c r="C2494" t="s">
        <v>449</v>
      </c>
      <c r="D2494" s="180" t="s">
        <v>30</v>
      </c>
      <c r="E2494" t="s">
        <v>5126</v>
      </c>
      <c r="F2494" t="s">
        <v>616</v>
      </c>
      <c r="G2494" s="180">
        <v>16540</v>
      </c>
      <c r="H2494">
        <v>1994</v>
      </c>
      <c r="I2494">
        <v>2020</v>
      </c>
      <c r="J2494" s="1334" t="s">
        <v>475</v>
      </c>
      <c r="K2494" s="1335" t="s">
        <v>475</v>
      </c>
      <c r="L2494" s="180">
        <v>100</v>
      </c>
      <c r="M2494" t="s">
        <v>80</v>
      </c>
      <c r="N2494" t="str">
        <f t="shared" si="154"/>
        <v>Human Resources (0239)</v>
      </c>
      <c r="O2494" t="s">
        <v>44</v>
      </c>
      <c r="P2494" t="str">
        <f t="shared" si="155"/>
        <v>39000_0239</v>
      </c>
      <c r="Q2494" s="180">
        <v>0</v>
      </c>
    </row>
    <row r="2495" spans="1:17">
      <c r="A2495" t="str">
        <f t="shared" si="152"/>
        <v>GSOU_0240</v>
      </c>
      <c r="B2495" t="str">
        <f t="shared" si="153"/>
        <v>GSOU_Ctr for Wildlife Education</v>
      </c>
      <c r="C2495" t="s">
        <v>449</v>
      </c>
      <c r="D2495" s="180" t="s">
        <v>30</v>
      </c>
      <c r="E2495" t="s">
        <v>4860</v>
      </c>
      <c r="F2495" t="s">
        <v>5339</v>
      </c>
      <c r="G2495" s="180">
        <v>4682</v>
      </c>
      <c r="H2495">
        <v>1996</v>
      </c>
      <c r="J2495" s="1334" t="s">
        <v>475</v>
      </c>
      <c r="K2495" s="1335" t="s">
        <v>475</v>
      </c>
      <c r="L2495" s="180">
        <v>100</v>
      </c>
      <c r="M2495" t="s">
        <v>80</v>
      </c>
      <c r="N2495" t="str">
        <f t="shared" si="154"/>
        <v>Ctr for Wildlife Education (0240)</v>
      </c>
      <c r="O2495" t="s">
        <v>44</v>
      </c>
      <c r="P2495" t="str">
        <f t="shared" si="155"/>
        <v>39000_0240</v>
      </c>
      <c r="Q2495" s="180">
        <v>0</v>
      </c>
    </row>
    <row r="2496" spans="1:17">
      <c r="A2496" t="str">
        <f t="shared" si="152"/>
        <v>GSOU_0241</v>
      </c>
      <c r="B2496" t="str">
        <f t="shared" si="153"/>
        <v>GSOU_Raptor Care Facility</v>
      </c>
      <c r="C2496" t="s">
        <v>449</v>
      </c>
      <c r="D2496" s="180" t="s">
        <v>30</v>
      </c>
      <c r="E2496" t="s">
        <v>5251</v>
      </c>
      <c r="F2496" t="s">
        <v>5252</v>
      </c>
      <c r="G2496" s="180">
        <v>2261</v>
      </c>
      <c r="H2496">
        <v>1997</v>
      </c>
      <c r="J2496" s="1334" t="s">
        <v>475</v>
      </c>
      <c r="K2496" s="1335" t="s">
        <v>475</v>
      </c>
      <c r="L2496" s="180">
        <v>100</v>
      </c>
      <c r="M2496" t="s">
        <v>80</v>
      </c>
      <c r="N2496" t="str">
        <f t="shared" si="154"/>
        <v>Raptor Care Facility (0241)</v>
      </c>
      <c r="O2496" t="s">
        <v>44</v>
      </c>
      <c r="P2496" t="str">
        <f t="shared" si="155"/>
        <v>39000_0241</v>
      </c>
      <c r="Q2496" s="180">
        <v>0</v>
      </c>
    </row>
    <row r="2497" spans="1:17">
      <c r="A2497" t="str">
        <f t="shared" si="152"/>
        <v>GSOU_0242</v>
      </c>
      <c r="B2497" t="str">
        <f t="shared" si="153"/>
        <v>GSOU_Owl Barn</v>
      </c>
      <c r="C2497" t="s">
        <v>449</v>
      </c>
      <c r="D2497" s="180" t="s">
        <v>30</v>
      </c>
      <c r="E2497" t="s">
        <v>5413</v>
      </c>
      <c r="F2497" t="s">
        <v>5414</v>
      </c>
      <c r="G2497" s="180">
        <v>144</v>
      </c>
      <c r="H2497">
        <v>1997</v>
      </c>
      <c r="J2497" s="1334" t="s">
        <v>475</v>
      </c>
      <c r="K2497" s="1335" t="s">
        <v>475</v>
      </c>
      <c r="L2497" s="180">
        <v>100</v>
      </c>
      <c r="M2497" t="s">
        <v>80</v>
      </c>
      <c r="N2497" t="str">
        <f t="shared" si="154"/>
        <v>Owl Barn (0242)</v>
      </c>
      <c r="O2497" t="s">
        <v>44</v>
      </c>
      <c r="P2497" t="str">
        <f t="shared" si="155"/>
        <v>39000_0242</v>
      </c>
      <c r="Q2497" s="180">
        <v>0</v>
      </c>
    </row>
    <row r="2498" spans="1:17">
      <c r="A2498" t="str">
        <f t="shared" si="152"/>
        <v>GSOU_0243</v>
      </c>
      <c r="B2498" t="str">
        <f t="shared" si="153"/>
        <v>GSOU_Wildlife Display</v>
      </c>
      <c r="C2498" t="s">
        <v>449</v>
      </c>
      <c r="D2498" s="180" t="s">
        <v>30</v>
      </c>
      <c r="E2498" t="s">
        <v>5490</v>
      </c>
      <c r="F2498" t="s">
        <v>5491</v>
      </c>
      <c r="G2498" s="180">
        <v>221</v>
      </c>
      <c r="H2498">
        <v>1996</v>
      </c>
      <c r="J2498" s="1334" t="s">
        <v>475</v>
      </c>
      <c r="K2498" s="1335" t="s">
        <v>475</v>
      </c>
      <c r="L2498" s="180">
        <v>100</v>
      </c>
      <c r="M2498" t="s">
        <v>80</v>
      </c>
      <c r="N2498" t="str">
        <f t="shared" si="154"/>
        <v>Wildlife Display (0243)</v>
      </c>
      <c r="O2498" t="s">
        <v>44</v>
      </c>
      <c r="P2498" t="str">
        <f t="shared" si="155"/>
        <v>39000_0243</v>
      </c>
      <c r="Q2498" s="180">
        <v>0</v>
      </c>
    </row>
    <row r="2499" spans="1:17">
      <c r="A2499" t="str">
        <f t="shared" ref="A2499:A2562" si="156">_xlfn.CONCAT(D2499,"_",E2499)</f>
        <v>GSOU_0244</v>
      </c>
      <c r="B2499" t="str">
        <f t="shared" ref="B2499:B2562" si="157">_xlfn.CONCAT(D2499,"_",F2499)</f>
        <v>GSOU_Wildlife Center Pavilion</v>
      </c>
      <c r="C2499" t="s">
        <v>449</v>
      </c>
      <c r="D2499" s="180" t="s">
        <v>30</v>
      </c>
      <c r="E2499" t="s">
        <v>5308</v>
      </c>
      <c r="F2499" t="s">
        <v>5309</v>
      </c>
      <c r="G2499" s="180">
        <v>2547</v>
      </c>
      <c r="H2499">
        <v>1999</v>
      </c>
      <c r="J2499" s="1334" t="s">
        <v>475</v>
      </c>
      <c r="K2499" s="1335" t="s">
        <v>475</v>
      </c>
      <c r="L2499" s="180">
        <v>100</v>
      </c>
      <c r="M2499" t="s">
        <v>80</v>
      </c>
      <c r="N2499" t="str">
        <f t="shared" ref="N2499:N2562" si="158">_xlfn.CONCAT(F2499," (",E2499,")")</f>
        <v>Wildlife Center Pavilion (0244)</v>
      </c>
      <c r="O2499" t="s">
        <v>44</v>
      </c>
      <c r="P2499" t="str">
        <f t="shared" ref="P2499:P2562" si="159">_xlfn.CONCAT(C2499,"_",E2499)</f>
        <v>39000_0244</v>
      </c>
      <c r="Q2499" s="180">
        <v>0</v>
      </c>
    </row>
    <row r="2500" spans="1:17">
      <c r="A2500" t="str">
        <f t="shared" si="156"/>
        <v>GSOU_0247</v>
      </c>
      <c r="B2500" t="str">
        <f t="shared" si="157"/>
        <v>GSOU_Freedom's Pavilion</v>
      </c>
      <c r="C2500" t="s">
        <v>449</v>
      </c>
      <c r="D2500" s="180" t="s">
        <v>30</v>
      </c>
      <c r="E2500" t="s">
        <v>5291</v>
      </c>
      <c r="F2500" t="s">
        <v>5292</v>
      </c>
      <c r="G2500" s="180">
        <v>196</v>
      </c>
      <c r="H2500">
        <v>2012</v>
      </c>
      <c r="J2500" s="1334" t="s">
        <v>475</v>
      </c>
      <c r="K2500" s="1335" t="s">
        <v>475</v>
      </c>
      <c r="L2500" s="180">
        <v>100</v>
      </c>
      <c r="M2500" t="s">
        <v>80</v>
      </c>
      <c r="N2500" t="str">
        <f t="shared" si="158"/>
        <v>Freedom's Pavilion (0247)</v>
      </c>
      <c r="O2500" t="s">
        <v>44</v>
      </c>
      <c r="P2500" t="str">
        <f t="shared" si="159"/>
        <v>39000_0247</v>
      </c>
      <c r="Q2500" s="180">
        <v>0</v>
      </c>
    </row>
    <row r="2501" spans="1:17">
      <c r="A2501" t="str">
        <f t="shared" si="156"/>
        <v>GSOU_0248</v>
      </c>
      <c r="B2501" t="str">
        <f t="shared" si="157"/>
        <v>GSOU_Bird Barn</v>
      </c>
      <c r="C2501" t="s">
        <v>449</v>
      </c>
      <c r="D2501" s="180" t="s">
        <v>30</v>
      </c>
      <c r="E2501" t="s">
        <v>5243</v>
      </c>
      <c r="F2501" t="s">
        <v>5244</v>
      </c>
      <c r="G2501" s="180">
        <v>2300</v>
      </c>
      <c r="H2501">
        <v>2004</v>
      </c>
      <c r="I2501">
        <v>2008</v>
      </c>
      <c r="J2501" s="1334" t="s">
        <v>475</v>
      </c>
      <c r="K2501" s="1335" t="s">
        <v>475</v>
      </c>
      <c r="L2501" s="180">
        <v>100</v>
      </c>
      <c r="M2501" t="s">
        <v>80</v>
      </c>
      <c r="N2501" t="str">
        <f t="shared" si="158"/>
        <v>Bird Barn (0248)</v>
      </c>
      <c r="O2501" t="s">
        <v>44</v>
      </c>
      <c r="P2501" t="str">
        <f t="shared" si="159"/>
        <v>39000_0248</v>
      </c>
      <c r="Q2501" s="180">
        <v>0</v>
      </c>
    </row>
    <row r="2502" spans="1:17">
      <c r="A2502" t="str">
        <f t="shared" si="156"/>
        <v>GSOU_0250</v>
      </c>
      <c r="B2502" t="str">
        <f t="shared" si="157"/>
        <v>GSOU_Nursing/Chemistry Bldg</v>
      </c>
      <c r="C2502" t="s">
        <v>449</v>
      </c>
      <c r="D2502" s="180" t="s">
        <v>30</v>
      </c>
      <c r="E2502" t="s">
        <v>2733</v>
      </c>
      <c r="F2502" t="s">
        <v>5445</v>
      </c>
      <c r="G2502" s="180">
        <v>123649</v>
      </c>
      <c r="H2502">
        <v>2001</v>
      </c>
      <c r="J2502" s="1334" t="s">
        <v>520</v>
      </c>
      <c r="K2502" s="1335" t="s">
        <v>475</v>
      </c>
      <c r="L2502" s="180">
        <v>100</v>
      </c>
      <c r="M2502" t="s">
        <v>80</v>
      </c>
      <c r="N2502" t="str">
        <f t="shared" si="158"/>
        <v>Nursing/Chemistry Bldg (0250)</v>
      </c>
      <c r="O2502" t="s">
        <v>44</v>
      </c>
      <c r="P2502" t="str">
        <f t="shared" si="159"/>
        <v>39000_0250</v>
      </c>
      <c r="Q2502" s="180">
        <v>0</v>
      </c>
    </row>
    <row r="2503" spans="1:17">
      <c r="A2503" t="str">
        <f t="shared" si="156"/>
        <v>GSOU_0251</v>
      </c>
      <c r="B2503" t="str">
        <f t="shared" si="157"/>
        <v>GSOU_Mechanical Bldg for 0250</v>
      </c>
      <c r="C2503" t="s">
        <v>449</v>
      </c>
      <c r="D2503" s="180" t="s">
        <v>30</v>
      </c>
      <c r="E2503" t="s">
        <v>5304</v>
      </c>
      <c r="F2503" t="s">
        <v>5305</v>
      </c>
      <c r="G2503" s="180">
        <v>2752</v>
      </c>
      <c r="H2503">
        <v>2002</v>
      </c>
      <c r="J2503" s="1334" t="s">
        <v>520</v>
      </c>
      <c r="K2503" s="1335" t="s">
        <v>475</v>
      </c>
      <c r="L2503" s="180">
        <v>100</v>
      </c>
      <c r="M2503" t="s">
        <v>80</v>
      </c>
      <c r="N2503" t="str">
        <f t="shared" si="158"/>
        <v>Mechanical Bldg for 0250 (0251)</v>
      </c>
      <c r="O2503" t="s">
        <v>44</v>
      </c>
      <c r="P2503" t="str">
        <f t="shared" si="159"/>
        <v>39000_0251</v>
      </c>
      <c r="Q2503" s="180">
        <v>0</v>
      </c>
    </row>
    <row r="2504" spans="1:17">
      <c r="A2504" t="str">
        <f t="shared" si="156"/>
        <v>GSOU_0252</v>
      </c>
      <c r="B2504" t="str">
        <f t="shared" si="157"/>
        <v>GSOU_Veazey Hall</v>
      </c>
      <c r="C2504" t="s">
        <v>449</v>
      </c>
      <c r="D2504" s="180" t="s">
        <v>30</v>
      </c>
      <c r="E2504" t="s">
        <v>5409</v>
      </c>
      <c r="F2504" t="s">
        <v>5410</v>
      </c>
      <c r="G2504" s="180">
        <v>32494</v>
      </c>
      <c r="H2504">
        <v>1959</v>
      </c>
      <c r="I2504">
        <v>2007</v>
      </c>
      <c r="J2504" s="1334" t="s">
        <v>475</v>
      </c>
      <c r="K2504" s="1335" t="s">
        <v>475</v>
      </c>
      <c r="L2504" s="180">
        <v>100</v>
      </c>
      <c r="M2504" t="s">
        <v>80</v>
      </c>
      <c r="N2504" t="str">
        <f t="shared" si="158"/>
        <v>Veazey Hall (0252)</v>
      </c>
      <c r="O2504" t="s">
        <v>44</v>
      </c>
      <c r="P2504" t="str">
        <f t="shared" si="159"/>
        <v>39000_0252</v>
      </c>
      <c r="Q2504" s="180">
        <v>0</v>
      </c>
    </row>
    <row r="2505" spans="1:17">
      <c r="A2505" t="str">
        <f t="shared" si="156"/>
        <v>GSOU_0253</v>
      </c>
      <c r="B2505" t="str">
        <f t="shared" si="157"/>
        <v>GSOU_Cone Hall</v>
      </c>
      <c r="C2505" t="s">
        <v>449</v>
      </c>
      <c r="D2505" s="180" t="s">
        <v>30</v>
      </c>
      <c r="E2505" t="s">
        <v>5299</v>
      </c>
      <c r="F2505" t="s">
        <v>5300</v>
      </c>
      <c r="G2505" s="180">
        <v>43165</v>
      </c>
      <c r="H2505">
        <v>1954</v>
      </c>
      <c r="I2505">
        <v>2007</v>
      </c>
      <c r="J2505" s="1334" t="s">
        <v>475</v>
      </c>
      <c r="K2505" s="1335" t="s">
        <v>475</v>
      </c>
      <c r="L2505" s="180">
        <v>100</v>
      </c>
      <c r="M2505" t="s">
        <v>80</v>
      </c>
      <c r="N2505" t="str">
        <f t="shared" si="158"/>
        <v>Cone Hall (0253)</v>
      </c>
      <c r="O2505" t="s">
        <v>44</v>
      </c>
      <c r="P2505" t="str">
        <f t="shared" si="159"/>
        <v>39000_0253</v>
      </c>
      <c r="Q2505" s="180">
        <v>0</v>
      </c>
    </row>
    <row r="2506" spans="1:17">
      <c r="A2506" t="str">
        <f t="shared" si="156"/>
        <v>GSOU_0254</v>
      </c>
      <c r="B2506" t="str">
        <f t="shared" si="157"/>
        <v>GSOU_District Chiller Plant #1</v>
      </c>
      <c r="C2506" t="s">
        <v>449</v>
      </c>
      <c r="D2506" s="180" t="s">
        <v>30</v>
      </c>
      <c r="E2506" t="s">
        <v>5474</v>
      </c>
      <c r="F2506" t="s">
        <v>7096</v>
      </c>
      <c r="G2506" s="180">
        <v>4038</v>
      </c>
      <c r="H2506">
        <v>2002</v>
      </c>
      <c r="I2506">
        <v>2017</v>
      </c>
      <c r="J2506" s="1334" t="s">
        <v>520</v>
      </c>
      <c r="K2506" s="1335" t="s">
        <v>475</v>
      </c>
      <c r="L2506" s="180">
        <v>100</v>
      </c>
      <c r="M2506" t="s">
        <v>80</v>
      </c>
      <c r="N2506" t="str">
        <f t="shared" si="158"/>
        <v>District Chiller Plant #1 (0254)</v>
      </c>
      <c r="O2506" t="s">
        <v>44</v>
      </c>
      <c r="P2506" t="str">
        <f t="shared" si="159"/>
        <v>39000_0254</v>
      </c>
      <c r="Q2506" s="180">
        <v>0</v>
      </c>
    </row>
    <row r="2507" spans="1:17">
      <c r="A2507" t="str">
        <f t="shared" si="156"/>
        <v>GSOU_0255</v>
      </c>
      <c r="B2507" t="str">
        <f t="shared" si="157"/>
        <v>GSOU_Info Technology Bldg</v>
      </c>
      <c r="C2507" t="s">
        <v>449</v>
      </c>
      <c r="D2507" s="180" t="s">
        <v>30</v>
      </c>
      <c r="E2507" t="s">
        <v>5481</v>
      </c>
      <c r="F2507" t="s">
        <v>5482</v>
      </c>
      <c r="G2507" s="180">
        <v>138988</v>
      </c>
      <c r="H2507">
        <v>2002</v>
      </c>
      <c r="J2507" s="1334" t="s">
        <v>520</v>
      </c>
      <c r="K2507" s="1335" t="s">
        <v>475</v>
      </c>
      <c r="L2507" s="180">
        <v>100</v>
      </c>
      <c r="M2507" t="s">
        <v>80</v>
      </c>
      <c r="N2507" t="str">
        <f t="shared" si="158"/>
        <v>Info Technology Bldg (0255)</v>
      </c>
      <c r="O2507" t="s">
        <v>44</v>
      </c>
      <c r="P2507" t="str">
        <f t="shared" si="159"/>
        <v>39000_0255</v>
      </c>
      <c r="Q2507" s="180">
        <v>0</v>
      </c>
    </row>
    <row r="2508" spans="1:17">
      <c r="A2508" t="str">
        <f t="shared" si="156"/>
        <v>GSOU_0256</v>
      </c>
      <c r="B2508" t="str">
        <f t="shared" si="157"/>
        <v>GSOU_Scene Shop</v>
      </c>
      <c r="C2508" t="s">
        <v>449</v>
      </c>
      <c r="D2508" s="180" t="s">
        <v>30</v>
      </c>
      <c r="E2508" t="s">
        <v>5140</v>
      </c>
      <c r="F2508" t="s">
        <v>4935</v>
      </c>
      <c r="G2508" s="180">
        <v>3815</v>
      </c>
      <c r="H2508">
        <v>2006</v>
      </c>
      <c r="I2508">
        <v>2006</v>
      </c>
      <c r="J2508" s="1334" t="s">
        <v>475</v>
      </c>
      <c r="K2508" s="1335" t="s">
        <v>475</v>
      </c>
      <c r="L2508" s="180">
        <v>100</v>
      </c>
      <c r="M2508" t="s">
        <v>80</v>
      </c>
      <c r="N2508" t="str">
        <f t="shared" si="158"/>
        <v>Scene Shop (0256)</v>
      </c>
      <c r="O2508" t="s">
        <v>44</v>
      </c>
      <c r="P2508" t="str">
        <f t="shared" si="159"/>
        <v>39000_0256</v>
      </c>
      <c r="Q2508" s="180">
        <v>0</v>
      </c>
    </row>
    <row r="2509" spans="1:17">
      <c r="A2509" t="str">
        <f t="shared" si="156"/>
        <v>GSOU_0257</v>
      </c>
      <c r="B2509" t="str">
        <f t="shared" si="157"/>
        <v>GSOU_Wildlife Outdoor Classroom</v>
      </c>
      <c r="C2509" t="s">
        <v>449</v>
      </c>
      <c r="D2509" s="180" t="s">
        <v>30</v>
      </c>
      <c r="E2509" t="s">
        <v>5343</v>
      </c>
      <c r="F2509" t="s">
        <v>5344</v>
      </c>
      <c r="G2509" s="180">
        <v>408</v>
      </c>
      <c r="H2509">
        <v>2008</v>
      </c>
      <c r="J2509" s="1334" t="s">
        <v>475</v>
      </c>
      <c r="K2509" s="1335" t="s">
        <v>475</v>
      </c>
      <c r="L2509" s="180">
        <v>100</v>
      </c>
      <c r="M2509" t="s">
        <v>80</v>
      </c>
      <c r="N2509" t="str">
        <f t="shared" si="158"/>
        <v>Wildlife Outdoor Classroom (0257)</v>
      </c>
      <c r="O2509" t="s">
        <v>44</v>
      </c>
      <c r="P2509" t="str">
        <f t="shared" si="159"/>
        <v>39000_0257</v>
      </c>
      <c r="Q2509" s="180">
        <v>0</v>
      </c>
    </row>
    <row r="2510" spans="1:17">
      <c r="A2510" t="str">
        <f t="shared" si="156"/>
        <v>GSOU_0258</v>
      </c>
      <c r="B2510" t="str">
        <f t="shared" si="157"/>
        <v>GSOU_Biological Sciences Bldg</v>
      </c>
      <c r="C2510" t="s">
        <v>449</v>
      </c>
      <c r="D2510" s="180" t="s">
        <v>30</v>
      </c>
      <c r="E2510" t="s">
        <v>5311</v>
      </c>
      <c r="F2510" t="s">
        <v>5312</v>
      </c>
      <c r="G2510" s="180">
        <v>135275</v>
      </c>
      <c r="H2510">
        <v>2011</v>
      </c>
      <c r="J2510" s="1334" t="s">
        <v>520</v>
      </c>
      <c r="K2510" s="1335" t="s">
        <v>475</v>
      </c>
      <c r="L2510" s="180">
        <v>100</v>
      </c>
      <c r="M2510" t="s">
        <v>80</v>
      </c>
      <c r="N2510" t="str">
        <f t="shared" si="158"/>
        <v>Biological Sciences Bldg (0258)</v>
      </c>
      <c r="O2510" t="s">
        <v>44</v>
      </c>
      <c r="P2510" t="str">
        <f t="shared" si="159"/>
        <v>39000_0258</v>
      </c>
      <c r="Q2510" s="180">
        <v>0</v>
      </c>
    </row>
    <row r="2511" spans="1:17">
      <c r="A2511" t="str">
        <f t="shared" si="156"/>
        <v>GSOU_0259</v>
      </c>
      <c r="B2511" t="str">
        <f t="shared" si="157"/>
        <v>GSOU_District Chiller Plant #2</v>
      </c>
      <c r="C2511" t="s">
        <v>449</v>
      </c>
      <c r="D2511" s="180" t="s">
        <v>30</v>
      </c>
      <c r="E2511" t="s">
        <v>5248</v>
      </c>
      <c r="F2511" t="s">
        <v>7097</v>
      </c>
      <c r="G2511" s="180">
        <v>5140</v>
      </c>
      <c r="H2511">
        <v>2011</v>
      </c>
      <c r="J2511" s="1334" t="s">
        <v>520</v>
      </c>
      <c r="K2511" s="1335" t="s">
        <v>475</v>
      </c>
      <c r="L2511" s="180">
        <v>100</v>
      </c>
      <c r="M2511" t="s">
        <v>80</v>
      </c>
      <c r="N2511" t="str">
        <f t="shared" si="158"/>
        <v>District Chiller Plant #2 (0259)</v>
      </c>
      <c r="O2511" t="s">
        <v>44</v>
      </c>
      <c r="P2511" t="str">
        <f t="shared" si="159"/>
        <v>39000_0259</v>
      </c>
      <c r="Q2511" s="180">
        <v>0</v>
      </c>
    </row>
    <row r="2512" spans="1:17">
      <c r="A2512" t="str">
        <f t="shared" si="156"/>
        <v>GSOU_0260</v>
      </c>
      <c r="B2512" t="str">
        <f t="shared" si="157"/>
        <v>GSOU_Biological Sciences Field Hous</v>
      </c>
      <c r="C2512" t="s">
        <v>449</v>
      </c>
      <c r="D2512" s="180" t="s">
        <v>30</v>
      </c>
      <c r="E2512" t="s">
        <v>5332</v>
      </c>
      <c r="F2512" t="s">
        <v>5333</v>
      </c>
      <c r="G2512" s="180">
        <v>14940</v>
      </c>
      <c r="H2512">
        <v>2011</v>
      </c>
      <c r="J2512" s="1334" t="s">
        <v>520</v>
      </c>
      <c r="K2512" s="1335" t="s">
        <v>475</v>
      </c>
      <c r="L2512" s="180">
        <v>100</v>
      </c>
      <c r="M2512" t="s">
        <v>80</v>
      </c>
      <c r="N2512" t="str">
        <f t="shared" si="158"/>
        <v>Biological Sciences Field Hous (0260)</v>
      </c>
      <c r="O2512" t="s">
        <v>44</v>
      </c>
      <c r="P2512" t="str">
        <f t="shared" si="159"/>
        <v>39000_0260</v>
      </c>
      <c r="Q2512" s="180">
        <v>0</v>
      </c>
    </row>
    <row r="2513" spans="1:17">
      <c r="A2513" t="str">
        <f t="shared" si="156"/>
        <v>GSOU_0261</v>
      </c>
      <c r="B2513" t="str">
        <f t="shared" si="157"/>
        <v>GSOU_Biological Sciences Greenhouse</v>
      </c>
      <c r="C2513" t="s">
        <v>449</v>
      </c>
      <c r="D2513" s="180" t="s">
        <v>30</v>
      </c>
      <c r="E2513" t="s">
        <v>5375</v>
      </c>
      <c r="F2513" t="s">
        <v>5376</v>
      </c>
      <c r="G2513" s="180">
        <v>2800</v>
      </c>
      <c r="H2513">
        <v>2011</v>
      </c>
      <c r="J2513" s="1334" t="s">
        <v>520</v>
      </c>
      <c r="K2513" s="1335" t="s">
        <v>475</v>
      </c>
      <c r="L2513" s="180">
        <v>100</v>
      </c>
      <c r="M2513" t="s">
        <v>80</v>
      </c>
      <c r="N2513" t="str">
        <f t="shared" si="158"/>
        <v>Biological Sciences Greenhouse (0261)</v>
      </c>
      <c r="O2513" t="s">
        <v>44</v>
      </c>
      <c r="P2513" t="str">
        <f t="shared" si="159"/>
        <v>39000_0261</v>
      </c>
      <c r="Q2513" s="180">
        <v>0</v>
      </c>
    </row>
    <row r="2514" spans="1:17">
      <c r="A2514" t="str">
        <f t="shared" si="156"/>
        <v>GSOU_0262</v>
      </c>
      <c r="B2514" t="str">
        <f t="shared" si="157"/>
        <v>GSOU_Military Science Bldg.</v>
      </c>
      <c r="C2514" t="s">
        <v>449</v>
      </c>
      <c r="D2514" s="180" t="s">
        <v>30</v>
      </c>
      <c r="E2514" t="s">
        <v>5468</v>
      </c>
      <c r="F2514" t="s">
        <v>5469</v>
      </c>
      <c r="G2514" s="180">
        <v>33280</v>
      </c>
      <c r="H2514">
        <v>2016</v>
      </c>
      <c r="J2514" s="1334" t="s">
        <v>475</v>
      </c>
      <c r="K2514" s="1335" t="s">
        <v>475</v>
      </c>
      <c r="L2514" s="180">
        <v>100</v>
      </c>
      <c r="M2514" t="s">
        <v>80</v>
      </c>
      <c r="N2514" t="str">
        <f t="shared" si="158"/>
        <v>Military Science Bldg. (0262)</v>
      </c>
      <c r="O2514" t="s">
        <v>44</v>
      </c>
      <c r="P2514" t="str">
        <f t="shared" si="159"/>
        <v>39000_0262</v>
      </c>
      <c r="Q2514" s="180">
        <v>0</v>
      </c>
    </row>
    <row r="2515" spans="1:17">
      <c r="A2515" t="str">
        <f t="shared" si="156"/>
        <v>GSOU_0263</v>
      </c>
      <c r="B2515" t="str">
        <f t="shared" si="157"/>
        <v>GSOU_Biological Sci Boat Shelter</v>
      </c>
      <c r="C2515" t="s">
        <v>449</v>
      </c>
      <c r="D2515" s="180" t="s">
        <v>30</v>
      </c>
      <c r="E2515" t="s">
        <v>5156</v>
      </c>
      <c r="F2515" t="s">
        <v>5157</v>
      </c>
      <c r="G2515" s="180">
        <v>720</v>
      </c>
      <c r="H2515">
        <v>2014</v>
      </c>
      <c r="J2515" s="1334" t="s">
        <v>475</v>
      </c>
      <c r="K2515" s="1335" t="s">
        <v>475</v>
      </c>
      <c r="L2515" s="180">
        <v>100</v>
      </c>
      <c r="M2515" t="s">
        <v>80</v>
      </c>
      <c r="N2515" t="str">
        <f t="shared" si="158"/>
        <v>Biological Sci Boat Shelter (0263)</v>
      </c>
      <c r="O2515" t="s">
        <v>44</v>
      </c>
      <c r="P2515" t="str">
        <f t="shared" si="159"/>
        <v>39000_0263</v>
      </c>
      <c r="Q2515" s="180">
        <v>0</v>
      </c>
    </row>
    <row r="2516" spans="1:17">
      <c r="A2516" t="str">
        <f t="shared" si="156"/>
        <v>GSOU_0264</v>
      </c>
      <c r="B2516" t="str">
        <f t="shared" si="157"/>
        <v>GSOU_Biological Sci Outdoor Classrm</v>
      </c>
      <c r="C2516" t="s">
        <v>449</v>
      </c>
      <c r="D2516" s="180" t="s">
        <v>30</v>
      </c>
      <c r="E2516" t="s">
        <v>5158</v>
      </c>
      <c r="F2516" t="s">
        <v>5159</v>
      </c>
      <c r="G2516" s="180">
        <v>1020</v>
      </c>
      <c r="H2516">
        <v>2014</v>
      </c>
      <c r="J2516" s="1334" t="s">
        <v>475</v>
      </c>
      <c r="K2516" s="1335" t="s">
        <v>475</v>
      </c>
      <c r="L2516" s="180">
        <v>100</v>
      </c>
      <c r="M2516" t="s">
        <v>80</v>
      </c>
      <c r="N2516" t="str">
        <f t="shared" si="158"/>
        <v>Biological Sci Outdoor Classrm (0264)</v>
      </c>
      <c r="O2516" t="s">
        <v>44</v>
      </c>
      <c r="P2516" t="str">
        <f t="shared" si="159"/>
        <v>39000_0264</v>
      </c>
      <c r="Q2516" s="180">
        <v>0</v>
      </c>
    </row>
    <row r="2517" spans="1:17">
      <c r="A2517" t="str">
        <f t="shared" si="156"/>
        <v>GSOU_0265</v>
      </c>
      <c r="B2517" t="str">
        <f t="shared" si="157"/>
        <v>GSOU_Interdisciplinary Academic Bld</v>
      </c>
      <c r="C2517" t="s">
        <v>449</v>
      </c>
      <c r="D2517" s="180" t="s">
        <v>30</v>
      </c>
      <c r="E2517" t="s">
        <v>5263</v>
      </c>
      <c r="F2517" t="s">
        <v>5264</v>
      </c>
      <c r="G2517" s="180">
        <v>109887</v>
      </c>
      <c r="H2517">
        <v>2017</v>
      </c>
      <c r="J2517" s="1334" t="s">
        <v>475</v>
      </c>
      <c r="K2517" s="1335" t="s">
        <v>475</v>
      </c>
      <c r="L2517" s="180">
        <v>100</v>
      </c>
      <c r="M2517" t="s">
        <v>80</v>
      </c>
      <c r="N2517" t="str">
        <f t="shared" si="158"/>
        <v>Interdisciplinary Academic Bld (0265)</v>
      </c>
      <c r="O2517" t="s">
        <v>44</v>
      </c>
      <c r="P2517" t="str">
        <f t="shared" si="159"/>
        <v>39000_0265</v>
      </c>
      <c r="Q2517" s="180">
        <v>0</v>
      </c>
    </row>
    <row r="2518" spans="1:17">
      <c r="A2518" t="str">
        <f t="shared" si="156"/>
        <v>GSOU_0266</v>
      </c>
      <c r="B2518" t="str">
        <f t="shared" si="157"/>
        <v>GSOU_Engineering &amp; Research Bld</v>
      </c>
      <c r="C2518" t="s">
        <v>449</v>
      </c>
      <c r="D2518" s="180" t="s">
        <v>30</v>
      </c>
      <c r="E2518" t="s">
        <v>7026</v>
      </c>
      <c r="F2518" t="s">
        <v>7098</v>
      </c>
      <c r="G2518" s="180">
        <v>148453</v>
      </c>
      <c r="H2518">
        <v>2018</v>
      </c>
      <c r="J2518" s="1334" t="s">
        <v>520</v>
      </c>
      <c r="K2518" s="1335" t="s">
        <v>475</v>
      </c>
      <c r="L2518" s="180">
        <v>100</v>
      </c>
      <c r="M2518" t="s">
        <v>80</v>
      </c>
      <c r="N2518" t="str">
        <f t="shared" si="158"/>
        <v>Engineering &amp; Research Bld (0266)</v>
      </c>
      <c r="O2518" t="s">
        <v>44</v>
      </c>
      <c r="P2518" t="str">
        <f t="shared" si="159"/>
        <v>39000_0266</v>
      </c>
      <c r="Q2518" s="180">
        <v>0</v>
      </c>
    </row>
    <row r="2519" spans="1:17">
      <c r="A2519" t="str">
        <f t="shared" si="156"/>
        <v>GSOU_0303</v>
      </c>
      <c r="B2519" t="str">
        <f t="shared" si="157"/>
        <v>GSOU_Hendricks Hall</v>
      </c>
      <c r="C2519" t="s">
        <v>449</v>
      </c>
      <c r="D2519" s="180" t="s">
        <v>30</v>
      </c>
      <c r="E2519" t="s">
        <v>5400</v>
      </c>
      <c r="F2519" t="s">
        <v>5401</v>
      </c>
      <c r="G2519" s="180">
        <v>40099</v>
      </c>
      <c r="H2519">
        <v>1963</v>
      </c>
      <c r="I2519">
        <v>2009</v>
      </c>
      <c r="J2519" s="1334" t="s">
        <v>475</v>
      </c>
      <c r="K2519" s="1335" t="s">
        <v>475</v>
      </c>
      <c r="L2519" s="180">
        <v>100</v>
      </c>
      <c r="M2519" t="s">
        <v>80</v>
      </c>
      <c r="N2519" t="str">
        <f t="shared" si="158"/>
        <v>Hendricks Hall (0303)</v>
      </c>
      <c r="O2519" t="s">
        <v>44</v>
      </c>
      <c r="P2519" t="str">
        <f t="shared" si="159"/>
        <v>39000_0303</v>
      </c>
      <c r="Q2519" s="180">
        <v>0</v>
      </c>
    </row>
    <row r="2520" spans="1:17">
      <c r="A2520" t="str">
        <f t="shared" si="156"/>
        <v>GSOU_0304</v>
      </c>
      <c r="B2520" t="str">
        <f t="shared" si="157"/>
        <v>GSOU_Brannen Hall</v>
      </c>
      <c r="C2520" t="s">
        <v>449</v>
      </c>
      <c r="D2520" s="180" t="s">
        <v>30</v>
      </c>
      <c r="E2520" t="s">
        <v>5340</v>
      </c>
      <c r="F2520" t="s">
        <v>5341</v>
      </c>
      <c r="G2520" s="180">
        <v>29685</v>
      </c>
      <c r="H2520">
        <v>1963</v>
      </c>
      <c r="I2520">
        <v>2011</v>
      </c>
      <c r="J2520" s="1334" t="s">
        <v>475</v>
      </c>
      <c r="K2520" s="1335" t="s">
        <v>475</v>
      </c>
      <c r="L2520" s="180">
        <v>100</v>
      </c>
      <c r="M2520" t="s">
        <v>80</v>
      </c>
      <c r="N2520" t="str">
        <f t="shared" si="158"/>
        <v>Brannen Hall (0304)</v>
      </c>
      <c r="O2520" t="s">
        <v>44</v>
      </c>
      <c r="P2520" t="str">
        <f t="shared" si="159"/>
        <v>39000_0304</v>
      </c>
      <c r="Q2520" s="180">
        <v>0</v>
      </c>
    </row>
    <row r="2521" spans="1:17">
      <c r="A2521" t="str">
        <f t="shared" si="156"/>
        <v>GSOU_0305</v>
      </c>
      <c r="B2521" t="str">
        <f t="shared" si="157"/>
        <v>GSOU_Sanford Hall</v>
      </c>
      <c r="C2521" t="s">
        <v>449</v>
      </c>
      <c r="D2521" s="180" t="s">
        <v>30</v>
      </c>
      <c r="E2521" t="s">
        <v>4792</v>
      </c>
      <c r="F2521" t="s">
        <v>4962</v>
      </c>
      <c r="G2521" s="180">
        <v>32197</v>
      </c>
      <c r="H2521">
        <v>1937</v>
      </c>
      <c r="I2521">
        <v>2012</v>
      </c>
      <c r="J2521" s="1334" t="s">
        <v>475</v>
      </c>
      <c r="K2521" s="1335" t="s">
        <v>475</v>
      </c>
      <c r="L2521" s="180">
        <v>100</v>
      </c>
      <c r="M2521" t="s">
        <v>80</v>
      </c>
      <c r="N2521" t="str">
        <f t="shared" si="158"/>
        <v>Sanford Hall (0305)</v>
      </c>
      <c r="O2521" t="s">
        <v>44</v>
      </c>
      <c r="P2521" t="str">
        <f t="shared" si="159"/>
        <v>39000_0305</v>
      </c>
      <c r="Q2521" s="180">
        <v>0</v>
      </c>
    </row>
    <row r="2522" spans="1:17">
      <c r="A2522" t="str">
        <f t="shared" si="156"/>
        <v>GSOU_0311</v>
      </c>
      <c r="B2522" t="str">
        <f t="shared" si="157"/>
        <v>GSOU_Watson Res. Hall</v>
      </c>
      <c r="C2522" t="s">
        <v>449</v>
      </c>
      <c r="D2522" s="180" t="s">
        <v>30</v>
      </c>
      <c r="E2522" t="s">
        <v>5160</v>
      </c>
      <c r="F2522" t="s">
        <v>5161</v>
      </c>
      <c r="G2522" s="180">
        <v>44871</v>
      </c>
      <c r="H2522">
        <v>1994</v>
      </c>
      <c r="J2522" s="1334" t="s">
        <v>520</v>
      </c>
      <c r="K2522" s="1335" t="s">
        <v>475</v>
      </c>
      <c r="L2522" s="180">
        <v>0</v>
      </c>
      <c r="M2522" t="s">
        <v>80</v>
      </c>
      <c r="N2522" t="str">
        <f t="shared" si="158"/>
        <v>Watson Res. Hall (0311)</v>
      </c>
      <c r="O2522" t="s">
        <v>44</v>
      </c>
      <c r="P2522" t="str">
        <f t="shared" si="159"/>
        <v>39000_0311</v>
      </c>
      <c r="Q2522" s="180">
        <v>0</v>
      </c>
    </row>
    <row r="2523" spans="1:17">
      <c r="A2523" t="str">
        <f t="shared" si="156"/>
        <v>GSOU_0312</v>
      </c>
      <c r="B2523" t="str">
        <f t="shared" si="157"/>
        <v>GSOU_Watson Hall Commons</v>
      </c>
      <c r="C2523" t="s">
        <v>449</v>
      </c>
      <c r="D2523" s="180" t="s">
        <v>30</v>
      </c>
      <c r="E2523" t="s">
        <v>5484</v>
      </c>
      <c r="F2523" t="s">
        <v>5485</v>
      </c>
      <c r="G2523" s="180">
        <v>25296</v>
      </c>
      <c r="H2523">
        <v>1994</v>
      </c>
      <c r="J2523" s="1334" t="s">
        <v>520</v>
      </c>
      <c r="K2523" s="1335" t="s">
        <v>475</v>
      </c>
      <c r="L2523" s="180">
        <v>0</v>
      </c>
      <c r="M2523" t="s">
        <v>80</v>
      </c>
      <c r="N2523" t="str">
        <f t="shared" si="158"/>
        <v>Watson Hall Commons (0312)</v>
      </c>
      <c r="O2523" t="s">
        <v>44</v>
      </c>
      <c r="P2523" t="str">
        <f t="shared" si="159"/>
        <v>39000_0312</v>
      </c>
      <c r="Q2523" s="180">
        <v>0</v>
      </c>
    </row>
    <row r="2524" spans="1:17">
      <c r="A2524" t="str">
        <f t="shared" si="156"/>
        <v>GSOU_0313</v>
      </c>
      <c r="B2524" t="str">
        <f t="shared" si="157"/>
        <v>GSOU_Forest Dr. Ctrl.Energy</v>
      </c>
      <c r="C2524" t="s">
        <v>449</v>
      </c>
      <c r="D2524" s="180" t="s">
        <v>30</v>
      </c>
      <c r="E2524" t="s">
        <v>5402</v>
      </c>
      <c r="F2524" t="s">
        <v>5403</v>
      </c>
      <c r="G2524" s="180">
        <v>2490</v>
      </c>
      <c r="H2524">
        <v>1994</v>
      </c>
      <c r="J2524" s="1334" t="s">
        <v>520</v>
      </c>
      <c r="K2524" s="1335" t="s">
        <v>475</v>
      </c>
      <c r="L2524" s="180">
        <v>69</v>
      </c>
      <c r="M2524" t="s">
        <v>80</v>
      </c>
      <c r="N2524" t="str">
        <f t="shared" si="158"/>
        <v>Forest Dr. Ctrl.Energy (0313)</v>
      </c>
      <c r="O2524" t="s">
        <v>44</v>
      </c>
      <c r="P2524" t="str">
        <f t="shared" si="159"/>
        <v>39000_0313</v>
      </c>
      <c r="Q2524" s="180">
        <v>0</v>
      </c>
    </row>
    <row r="2525" spans="1:17">
      <c r="A2525" t="str">
        <f t="shared" si="156"/>
        <v>GSOU_0318</v>
      </c>
      <c r="B2525" t="str">
        <f t="shared" si="157"/>
        <v>GSOU_Eagle Village 1</v>
      </c>
      <c r="C2525" t="s">
        <v>449</v>
      </c>
      <c r="D2525" s="180" t="s">
        <v>30</v>
      </c>
      <c r="E2525" t="s">
        <v>5253</v>
      </c>
      <c r="F2525" t="s">
        <v>5254</v>
      </c>
      <c r="G2525" s="180">
        <v>153420</v>
      </c>
      <c r="H2525">
        <v>2004</v>
      </c>
      <c r="J2525" s="1334" t="s">
        <v>486</v>
      </c>
      <c r="K2525" s="1335" t="s">
        <v>475</v>
      </c>
      <c r="L2525" s="180">
        <v>0</v>
      </c>
      <c r="M2525" t="s">
        <v>80</v>
      </c>
      <c r="N2525" t="str">
        <f t="shared" si="158"/>
        <v>Eagle Village 1 (0318)</v>
      </c>
      <c r="O2525" t="s">
        <v>44</v>
      </c>
      <c r="P2525" t="str">
        <f t="shared" si="159"/>
        <v>39000_0318</v>
      </c>
      <c r="Q2525" s="180">
        <v>0</v>
      </c>
    </row>
    <row r="2526" spans="1:17">
      <c r="A2526" t="str">
        <f t="shared" si="156"/>
        <v>GSOU_0319</v>
      </c>
      <c r="B2526" t="str">
        <f t="shared" si="157"/>
        <v>GSOU_Eagle Village 2</v>
      </c>
      <c r="C2526" t="s">
        <v>449</v>
      </c>
      <c r="D2526" s="180" t="s">
        <v>30</v>
      </c>
      <c r="E2526" t="s">
        <v>5329</v>
      </c>
      <c r="F2526" t="s">
        <v>5330</v>
      </c>
      <c r="G2526" s="180">
        <v>154276</v>
      </c>
      <c r="H2526">
        <v>2004</v>
      </c>
      <c r="J2526" s="1334" t="s">
        <v>486</v>
      </c>
      <c r="K2526" s="1335" t="s">
        <v>475</v>
      </c>
      <c r="L2526" s="180">
        <v>0</v>
      </c>
      <c r="M2526" t="s">
        <v>80</v>
      </c>
      <c r="N2526" t="str">
        <f t="shared" si="158"/>
        <v>Eagle Village 2 (0319)</v>
      </c>
      <c r="O2526" t="s">
        <v>44</v>
      </c>
      <c r="P2526" t="str">
        <f t="shared" si="159"/>
        <v>39000_0319</v>
      </c>
      <c r="Q2526" s="180">
        <v>0</v>
      </c>
    </row>
    <row r="2527" spans="1:17">
      <c r="A2527" t="str">
        <f t="shared" si="156"/>
        <v>GSOU_0330</v>
      </c>
      <c r="B2527" t="str">
        <f t="shared" si="157"/>
        <v>GSOU_Kennedy Hall - Bldgs. A/B</v>
      </c>
      <c r="C2527" t="s">
        <v>449</v>
      </c>
      <c r="D2527" s="180" t="s">
        <v>30</v>
      </c>
      <c r="E2527" t="s">
        <v>4776</v>
      </c>
      <c r="F2527" t="s">
        <v>7755</v>
      </c>
      <c r="G2527" s="180">
        <v>58061</v>
      </c>
      <c r="H2527">
        <v>1998</v>
      </c>
      <c r="I2527">
        <v>2021</v>
      </c>
      <c r="J2527" s="1334" t="s">
        <v>475</v>
      </c>
      <c r="K2527" s="1335" t="s">
        <v>475</v>
      </c>
      <c r="L2527" s="180">
        <v>0</v>
      </c>
      <c r="M2527" t="s">
        <v>80</v>
      </c>
      <c r="N2527" t="str">
        <f t="shared" si="158"/>
        <v>Kennedy Hall - Bldgs. A/B (0330)</v>
      </c>
      <c r="O2527" t="s">
        <v>44</v>
      </c>
      <c r="P2527" t="str">
        <f t="shared" si="159"/>
        <v>39000_0330</v>
      </c>
      <c r="Q2527" s="180">
        <v>0</v>
      </c>
    </row>
    <row r="2528" spans="1:17">
      <c r="A2528" t="str">
        <f t="shared" si="156"/>
        <v>GSOU_0331</v>
      </c>
      <c r="B2528" t="str">
        <f t="shared" si="157"/>
        <v>GSOU_Kennedy Hall-Student Activitie</v>
      </c>
      <c r="C2528" t="s">
        <v>449</v>
      </c>
      <c r="D2528" s="180" t="s">
        <v>30</v>
      </c>
      <c r="E2528" t="s">
        <v>5233</v>
      </c>
      <c r="F2528" t="s">
        <v>7756</v>
      </c>
      <c r="G2528" s="180">
        <v>16295</v>
      </c>
      <c r="H2528">
        <v>1998</v>
      </c>
      <c r="I2528">
        <v>2021</v>
      </c>
      <c r="J2528" s="1334" t="s">
        <v>475</v>
      </c>
      <c r="K2528" s="1335" t="s">
        <v>475</v>
      </c>
      <c r="L2528" s="180">
        <v>0</v>
      </c>
      <c r="M2528" t="s">
        <v>80</v>
      </c>
      <c r="N2528" t="str">
        <f t="shared" si="158"/>
        <v>Kennedy Hall-Student Activitie (0331)</v>
      </c>
      <c r="O2528" t="s">
        <v>44</v>
      </c>
      <c r="P2528" t="str">
        <f t="shared" si="159"/>
        <v>39000_0331</v>
      </c>
      <c r="Q2528" s="180">
        <v>0</v>
      </c>
    </row>
    <row r="2529" spans="1:17">
      <c r="A2529" t="str">
        <f t="shared" si="156"/>
        <v>GSOU_0332</v>
      </c>
      <c r="B2529" t="str">
        <f t="shared" si="157"/>
        <v>GSOU_Kennedy Hall - Bldgs. C/D</v>
      </c>
      <c r="C2529" t="s">
        <v>449</v>
      </c>
      <c r="D2529" s="180" t="s">
        <v>30</v>
      </c>
      <c r="E2529" t="s">
        <v>5259</v>
      </c>
      <c r="F2529" t="s">
        <v>7757</v>
      </c>
      <c r="G2529" s="180">
        <v>94552</v>
      </c>
      <c r="H2529">
        <v>1998</v>
      </c>
      <c r="I2529">
        <v>2021</v>
      </c>
      <c r="J2529" s="1334" t="s">
        <v>475</v>
      </c>
      <c r="K2529" s="1335" t="s">
        <v>475</v>
      </c>
      <c r="L2529" s="180">
        <v>0</v>
      </c>
      <c r="M2529" t="s">
        <v>80</v>
      </c>
      <c r="N2529" t="str">
        <f t="shared" si="158"/>
        <v>Kennedy Hall - Bldgs. C/D (0332)</v>
      </c>
      <c r="O2529" t="s">
        <v>44</v>
      </c>
      <c r="P2529" t="str">
        <f t="shared" si="159"/>
        <v>39000_0332</v>
      </c>
      <c r="Q2529" s="180">
        <v>0</v>
      </c>
    </row>
    <row r="2530" spans="1:17">
      <c r="A2530" t="str">
        <f t="shared" si="156"/>
        <v>GSOU_0341</v>
      </c>
      <c r="B2530" t="str">
        <f t="shared" si="157"/>
        <v>GSOU_Southern Courtyard - Bldg 1</v>
      </c>
      <c r="C2530" t="s">
        <v>449</v>
      </c>
      <c r="D2530" s="180" t="s">
        <v>30</v>
      </c>
      <c r="E2530" t="s">
        <v>5149</v>
      </c>
      <c r="F2530" t="s">
        <v>5150</v>
      </c>
      <c r="G2530" s="180">
        <v>34612</v>
      </c>
      <c r="H2530">
        <v>2003</v>
      </c>
      <c r="J2530" s="1334" t="s">
        <v>486</v>
      </c>
      <c r="K2530" s="1335" t="s">
        <v>475</v>
      </c>
      <c r="L2530" s="180">
        <v>0</v>
      </c>
      <c r="M2530" t="s">
        <v>80</v>
      </c>
      <c r="N2530" t="str">
        <f t="shared" si="158"/>
        <v>Southern Courtyard - Bldg 1 (0341)</v>
      </c>
      <c r="O2530" t="s">
        <v>44</v>
      </c>
      <c r="P2530" t="str">
        <f t="shared" si="159"/>
        <v>39000_0341</v>
      </c>
      <c r="Q2530" s="180">
        <v>0</v>
      </c>
    </row>
    <row r="2531" spans="1:17">
      <c r="A2531" t="str">
        <f t="shared" si="156"/>
        <v>GSOU_0342</v>
      </c>
      <c r="B2531" t="str">
        <f t="shared" si="157"/>
        <v>GSOU_Southern Courtyard - Bldg 2</v>
      </c>
      <c r="C2531" t="s">
        <v>449</v>
      </c>
      <c r="D2531" s="180" t="s">
        <v>30</v>
      </c>
      <c r="E2531" t="s">
        <v>5370</v>
      </c>
      <c r="F2531" t="s">
        <v>5371</v>
      </c>
      <c r="G2531" s="180">
        <v>34796</v>
      </c>
      <c r="H2531">
        <v>2003</v>
      </c>
      <c r="J2531" s="1334" t="s">
        <v>486</v>
      </c>
      <c r="K2531" s="1335" t="s">
        <v>475</v>
      </c>
      <c r="L2531" s="180">
        <v>0</v>
      </c>
      <c r="M2531" t="s">
        <v>80</v>
      </c>
      <c r="N2531" t="str">
        <f t="shared" si="158"/>
        <v>Southern Courtyard - Bldg 2 (0342)</v>
      </c>
      <c r="O2531" t="s">
        <v>44</v>
      </c>
      <c r="P2531" t="str">
        <f t="shared" si="159"/>
        <v>39000_0342</v>
      </c>
      <c r="Q2531" s="180">
        <v>0</v>
      </c>
    </row>
    <row r="2532" spans="1:17">
      <c r="A2532" t="str">
        <f t="shared" si="156"/>
        <v>GSOU_0343</v>
      </c>
      <c r="B2532" t="str">
        <f t="shared" si="157"/>
        <v>GSOU_Southern Courtyard - Bldg 3</v>
      </c>
      <c r="C2532" t="s">
        <v>449</v>
      </c>
      <c r="D2532" s="180" t="s">
        <v>30</v>
      </c>
      <c r="E2532" t="s">
        <v>5475</v>
      </c>
      <c r="F2532" t="s">
        <v>5476</v>
      </c>
      <c r="G2532" s="180">
        <v>57964</v>
      </c>
      <c r="H2532">
        <v>2003</v>
      </c>
      <c r="J2532" s="1334" t="s">
        <v>486</v>
      </c>
      <c r="K2532" s="1335" t="s">
        <v>475</v>
      </c>
      <c r="L2532" s="180">
        <v>0</v>
      </c>
      <c r="M2532" t="s">
        <v>80</v>
      </c>
      <c r="N2532" t="str">
        <f t="shared" si="158"/>
        <v>Southern Courtyard - Bldg 3 (0343)</v>
      </c>
      <c r="O2532" t="s">
        <v>44</v>
      </c>
      <c r="P2532" t="str">
        <f t="shared" si="159"/>
        <v>39000_0343</v>
      </c>
      <c r="Q2532" s="180">
        <v>0</v>
      </c>
    </row>
    <row r="2533" spans="1:17">
      <c r="A2533" t="str">
        <f t="shared" si="156"/>
        <v>GSOU_0344</v>
      </c>
      <c r="B2533" t="str">
        <f t="shared" si="157"/>
        <v>GSOU_Southern Courtyard - Bldg 4</v>
      </c>
      <c r="C2533" t="s">
        <v>449</v>
      </c>
      <c r="D2533" s="180" t="s">
        <v>30</v>
      </c>
      <c r="E2533" t="s">
        <v>5500</v>
      </c>
      <c r="F2533" t="s">
        <v>5501</v>
      </c>
      <c r="G2533" s="180">
        <v>57964</v>
      </c>
      <c r="H2533">
        <v>2003</v>
      </c>
      <c r="J2533" s="1334" t="s">
        <v>486</v>
      </c>
      <c r="K2533" s="1335" t="s">
        <v>475</v>
      </c>
      <c r="L2533" s="180">
        <v>0</v>
      </c>
      <c r="M2533" t="s">
        <v>80</v>
      </c>
      <c r="N2533" t="str">
        <f t="shared" si="158"/>
        <v>Southern Courtyard - Bldg 4 (0344)</v>
      </c>
      <c r="O2533" t="s">
        <v>44</v>
      </c>
      <c r="P2533" t="str">
        <f t="shared" si="159"/>
        <v>39000_0344</v>
      </c>
      <c r="Q2533" s="180">
        <v>13</v>
      </c>
    </row>
    <row r="2534" spans="1:17">
      <c r="A2534" t="str">
        <f t="shared" si="156"/>
        <v>GSOU_0351</v>
      </c>
      <c r="B2534" t="str">
        <f t="shared" si="157"/>
        <v>GSOU_Southern Pines - Building 1</v>
      </c>
      <c r="C2534" t="s">
        <v>449</v>
      </c>
      <c r="D2534" s="180" t="s">
        <v>30</v>
      </c>
      <c r="E2534" t="s">
        <v>4815</v>
      </c>
      <c r="F2534" t="s">
        <v>5406</v>
      </c>
      <c r="G2534" s="180">
        <v>50104</v>
      </c>
      <c r="H2534">
        <v>2003</v>
      </c>
      <c r="J2534" s="1334" t="s">
        <v>486</v>
      </c>
      <c r="K2534" s="1335" t="s">
        <v>475</v>
      </c>
      <c r="L2534" s="180">
        <v>0</v>
      </c>
      <c r="M2534" t="s">
        <v>80</v>
      </c>
      <c r="N2534" t="str">
        <f t="shared" si="158"/>
        <v>Southern Pines - Building 1 (0351)</v>
      </c>
      <c r="O2534" t="s">
        <v>44</v>
      </c>
      <c r="P2534" t="str">
        <f t="shared" si="159"/>
        <v>39000_0351</v>
      </c>
      <c r="Q2534" s="180">
        <v>0</v>
      </c>
    </row>
    <row r="2535" spans="1:17">
      <c r="A2535" t="str">
        <f t="shared" si="156"/>
        <v>GSOU_0352</v>
      </c>
      <c r="B2535" t="str">
        <f t="shared" si="157"/>
        <v>GSOU_Southern Pines - Building 2</v>
      </c>
      <c r="C2535" t="s">
        <v>449</v>
      </c>
      <c r="D2535" s="180" t="s">
        <v>30</v>
      </c>
      <c r="E2535" t="s">
        <v>4825</v>
      </c>
      <c r="F2535" t="s">
        <v>5151</v>
      </c>
      <c r="G2535" s="180">
        <v>50104</v>
      </c>
      <c r="H2535">
        <v>2003</v>
      </c>
      <c r="J2535" s="1334" t="s">
        <v>486</v>
      </c>
      <c r="K2535" s="1335" t="s">
        <v>475</v>
      </c>
      <c r="L2535" s="180">
        <v>0</v>
      </c>
      <c r="M2535" t="s">
        <v>80</v>
      </c>
      <c r="N2535" t="str">
        <f t="shared" si="158"/>
        <v>Southern Pines - Building 2 (0352)</v>
      </c>
      <c r="O2535" t="s">
        <v>44</v>
      </c>
      <c r="P2535" t="str">
        <f t="shared" si="159"/>
        <v>39000_0352</v>
      </c>
      <c r="Q2535" s="180">
        <v>0</v>
      </c>
    </row>
    <row r="2536" spans="1:17">
      <c r="A2536" t="str">
        <f t="shared" si="156"/>
        <v>GSOU_0353</v>
      </c>
      <c r="B2536" t="str">
        <f t="shared" si="157"/>
        <v>GSOU_Southern Pines - Building 3</v>
      </c>
      <c r="C2536" t="s">
        <v>449</v>
      </c>
      <c r="D2536" s="180" t="s">
        <v>30</v>
      </c>
      <c r="E2536" t="s">
        <v>5327</v>
      </c>
      <c r="F2536" t="s">
        <v>5328</v>
      </c>
      <c r="G2536" s="180">
        <v>50104</v>
      </c>
      <c r="H2536">
        <v>2003</v>
      </c>
      <c r="J2536" s="1334" t="s">
        <v>486</v>
      </c>
      <c r="K2536" s="1335" t="s">
        <v>475</v>
      </c>
      <c r="L2536" s="180">
        <v>0</v>
      </c>
      <c r="M2536" t="s">
        <v>80</v>
      </c>
      <c r="N2536" t="str">
        <f t="shared" si="158"/>
        <v>Southern Pines - Building 3 (0353)</v>
      </c>
      <c r="O2536" t="s">
        <v>44</v>
      </c>
      <c r="P2536" t="str">
        <f t="shared" si="159"/>
        <v>39000_0353</v>
      </c>
      <c r="Q2536" s="180">
        <v>0</v>
      </c>
    </row>
    <row r="2537" spans="1:17">
      <c r="A2537" t="str">
        <f t="shared" si="156"/>
        <v>GSOU_0354</v>
      </c>
      <c r="B2537" t="str">
        <f t="shared" si="157"/>
        <v>GSOU_Southern Pines - Building 4</v>
      </c>
      <c r="C2537" t="s">
        <v>449</v>
      </c>
      <c r="D2537" s="180" t="s">
        <v>30</v>
      </c>
      <c r="E2537" t="s">
        <v>5524</v>
      </c>
      <c r="F2537" t="s">
        <v>5525</v>
      </c>
      <c r="G2537" s="180">
        <v>50104</v>
      </c>
      <c r="H2537">
        <v>2003</v>
      </c>
      <c r="J2537" s="1334" t="s">
        <v>486</v>
      </c>
      <c r="K2537" s="1335" t="s">
        <v>475</v>
      </c>
      <c r="L2537" s="180">
        <v>0</v>
      </c>
      <c r="M2537" t="s">
        <v>80</v>
      </c>
      <c r="N2537" t="str">
        <f t="shared" si="158"/>
        <v>Southern Pines - Building 4 (0354)</v>
      </c>
      <c r="O2537" t="s">
        <v>44</v>
      </c>
      <c r="P2537" t="str">
        <f t="shared" si="159"/>
        <v>39000_0354</v>
      </c>
      <c r="Q2537" s="180">
        <v>0</v>
      </c>
    </row>
    <row r="2538" spans="1:17">
      <c r="A2538" t="str">
        <f t="shared" si="156"/>
        <v>GSOU_0355</v>
      </c>
      <c r="B2538" t="str">
        <f t="shared" si="157"/>
        <v>GSOU_Southern Pines - Building 5</v>
      </c>
      <c r="C2538" t="s">
        <v>449</v>
      </c>
      <c r="D2538" s="180" t="s">
        <v>30</v>
      </c>
      <c r="E2538" t="s">
        <v>4915</v>
      </c>
      <c r="F2538" t="s">
        <v>5369</v>
      </c>
      <c r="G2538" s="180">
        <v>25283</v>
      </c>
      <c r="H2538">
        <v>2003</v>
      </c>
      <c r="J2538" s="1334" t="s">
        <v>486</v>
      </c>
      <c r="K2538" s="1335" t="s">
        <v>475</v>
      </c>
      <c r="L2538" s="180">
        <v>0</v>
      </c>
      <c r="M2538" t="s">
        <v>80</v>
      </c>
      <c r="N2538" t="str">
        <f t="shared" si="158"/>
        <v>Southern Pines - Building 5 (0355)</v>
      </c>
      <c r="O2538" t="s">
        <v>44</v>
      </c>
      <c r="P2538" t="str">
        <f t="shared" si="159"/>
        <v>39000_0355</v>
      </c>
      <c r="Q2538" s="180">
        <v>0</v>
      </c>
    </row>
    <row r="2539" spans="1:17">
      <c r="A2539" t="str">
        <f t="shared" si="156"/>
        <v>GSOU_0356</v>
      </c>
      <c r="B2539" t="str">
        <f t="shared" si="157"/>
        <v>GSOU_Centennial Place - Bldg. 100</v>
      </c>
      <c r="C2539" t="s">
        <v>449</v>
      </c>
      <c r="D2539" s="180" t="s">
        <v>30</v>
      </c>
      <c r="E2539" t="s">
        <v>5477</v>
      </c>
      <c r="F2539" t="s">
        <v>5478</v>
      </c>
      <c r="G2539" s="180">
        <v>119484</v>
      </c>
      <c r="H2539">
        <v>2008</v>
      </c>
      <c r="J2539" s="1334" t="s">
        <v>486</v>
      </c>
      <c r="K2539" s="1335" t="s">
        <v>475</v>
      </c>
      <c r="L2539" s="180">
        <v>0</v>
      </c>
      <c r="M2539" t="s">
        <v>80</v>
      </c>
      <c r="N2539" t="str">
        <f t="shared" si="158"/>
        <v>Centennial Place - Bldg. 100 (0356)</v>
      </c>
      <c r="O2539" t="s">
        <v>44</v>
      </c>
      <c r="P2539" t="str">
        <f t="shared" si="159"/>
        <v>39000_0356</v>
      </c>
      <c r="Q2539" s="180">
        <v>0</v>
      </c>
    </row>
    <row r="2540" spans="1:17">
      <c r="A2540" t="str">
        <f t="shared" si="156"/>
        <v>GSOU_0357</v>
      </c>
      <c r="B2540" t="str">
        <f t="shared" si="157"/>
        <v>GSOU_Centennial Place - Bldg. 200</v>
      </c>
      <c r="C2540" t="s">
        <v>449</v>
      </c>
      <c r="D2540" s="180" t="s">
        <v>30</v>
      </c>
      <c r="E2540" t="s">
        <v>5351</v>
      </c>
      <c r="F2540" t="s">
        <v>5352</v>
      </c>
      <c r="G2540" s="180">
        <v>79884</v>
      </c>
      <c r="H2540">
        <v>2008</v>
      </c>
      <c r="J2540" s="1334" t="s">
        <v>486</v>
      </c>
      <c r="K2540" s="1335" t="s">
        <v>475</v>
      </c>
      <c r="L2540" s="180">
        <v>0</v>
      </c>
      <c r="M2540" t="s">
        <v>80</v>
      </c>
      <c r="N2540" t="str">
        <f t="shared" si="158"/>
        <v>Centennial Place - Bldg. 200 (0357)</v>
      </c>
      <c r="O2540" t="s">
        <v>44</v>
      </c>
      <c r="P2540" t="str">
        <f t="shared" si="159"/>
        <v>39000_0357</v>
      </c>
      <c r="Q2540" s="180">
        <v>0</v>
      </c>
    </row>
    <row r="2541" spans="1:17">
      <c r="A2541" t="str">
        <f t="shared" si="156"/>
        <v>GSOU_0358</v>
      </c>
      <c r="B2541" t="str">
        <f t="shared" si="157"/>
        <v>GSOU_Centennial Place - Bldg. 300</v>
      </c>
      <c r="C2541" t="s">
        <v>449</v>
      </c>
      <c r="D2541" s="180" t="s">
        <v>30</v>
      </c>
      <c r="E2541" t="s">
        <v>5360</v>
      </c>
      <c r="F2541" t="s">
        <v>5361</v>
      </c>
      <c r="G2541" s="180">
        <v>82726</v>
      </c>
      <c r="H2541">
        <v>2008</v>
      </c>
      <c r="J2541" s="1334" t="s">
        <v>486</v>
      </c>
      <c r="K2541" s="1335" t="s">
        <v>475</v>
      </c>
      <c r="L2541" s="180">
        <v>0</v>
      </c>
      <c r="M2541" t="s">
        <v>80</v>
      </c>
      <c r="N2541" t="str">
        <f t="shared" si="158"/>
        <v>Centennial Place - Bldg. 300 (0358)</v>
      </c>
      <c r="O2541" t="s">
        <v>44</v>
      </c>
      <c r="P2541" t="str">
        <f t="shared" si="159"/>
        <v>39000_0358</v>
      </c>
      <c r="Q2541" s="180">
        <v>0</v>
      </c>
    </row>
    <row r="2542" spans="1:17">
      <c r="A2542" t="str">
        <f t="shared" si="156"/>
        <v>GSOU_0359</v>
      </c>
      <c r="B2542" t="str">
        <f t="shared" si="157"/>
        <v>GSOU_Centennial Place - Bldg. 400</v>
      </c>
      <c r="C2542" t="s">
        <v>449</v>
      </c>
      <c r="D2542" s="180" t="s">
        <v>30</v>
      </c>
      <c r="E2542" t="s">
        <v>5507</v>
      </c>
      <c r="F2542" t="s">
        <v>5508</v>
      </c>
      <c r="G2542" s="180">
        <v>94981</v>
      </c>
      <c r="H2542">
        <v>2008</v>
      </c>
      <c r="J2542" s="1334" t="s">
        <v>486</v>
      </c>
      <c r="K2542" s="1335" t="s">
        <v>475</v>
      </c>
      <c r="L2542" s="180">
        <v>0</v>
      </c>
      <c r="M2542" t="s">
        <v>80</v>
      </c>
      <c r="N2542" t="str">
        <f t="shared" si="158"/>
        <v>Centennial Place - Bldg. 400 (0359)</v>
      </c>
      <c r="O2542" t="s">
        <v>44</v>
      </c>
      <c r="P2542" t="str">
        <f t="shared" si="159"/>
        <v>39000_0359</v>
      </c>
      <c r="Q2542" s="180">
        <v>0</v>
      </c>
    </row>
    <row r="2543" spans="1:17">
      <c r="A2543" t="str">
        <f t="shared" si="156"/>
        <v>GSOU_0374</v>
      </c>
      <c r="B2543" t="str">
        <f t="shared" si="157"/>
        <v>GSOU_University Villas Club House</v>
      </c>
      <c r="C2543" t="s">
        <v>449</v>
      </c>
      <c r="D2543" s="180" t="s">
        <v>30</v>
      </c>
      <c r="E2543" t="s">
        <v>5453</v>
      </c>
      <c r="F2543" t="s">
        <v>5454</v>
      </c>
      <c r="G2543" s="180">
        <v>3990</v>
      </c>
      <c r="H2543">
        <v>1965</v>
      </c>
      <c r="J2543" s="1334" t="s">
        <v>486</v>
      </c>
      <c r="K2543" s="1335" t="s">
        <v>475</v>
      </c>
      <c r="L2543" s="180">
        <v>100</v>
      </c>
      <c r="M2543" t="s">
        <v>80</v>
      </c>
      <c r="N2543" t="str">
        <f t="shared" si="158"/>
        <v>University Villas Club House (0374)</v>
      </c>
      <c r="O2543" t="s">
        <v>44</v>
      </c>
      <c r="P2543" t="str">
        <f t="shared" si="159"/>
        <v>39000_0374</v>
      </c>
      <c r="Q2543" s="180">
        <v>0</v>
      </c>
    </row>
    <row r="2544" spans="1:17">
      <c r="A2544" t="str">
        <f t="shared" si="156"/>
        <v>GSOU_0380</v>
      </c>
      <c r="B2544" t="str">
        <f t="shared" si="157"/>
        <v>GSOU_Freedom's Landing - Gate House</v>
      </c>
      <c r="C2544" t="s">
        <v>449</v>
      </c>
      <c r="D2544" s="180" t="s">
        <v>30</v>
      </c>
      <c r="E2544" t="s">
        <v>4842</v>
      </c>
      <c r="F2544" t="s">
        <v>5281</v>
      </c>
      <c r="G2544" s="180">
        <v>165</v>
      </c>
      <c r="H2544">
        <v>2002</v>
      </c>
      <c r="J2544" s="1334" t="s">
        <v>486</v>
      </c>
      <c r="K2544" s="1335" t="s">
        <v>475</v>
      </c>
      <c r="L2544" s="180">
        <v>0</v>
      </c>
      <c r="M2544" t="s">
        <v>80</v>
      </c>
      <c r="N2544" t="str">
        <f t="shared" si="158"/>
        <v>Freedom's Landing - Gate House (0380)</v>
      </c>
      <c r="O2544" t="s">
        <v>44</v>
      </c>
      <c r="P2544" t="str">
        <f t="shared" si="159"/>
        <v>39000_0380</v>
      </c>
      <c r="Q2544" s="180">
        <v>0</v>
      </c>
    </row>
    <row r="2545" spans="1:17">
      <c r="A2545" t="str">
        <f t="shared" si="156"/>
        <v>GSOU_0381</v>
      </c>
      <c r="B2545" t="str">
        <f t="shared" si="157"/>
        <v>GSOU_Freedom's Landing - Bldg. 1</v>
      </c>
      <c r="C2545" t="s">
        <v>449</v>
      </c>
      <c r="D2545" s="180" t="s">
        <v>30</v>
      </c>
      <c r="E2545" t="s">
        <v>5225</v>
      </c>
      <c r="F2545" t="s">
        <v>5226</v>
      </c>
      <c r="G2545" s="180">
        <v>20859</v>
      </c>
      <c r="H2545">
        <v>2002</v>
      </c>
      <c r="J2545" s="1334" t="s">
        <v>486</v>
      </c>
      <c r="K2545" s="1335" t="s">
        <v>475</v>
      </c>
      <c r="L2545" s="180">
        <v>0</v>
      </c>
      <c r="M2545" t="s">
        <v>80</v>
      </c>
      <c r="N2545" t="str">
        <f t="shared" si="158"/>
        <v>Freedom's Landing - Bldg. 1 (0381)</v>
      </c>
      <c r="O2545" t="s">
        <v>44</v>
      </c>
      <c r="P2545" t="str">
        <f t="shared" si="159"/>
        <v>39000_0381</v>
      </c>
      <c r="Q2545" s="180">
        <v>0</v>
      </c>
    </row>
    <row r="2546" spans="1:17">
      <c r="A2546" t="str">
        <f t="shared" si="156"/>
        <v>GSOU_0382</v>
      </c>
      <c r="B2546" t="str">
        <f t="shared" si="157"/>
        <v>GSOU_Freedom's Landing - Bldg. 2</v>
      </c>
      <c r="C2546" t="s">
        <v>449</v>
      </c>
      <c r="D2546" s="180" t="s">
        <v>30</v>
      </c>
      <c r="E2546" t="s">
        <v>4773</v>
      </c>
      <c r="F2546" t="s">
        <v>5465</v>
      </c>
      <c r="G2546" s="180">
        <v>20859</v>
      </c>
      <c r="H2546">
        <v>2002</v>
      </c>
      <c r="J2546" s="1334" t="s">
        <v>486</v>
      </c>
      <c r="K2546" s="1335" t="s">
        <v>475</v>
      </c>
      <c r="L2546" s="180">
        <v>0</v>
      </c>
      <c r="M2546" t="s">
        <v>80</v>
      </c>
      <c r="N2546" t="str">
        <f t="shared" si="158"/>
        <v>Freedom's Landing - Bldg. 2 (0382)</v>
      </c>
      <c r="O2546" t="s">
        <v>44</v>
      </c>
      <c r="P2546" t="str">
        <f t="shared" si="159"/>
        <v>39000_0382</v>
      </c>
      <c r="Q2546" s="180">
        <v>0</v>
      </c>
    </row>
    <row r="2547" spans="1:17">
      <c r="A2547" t="str">
        <f t="shared" si="156"/>
        <v>GSOU_0383</v>
      </c>
      <c r="B2547" t="str">
        <f t="shared" si="157"/>
        <v>GSOU_Freedom's Landing - Bldg. 3</v>
      </c>
      <c r="C2547" t="s">
        <v>449</v>
      </c>
      <c r="D2547" s="180" t="s">
        <v>30</v>
      </c>
      <c r="E2547" t="s">
        <v>5431</v>
      </c>
      <c r="F2547" t="s">
        <v>5432</v>
      </c>
      <c r="G2547" s="180">
        <v>32467</v>
      </c>
      <c r="H2547">
        <v>2002</v>
      </c>
      <c r="J2547" s="1334" t="s">
        <v>486</v>
      </c>
      <c r="K2547" s="1335" t="s">
        <v>475</v>
      </c>
      <c r="L2547" s="180">
        <v>0</v>
      </c>
      <c r="M2547" t="s">
        <v>80</v>
      </c>
      <c r="N2547" t="str">
        <f t="shared" si="158"/>
        <v>Freedom's Landing - Bldg. 3 (0383)</v>
      </c>
      <c r="O2547" t="s">
        <v>44</v>
      </c>
      <c r="P2547" t="str">
        <f t="shared" si="159"/>
        <v>39000_0383</v>
      </c>
      <c r="Q2547" s="180">
        <v>0</v>
      </c>
    </row>
    <row r="2548" spans="1:17">
      <c r="A2548" t="str">
        <f t="shared" si="156"/>
        <v>GSOU_0384</v>
      </c>
      <c r="B2548" t="str">
        <f t="shared" si="157"/>
        <v>GSOU_Freedom's Landing - Bldg. 4</v>
      </c>
      <c r="C2548" t="s">
        <v>449</v>
      </c>
      <c r="D2548" s="180" t="s">
        <v>30</v>
      </c>
      <c r="E2548" t="s">
        <v>5293</v>
      </c>
      <c r="F2548" t="s">
        <v>5294</v>
      </c>
      <c r="G2548" s="180">
        <v>20859</v>
      </c>
      <c r="H2548">
        <v>2002</v>
      </c>
      <c r="J2548" s="1334" t="s">
        <v>486</v>
      </c>
      <c r="K2548" s="1335" t="s">
        <v>475</v>
      </c>
      <c r="L2548" s="180">
        <v>0</v>
      </c>
      <c r="M2548" t="s">
        <v>80</v>
      </c>
      <c r="N2548" t="str">
        <f t="shared" si="158"/>
        <v>Freedom's Landing - Bldg. 4 (0384)</v>
      </c>
      <c r="O2548" t="s">
        <v>44</v>
      </c>
      <c r="P2548" t="str">
        <f t="shared" si="159"/>
        <v>39000_0384</v>
      </c>
      <c r="Q2548" s="180">
        <v>0</v>
      </c>
    </row>
    <row r="2549" spans="1:17">
      <c r="A2549" t="str">
        <f t="shared" si="156"/>
        <v>GSOU_0385</v>
      </c>
      <c r="B2549" t="str">
        <f t="shared" si="157"/>
        <v>GSOU_Freedom's Landing - Bldg. 5</v>
      </c>
      <c r="C2549" t="s">
        <v>449</v>
      </c>
      <c r="D2549" s="180" t="s">
        <v>30</v>
      </c>
      <c r="E2549" t="s">
        <v>4828</v>
      </c>
      <c r="F2549" t="s">
        <v>5433</v>
      </c>
      <c r="G2549" s="180">
        <v>20859</v>
      </c>
      <c r="H2549">
        <v>2002</v>
      </c>
      <c r="J2549" s="1334" t="s">
        <v>486</v>
      </c>
      <c r="K2549" s="1335" t="s">
        <v>475</v>
      </c>
      <c r="L2549" s="180">
        <v>0</v>
      </c>
      <c r="M2549" t="s">
        <v>80</v>
      </c>
      <c r="N2549" t="str">
        <f t="shared" si="158"/>
        <v>Freedom's Landing - Bldg. 5 (0385)</v>
      </c>
      <c r="O2549" t="s">
        <v>44</v>
      </c>
      <c r="P2549" t="str">
        <f t="shared" si="159"/>
        <v>39000_0385</v>
      </c>
      <c r="Q2549" s="180">
        <v>0</v>
      </c>
    </row>
    <row r="2550" spans="1:17">
      <c r="A2550" t="str">
        <f t="shared" si="156"/>
        <v>GSOU_0386</v>
      </c>
      <c r="B2550" t="str">
        <f t="shared" si="157"/>
        <v>GSOU_Freedom's Landing - Bldg. 6</v>
      </c>
      <c r="C2550" t="s">
        <v>449</v>
      </c>
      <c r="D2550" s="180" t="s">
        <v>30</v>
      </c>
      <c r="E2550" t="s">
        <v>5196</v>
      </c>
      <c r="F2550" t="s">
        <v>5197</v>
      </c>
      <c r="G2550" s="180">
        <v>20859</v>
      </c>
      <c r="H2550">
        <v>2002</v>
      </c>
      <c r="J2550" s="1334" t="s">
        <v>486</v>
      </c>
      <c r="K2550" s="1335" t="s">
        <v>475</v>
      </c>
      <c r="L2550" s="180">
        <v>0</v>
      </c>
      <c r="M2550" t="s">
        <v>80</v>
      </c>
      <c r="N2550" t="str">
        <f t="shared" si="158"/>
        <v>Freedom's Landing - Bldg. 6 (0386)</v>
      </c>
      <c r="O2550" t="s">
        <v>44</v>
      </c>
      <c r="P2550" t="str">
        <f t="shared" si="159"/>
        <v>39000_0386</v>
      </c>
      <c r="Q2550" s="180">
        <v>0</v>
      </c>
    </row>
    <row r="2551" spans="1:17">
      <c r="A2551" t="str">
        <f t="shared" si="156"/>
        <v>GSOU_0387</v>
      </c>
      <c r="B2551" t="str">
        <f t="shared" si="157"/>
        <v>GSOU_Freedom's Landing - Bldg. 7</v>
      </c>
      <c r="C2551" t="s">
        <v>449</v>
      </c>
      <c r="D2551" s="180" t="s">
        <v>30</v>
      </c>
      <c r="E2551" t="s">
        <v>4895</v>
      </c>
      <c r="F2551" t="s">
        <v>5198</v>
      </c>
      <c r="G2551" s="180">
        <v>20859</v>
      </c>
      <c r="H2551">
        <v>2002</v>
      </c>
      <c r="J2551" s="1334" t="s">
        <v>486</v>
      </c>
      <c r="K2551" s="1335" t="s">
        <v>475</v>
      </c>
      <c r="L2551" s="180">
        <v>0</v>
      </c>
      <c r="M2551" t="s">
        <v>80</v>
      </c>
      <c r="N2551" t="str">
        <f t="shared" si="158"/>
        <v>Freedom's Landing - Bldg. 7 (0387)</v>
      </c>
      <c r="O2551" t="s">
        <v>44</v>
      </c>
      <c r="P2551" t="str">
        <f t="shared" si="159"/>
        <v>39000_0387</v>
      </c>
      <c r="Q2551" s="180">
        <v>0</v>
      </c>
    </row>
    <row r="2552" spans="1:17">
      <c r="A2552" t="str">
        <f t="shared" si="156"/>
        <v>GSOU_0388</v>
      </c>
      <c r="B2552" t="str">
        <f t="shared" si="157"/>
        <v>GSOU_Freedom's Landing - Bldg. 8</v>
      </c>
      <c r="C2552" t="s">
        <v>449</v>
      </c>
      <c r="D2552" s="180" t="s">
        <v>30</v>
      </c>
      <c r="E2552" t="s">
        <v>5466</v>
      </c>
      <c r="F2552" t="s">
        <v>5467</v>
      </c>
      <c r="G2552" s="180">
        <v>20859</v>
      </c>
      <c r="H2552">
        <v>2002</v>
      </c>
      <c r="J2552" s="1334" t="s">
        <v>486</v>
      </c>
      <c r="K2552" s="1335" t="s">
        <v>475</v>
      </c>
      <c r="L2552" s="180">
        <v>0</v>
      </c>
      <c r="M2552" t="s">
        <v>80</v>
      </c>
      <c r="N2552" t="str">
        <f t="shared" si="158"/>
        <v>Freedom's Landing - Bldg. 8 (0388)</v>
      </c>
      <c r="O2552" t="s">
        <v>44</v>
      </c>
      <c r="P2552" t="str">
        <f t="shared" si="159"/>
        <v>39000_0388</v>
      </c>
      <c r="Q2552" s="180">
        <v>0</v>
      </c>
    </row>
    <row r="2553" spans="1:17">
      <c r="A2553" t="str">
        <f t="shared" si="156"/>
        <v>GSOU_0389</v>
      </c>
      <c r="B2553" t="str">
        <f t="shared" si="157"/>
        <v>GSOU_Freedom's Landing - Bldg. 9</v>
      </c>
      <c r="C2553" t="s">
        <v>449</v>
      </c>
      <c r="D2553" s="180" t="s">
        <v>30</v>
      </c>
      <c r="E2553" t="s">
        <v>5353</v>
      </c>
      <c r="F2553" t="s">
        <v>5354</v>
      </c>
      <c r="G2553" s="180">
        <v>39309</v>
      </c>
      <c r="H2553">
        <v>2002</v>
      </c>
      <c r="J2553" s="1334" t="s">
        <v>486</v>
      </c>
      <c r="K2553" s="1335" t="s">
        <v>475</v>
      </c>
      <c r="L2553" s="180">
        <v>0</v>
      </c>
      <c r="M2553" t="s">
        <v>80</v>
      </c>
      <c r="N2553" t="str">
        <f t="shared" si="158"/>
        <v>Freedom's Landing - Bldg. 9 (0389)</v>
      </c>
      <c r="O2553" t="s">
        <v>44</v>
      </c>
      <c r="P2553" t="str">
        <f t="shared" si="159"/>
        <v>39000_0389</v>
      </c>
      <c r="Q2553" s="180">
        <v>0</v>
      </c>
    </row>
    <row r="2554" spans="1:17">
      <c r="A2554" t="str">
        <f t="shared" si="156"/>
        <v>GSOU_0390</v>
      </c>
      <c r="B2554" t="str">
        <f t="shared" si="157"/>
        <v>GSOU_Freedom's Landing - Bldg. 10</v>
      </c>
      <c r="C2554" t="s">
        <v>449</v>
      </c>
      <c r="D2554" s="180" t="s">
        <v>30</v>
      </c>
      <c r="E2554" t="s">
        <v>4794</v>
      </c>
      <c r="F2554" t="s">
        <v>5434</v>
      </c>
      <c r="G2554" s="180">
        <v>20859</v>
      </c>
      <c r="H2554">
        <v>2002</v>
      </c>
      <c r="J2554" s="1334" t="s">
        <v>486</v>
      </c>
      <c r="K2554" s="1335" t="s">
        <v>475</v>
      </c>
      <c r="L2554" s="180">
        <v>0</v>
      </c>
      <c r="M2554" t="s">
        <v>80</v>
      </c>
      <c r="N2554" t="str">
        <f t="shared" si="158"/>
        <v>Freedom's Landing - Bldg. 10 (0390)</v>
      </c>
      <c r="O2554" t="s">
        <v>44</v>
      </c>
      <c r="P2554" t="str">
        <f t="shared" si="159"/>
        <v>39000_0390</v>
      </c>
      <c r="Q2554" s="180">
        <v>0</v>
      </c>
    </row>
    <row r="2555" spans="1:17">
      <c r="A2555" t="str">
        <f t="shared" si="156"/>
        <v>GSOU_0391</v>
      </c>
      <c r="B2555" t="str">
        <f t="shared" si="157"/>
        <v>GSOU_Freedom's Landing - Bldg. 11</v>
      </c>
      <c r="C2555" t="s">
        <v>449</v>
      </c>
      <c r="D2555" s="180" t="s">
        <v>30</v>
      </c>
      <c r="E2555" t="s">
        <v>5239</v>
      </c>
      <c r="F2555" t="s">
        <v>5240</v>
      </c>
      <c r="G2555" s="180">
        <v>20859</v>
      </c>
      <c r="H2555">
        <v>2002</v>
      </c>
      <c r="J2555" s="1334" t="s">
        <v>486</v>
      </c>
      <c r="K2555" s="1335" t="s">
        <v>475</v>
      </c>
      <c r="L2555" s="180">
        <v>0</v>
      </c>
      <c r="M2555" t="s">
        <v>80</v>
      </c>
      <c r="N2555" t="str">
        <f t="shared" si="158"/>
        <v>Freedom's Landing - Bldg. 11 (0391)</v>
      </c>
      <c r="O2555" t="s">
        <v>44</v>
      </c>
      <c r="P2555" t="str">
        <f t="shared" si="159"/>
        <v>39000_0391</v>
      </c>
      <c r="Q2555" s="180">
        <v>0</v>
      </c>
    </row>
    <row r="2556" spans="1:17">
      <c r="A2556" t="str">
        <f t="shared" si="156"/>
        <v>GSOU_0392</v>
      </c>
      <c r="B2556" t="str">
        <f t="shared" si="157"/>
        <v>GSOU_Freedom's Landing - Bldg. 12</v>
      </c>
      <c r="C2556" t="s">
        <v>449</v>
      </c>
      <c r="D2556" s="180" t="s">
        <v>30</v>
      </c>
      <c r="E2556" t="s">
        <v>5390</v>
      </c>
      <c r="F2556" t="s">
        <v>5391</v>
      </c>
      <c r="G2556" s="180">
        <v>39309</v>
      </c>
      <c r="H2556">
        <v>2002</v>
      </c>
      <c r="J2556" s="1334" t="s">
        <v>486</v>
      </c>
      <c r="K2556" s="1335" t="s">
        <v>475</v>
      </c>
      <c r="L2556" s="180">
        <v>0</v>
      </c>
      <c r="M2556" t="s">
        <v>80</v>
      </c>
      <c r="N2556" t="str">
        <f t="shared" si="158"/>
        <v>Freedom's Landing - Bldg. 12 (0392)</v>
      </c>
      <c r="O2556" t="s">
        <v>44</v>
      </c>
      <c r="P2556" t="str">
        <f t="shared" si="159"/>
        <v>39000_0392</v>
      </c>
      <c r="Q2556" s="180">
        <v>0</v>
      </c>
    </row>
    <row r="2557" spans="1:17">
      <c r="A2557" t="str">
        <f t="shared" si="156"/>
        <v>GSOU_0393</v>
      </c>
      <c r="B2557" t="str">
        <f t="shared" si="157"/>
        <v>GSOU_Freedom's Landing - Bldg. 13</v>
      </c>
      <c r="C2557" t="s">
        <v>449</v>
      </c>
      <c r="D2557" s="180" t="s">
        <v>30</v>
      </c>
      <c r="E2557" t="s">
        <v>5182</v>
      </c>
      <c r="F2557" t="s">
        <v>5183</v>
      </c>
      <c r="G2557" s="180">
        <v>39309</v>
      </c>
      <c r="H2557">
        <v>2002</v>
      </c>
      <c r="J2557" s="1334" t="s">
        <v>486</v>
      </c>
      <c r="K2557" s="1335" t="s">
        <v>475</v>
      </c>
      <c r="L2557" s="180">
        <v>0</v>
      </c>
      <c r="M2557" t="s">
        <v>80</v>
      </c>
      <c r="N2557" t="str">
        <f t="shared" si="158"/>
        <v>Freedom's Landing - Bldg. 13 (0393)</v>
      </c>
      <c r="O2557" t="s">
        <v>44</v>
      </c>
      <c r="P2557" t="str">
        <f t="shared" si="159"/>
        <v>39000_0393</v>
      </c>
      <c r="Q2557" s="180">
        <v>0</v>
      </c>
    </row>
    <row r="2558" spans="1:17">
      <c r="A2558" t="str">
        <f t="shared" si="156"/>
        <v>GSOU_0394</v>
      </c>
      <c r="B2558" t="str">
        <f t="shared" si="157"/>
        <v>GSOU_Freedom's Landing - Bldg. 14</v>
      </c>
      <c r="C2558" t="s">
        <v>449</v>
      </c>
      <c r="D2558" s="180" t="s">
        <v>30</v>
      </c>
      <c r="E2558" t="s">
        <v>5383</v>
      </c>
      <c r="F2558" t="s">
        <v>5384</v>
      </c>
      <c r="G2558" s="180">
        <v>20859</v>
      </c>
      <c r="H2558">
        <v>2002</v>
      </c>
      <c r="J2558" s="1334" t="s">
        <v>486</v>
      </c>
      <c r="K2558" s="1335" t="s">
        <v>475</v>
      </c>
      <c r="L2558" s="180">
        <v>0</v>
      </c>
      <c r="M2558" t="s">
        <v>80</v>
      </c>
      <c r="N2558" t="str">
        <f t="shared" si="158"/>
        <v>Freedom's Landing - Bldg. 14 (0394)</v>
      </c>
      <c r="O2558" t="s">
        <v>44</v>
      </c>
      <c r="P2558" t="str">
        <f t="shared" si="159"/>
        <v>39000_0394</v>
      </c>
      <c r="Q2558" s="180">
        <v>0</v>
      </c>
    </row>
    <row r="2559" spans="1:17">
      <c r="A2559" t="str">
        <f t="shared" si="156"/>
        <v>GSOU_0395</v>
      </c>
      <c r="B2559" t="str">
        <f t="shared" si="157"/>
        <v>GSOU_Freedom's Landing - Bldg. 15</v>
      </c>
      <c r="C2559" t="s">
        <v>449</v>
      </c>
      <c r="D2559" s="180" t="s">
        <v>30</v>
      </c>
      <c r="E2559" t="s">
        <v>4932</v>
      </c>
      <c r="F2559" t="s">
        <v>5442</v>
      </c>
      <c r="G2559" s="180">
        <v>39309</v>
      </c>
      <c r="H2559">
        <v>2002</v>
      </c>
      <c r="J2559" s="1334" t="s">
        <v>486</v>
      </c>
      <c r="K2559" s="1335" t="s">
        <v>475</v>
      </c>
      <c r="L2559" s="180">
        <v>0</v>
      </c>
      <c r="M2559" t="s">
        <v>80</v>
      </c>
      <c r="N2559" t="str">
        <f t="shared" si="158"/>
        <v>Freedom's Landing - Bldg. 15 (0395)</v>
      </c>
      <c r="O2559" t="s">
        <v>44</v>
      </c>
      <c r="P2559" t="str">
        <f t="shared" si="159"/>
        <v>39000_0395</v>
      </c>
      <c r="Q2559" s="180">
        <v>0</v>
      </c>
    </row>
    <row r="2560" spans="1:17">
      <c r="A2560" t="str">
        <f t="shared" si="156"/>
        <v>GSOU_0396</v>
      </c>
      <c r="B2560" t="str">
        <f t="shared" si="157"/>
        <v>GSOU_Freedom's Landing - Bldg. 16</v>
      </c>
      <c r="C2560" t="s">
        <v>449</v>
      </c>
      <c r="D2560" s="180" t="s">
        <v>30</v>
      </c>
      <c r="E2560" t="s">
        <v>5199</v>
      </c>
      <c r="F2560" t="s">
        <v>5200</v>
      </c>
      <c r="G2560" s="180">
        <v>32467</v>
      </c>
      <c r="H2560">
        <v>2002</v>
      </c>
      <c r="J2560" s="1334" t="s">
        <v>486</v>
      </c>
      <c r="K2560" s="1335" t="s">
        <v>475</v>
      </c>
      <c r="L2560" s="180">
        <v>0</v>
      </c>
      <c r="M2560" t="s">
        <v>80</v>
      </c>
      <c r="N2560" t="str">
        <f t="shared" si="158"/>
        <v>Freedom's Landing - Bldg. 16 (0396)</v>
      </c>
      <c r="O2560" t="s">
        <v>44</v>
      </c>
      <c r="P2560" t="str">
        <f t="shared" si="159"/>
        <v>39000_0396</v>
      </c>
      <c r="Q2560" s="180">
        <v>0</v>
      </c>
    </row>
    <row r="2561" spans="1:17">
      <c r="A2561" t="str">
        <f t="shared" si="156"/>
        <v>GSOU_0397</v>
      </c>
      <c r="B2561" t="str">
        <f t="shared" si="157"/>
        <v>GSOU_Freedom's Landing - Bldg. 17</v>
      </c>
      <c r="C2561" t="s">
        <v>449</v>
      </c>
      <c r="D2561" s="180" t="s">
        <v>30</v>
      </c>
      <c r="E2561" t="s">
        <v>5457</v>
      </c>
      <c r="F2561" t="s">
        <v>5458</v>
      </c>
      <c r="G2561" s="180">
        <v>20859</v>
      </c>
      <c r="H2561">
        <v>2002</v>
      </c>
      <c r="J2561" s="1334" t="s">
        <v>486</v>
      </c>
      <c r="K2561" s="1335" t="s">
        <v>475</v>
      </c>
      <c r="L2561" s="180">
        <v>0</v>
      </c>
      <c r="M2561" t="s">
        <v>80</v>
      </c>
      <c r="N2561" t="str">
        <f t="shared" si="158"/>
        <v>Freedom's Landing - Bldg. 17 (0397)</v>
      </c>
      <c r="O2561" t="s">
        <v>44</v>
      </c>
      <c r="P2561" t="str">
        <f t="shared" si="159"/>
        <v>39000_0397</v>
      </c>
      <c r="Q2561" s="180">
        <v>0</v>
      </c>
    </row>
    <row r="2562" spans="1:17">
      <c r="A2562" t="str">
        <f t="shared" si="156"/>
        <v>GSOU_0398</v>
      </c>
      <c r="B2562" t="str">
        <f t="shared" si="157"/>
        <v>GSOU_Freedom's Landing - Clubhouse</v>
      </c>
      <c r="C2562" t="s">
        <v>449</v>
      </c>
      <c r="D2562" s="180" t="s">
        <v>30</v>
      </c>
      <c r="E2562" t="s">
        <v>5208</v>
      </c>
      <c r="F2562" t="s">
        <v>5209</v>
      </c>
      <c r="G2562" s="180">
        <v>8957</v>
      </c>
      <c r="H2562">
        <v>2002</v>
      </c>
      <c r="J2562" s="1334" t="s">
        <v>486</v>
      </c>
      <c r="K2562" s="1335" t="s">
        <v>475</v>
      </c>
      <c r="L2562" s="180">
        <v>0</v>
      </c>
      <c r="M2562" t="s">
        <v>80</v>
      </c>
      <c r="N2562" t="str">
        <f t="shared" si="158"/>
        <v>Freedom's Landing - Clubhouse (0398)</v>
      </c>
      <c r="O2562" t="s">
        <v>44</v>
      </c>
      <c r="P2562" t="str">
        <f t="shared" si="159"/>
        <v>39000_0398</v>
      </c>
      <c r="Q2562" s="180">
        <v>0</v>
      </c>
    </row>
    <row r="2563" spans="1:17">
      <c r="A2563" t="str">
        <f t="shared" ref="A2563:A2626" si="160">_xlfn.CONCAT(D2563,"_",E2563)</f>
        <v>GSOU_0399</v>
      </c>
      <c r="B2563" t="str">
        <f t="shared" ref="B2563:B2626" si="161">_xlfn.CONCAT(D2563,"_",F2563)</f>
        <v>GSOU_Freedom's Landing - Maint Shop</v>
      </c>
      <c r="C2563" t="s">
        <v>449</v>
      </c>
      <c r="D2563" s="180" t="s">
        <v>30</v>
      </c>
      <c r="E2563" t="s">
        <v>5170</v>
      </c>
      <c r="F2563" t="s">
        <v>5171</v>
      </c>
      <c r="G2563" s="180">
        <v>1135</v>
      </c>
      <c r="H2563">
        <v>2002</v>
      </c>
      <c r="J2563" s="1334" t="s">
        <v>486</v>
      </c>
      <c r="K2563" s="1335" t="s">
        <v>475</v>
      </c>
      <c r="L2563" s="180">
        <v>0</v>
      </c>
      <c r="M2563" t="s">
        <v>80</v>
      </c>
      <c r="N2563" t="str">
        <f t="shared" ref="N2563:N2626" si="162">_xlfn.CONCAT(F2563," (",E2563,")")</f>
        <v>Freedom's Landing - Maint Shop (0399)</v>
      </c>
      <c r="O2563" t="s">
        <v>44</v>
      </c>
      <c r="P2563" t="str">
        <f t="shared" ref="P2563:P2626" si="163">_xlfn.CONCAT(C2563,"_",E2563)</f>
        <v>39000_0399</v>
      </c>
      <c r="Q2563" s="180">
        <v>0</v>
      </c>
    </row>
    <row r="2564" spans="1:17">
      <c r="A2564" t="str">
        <f t="shared" si="160"/>
        <v>GSOU_0400</v>
      </c>
      <c r="B2564" t="str">
        <f t="shared" si="161"/>
        <v>GSOU_Williams Center</v>
      </c>
      <c r="C2564" t="s">
        <v>449</v>
      </c>
      <c r="D2564" s="180" t="s">
        <v>30</v>
      </c>
      <c r="E2564" t="s">
        <v>5297</v>
      </c>
      <c r="F2564" t="s">
        <v>5298</v>
      </c>
      <c r="G2564" s="180">
        <v>41273</v>
      </c>
      <c r="H2564">
        <v>1958</v>
      </c>
      <c r="I2564">
        <v>2023</v>
      </c>
      <c r="J2564" s="1334" t="s">
        <v>475</v>
      </c>
      <c r="K2564" s="1335" t="s">
        <v>475</v>
      </c>
      <c r="L2564" s="180">
        <v>100</v>
      </c>
      <c r="M2564" t="s">
        <v>80</v>
      </c>
      <c r="N2564" t="str">
        <f t="shared" si="162"/>
        <v>Williams Center (0400)</v>
      </c>
      <c r="O2564" t="s">
        <v>44</v>
      </c>
      <c r="P2564" t="str">
        <f t="shared" si="163"/>
        <v>39000_0400</v>
      </c>
      <c r="Q2564" s="180">
        <v>0</v>
      </c>
    </row>
    <row r="2565" spans="1:17">
      <c r="A2565" t="str">
        <f t="shared" si="160"/>
        <v>GSOU_0401</v>
      </c>
      <c r="B2565" t="str">
        <f t="shared" si="161"/>
        <v>GSOU_Russell Union</v>
      </c>
      <c r="C2565" t="s">
        <v>449</v>
      </c>
      <c r="D2565" s="180" t="s">
        <v>30</v>
      </c>
      <c r="E2565" t="s">
        <v>5214</v>
      </c>
      <c r="F2565" t="s">
        <v>7758</v>
      </c>
      <c r="G2565" s="180">
        <v>104032</v>
      </c>
      <c r="H2565">
        <v>1989</v>
      </c>
      <c r="J2565" s="1334" t="s">
        <v>475</v>
      </c>
      <c r="K2565" s="1335" t="s">
        <v>475</v>
      </c>
      <c r="L2565" s="180">
        <v>73</v>
      </c>
      <c r="M2565" t="s">
        <v>80</v>
      </c>
      <c r="N2565" t="str">
        <f t="shared" si="162"/>
        <v>Russell Union (0401)</v>
      </c>
      <c r="O2565" t="s">
        <v>44</v>
      </c>
      <c r="P2565" t="str">
        <f t="shared" si="163"/>
        <v>39000_0401</v>
      </c>
      <c r="Q2565" s="180">
        <v>0</v>
      </c>
    </row>
    <row r="2566" spans="1:17">
      <c r="A2566" t="str">
        <f t="shared" si="160"/>
        <v>GSOU_0402</v>
      </c>
      <c r="B2566" t="str">
        <f t="shared" si="161"/>
        <v>GSOU_University Store</v>
      </c>
      <c r="C2566" t="s">
        <v>449</v>
      </c>
      <c r="D2566" s="180" t="s">
        <v>30</v>
      </c>
      <c r="E2566" t="s">
        <v>5514</v>
      </c>
      <c r="F2566" t="s">
        <v>5515</v>
      </c>
      <c r="G2566" s="180">
        <v>22391</v>
      </c>
      <c r="H2566">
        <v>1988</v>
      </c>
      <c r="I2566">
        <v>2008</v>
      </c>
      <c r="J2566" s="1334" t="s">
        <v>475</v>
      </c>
      <c r="K2566" s="1335" t="s">
        <v>475</v>
      </c>
      <c r="L2566" s="180">
        <v>0</v>
      </c>
      <c r="M2566" t="s">
        <v>80</v>
      </c>
      <c r="N2566" t="str">
        <f t="shared" si="162"/>
        <v>University Store (0402)</v>
      </c>
      <c r="O2566" t="s">
        <v>44</v>
      </c>
      <c r="P2566" t="str">
        <f t="shared" si="163"/>
        <v>39000_0402</v>
      </c>
      <c r="Q2566" s="180">
        <v>0</v>
      </c>
    </row>
    <row r="2567" spans="1:17">
      <c r="A2567" t="str">
        <f t="shared" si="160"/>
        <v>GSOU_0404</v>
      </c>
      <c r="B2567" t="str">
        <f t="shared" si="161"/>
        <v>GSOU_Bldg. 404</v>
      </c>
      <c r="C2567" t="s">
        <v>449</v>
      </c>
      <c r="D2567" s="180" t="s">
        <v>30</v>
      </c>
      <c r="E2567" t="s">
        <v>5257</v>
      </c>
      <c r="F2567" t="s">
        <v>5258</v>
      </c>
      <c r="G2567" s="180">
        <v>15658</v>
      </c>
      <c r="H2567">
        <v>1976</v>
      </c>
      <c r="I2567">
        <v>2016</v>
      </c>
      <c r="J2567" s="1334" t="s">
        <v>475</v>
      </c>
      <c r="K2567" s="1335" t="s">
        <v>475</v>
      </c>
      <c r="L2567" s="180">
        <v>100</v>
      </c>
      <c r="M2567" t="s">
        <v>80</v>
      </c>
      <c r="N2567" t="str">
        <f t="shared" si="162"/>
        <v>Bldg. 404 (0404)</v>
      </c>
      <c r="O2567" t="s">
        <v>44</v>
      </c>
      <c r="P2567" t="str">
        <f t="shared" si="163"/>
        <v>39000_0404</v>
      </c>
      <c r="Q2567" s="180">
        <v>0</v>
      </c>
    </row>
    <row r="2568" spans="1:17">
      <c r="A2568" t="str">
        <f t="shared" si="160"/>
        <v>GSOU_0405</v>
      </c>
      <c r="B2568" t="str">
        <f t="shared" si="161"/>
        <v>GSOU_Lakeside Dining Commons</v>
      </c>
      <c r="C2568" t="s">
        <v>449</v>
      </c>
      <c r="D2568" s="180" t="s">
        <v>30</v>
      </c>
      <c r="E2568" t="s">
        <v>4866</v>
      </c>
      <c r="F2568" t="s">
        <v>5144</v>
      </c>
      <c r="G2568" s="180">
        <v>27059</v>
      </c>
      <c r="H2568">
        <v>1991</v>
      </c>
      <c r="I2568">
        <v>2013</v>
      </c>
      <c r="J2568" s="1334" t="s">
        <v>486</v>
      </c>
      <c r="K2568" s="1335" t="s">
        <v>475</v>
      </c>
      <c r="L2568" s="180">
        <v>0</v>
      </c>
      <c r="M2568" t="s">
        <v>80</v>
      </c>
      <c r="N2568" t="str">
        <f t="shared" si="162"/>
        <v>Lakeside Dining Commons (0405)</v>
      </c>
      <c r="O2568" t="s">
        <v>44</v>
      </c>
      <c r="P2568" t="str">
        <f t="shared" si="163"/>
        <v>39000_0405</v>
      </c>
      <c r="Q2568" s="180">
        <v>0</v>
      </c>
    </row>
    <row r="2569" spans="1:17">
      <c r="A2569" t="str">
        <f t="shared" si="160"/>
        <v>GSOU_0420</v>
      </c>
      <c r="B2569" t="str">
        <f t="shared" si="161"/>
        <v>GSOU_Hazardous Waste Bldg</v>
      </c>
      <c r="C2569" t="s">
        <v>449</v>
      </c>
      <c r="D2569" s="180" t="s">
        <v>30</v>
      </c>
      <c r="E2569" t="s">
        <v>5407</v>
      </c>
      <c r="F2569" t="s">
        <v>5408</v>
      </c>
      <c r="G2569" s="180">
        <v>2525</v>
      </c>
      <c r="H2569">
        <v>2005</v>
      </c>
      <c r="I2569">
        <v>2018</v>
      </c>
      <c r="J2569" s="1334" t="s">
        <v>475</v>
      </c>
      <c r="K2569" s="1335" t="s">
        <v>475</v>
      </c>
      <c r="L2569" s="180">
        <v>100</v>
      </c>
      <c r="M2569" t="s">
        <v>80</v>
      </c>
      <c r="N2569" t="str">
        <f t="shared" si="162"/>
        <v>Hazardous Waste Bldg (0420)</v>
      </c>
      <c r="O2569" t="s">
        <v>44</v>
      </c>
      <c r="P2569" t="str">
        <f t="shared" si="163"/>
        <v>39000_0420</v>
      </c>
      <c r="Q2569" s="180">
        <v>0</v>
      </c>
    </row>
    <row r="2570" spans="1:17">
      <c r="A2570" t="str">
        <f t="shared" si="160"/>
        <v>GSOU_0423</v>
      </c>
      <c r="B2570" t="str">
        <f t="shared" si="161"/>
        <v>GSOU_Well House 1</v>
      </c>
      <c r="C2570" t="s">
        <v>449</v>
      </c>
      <c r="D2570" s="180" t="s">
        <v>30</v>
      </c>
      <c r="E2570" t="s">
        <v>5286</v>
      </c>
      <c r="F2570" t="s">
        <v>5287</v>
      </c>
      <c r="G2570" s="180">
        <v>240</v>
      </c>
      <c r="H2570">
        <v>1963</v>
      </c>
      <c r="J2570" s="1334" t="s">
        <v>475</v>
      </c>
      <c r="K2570" s="1335" t="s">
        <v>475</v>
      </c>
      <c r="L2570" s="180">
        <v>100</v>
      </c>
      <c r="M2570" t="s">
        <v>80</v>
      </c>
      <c r="N2570" t="str">
        <f t="shared" si="162"/>
        <v>Well House 1 (0423)</v>
      </c>
      <c r="O2570" t="s">
        <v>44</v>
      </c>
      <c r="P2570" t="str">
        <f t="shared" si="163"/>
        <v>39000_0423</v>
      </c>
      <c r="Q2570" s="180">
        <v>0</v>
      </c>
    </row>
    <row r="2571" spans="1:17">
      <c r="A2571" t="str">
        <f t="shared" si="160"/>
        <v>GSOU_0425</v>
      </c>
      <c r="B2571" t="str">
        <f t="shared" si="161"/>
        <v>GSOU_Auxiliary Distribution Center</v>
      </c>
      <c r="C2571" t="s">
        <v>449</v>
      </c>
      <c r="D2571" s="180" t="s">
        <v>30</v>
      </c>
      <c r="E2571" t="s">
        <v>5325</v>
      </c>
      <c r="F2571" t="s">
        <v>5326</v>
      </c>
      <c r="G2571" s="180">
        <v>34770</v>
      </c>
      <c r="H2571">
        <v>1991</v>
      </c>
      <c r="I2571">
        <v>2013</v>
      </c>
      <c r="J2571" s="1334" t="s">
        <v>475</v>
      </c>
      <c r="K2571" s="1335" t="s">
        <v>475</v>
      </c>
      <c r="L2571" s="180">
        <v>33</v>
      </c>
      <c r="M2571" t="s">
        <v>80</v>
      </c>
      <c r="N2571" t="str">
        <f t="shared" si="162"/>
        <v>Auxiliary Distribution Center (0425)</v>
      </c>
      <c r="O2571" t="s">
        <v>44</v>
      </c>
      <c r="P2571" t="str">
        <f t="shared" si="163"/>
        <v>39000_0425</v>
      </c>
      <c r="Q2571" s="180">
        <v>0</v>
      </c>
    </row>
    <row r="2572" spans="1:17">
      <c r="A2572" t="str">
        <f t="shared" si="160"/>
        <v>GSOU_0433</v>
      </c>
      <c r="B2572" t="str">
        <f t="shared" si="161"/>
        <v>GSOU_Gardens Multipurpose Building</v>
      </c>
      <c r="C2572" t="s">
        <v>449</v>
      </c>
      <c r="D2572" s="180" t="s">
        <v>30</v>
      </c>
      <c r="E2572" t="s">
        <v>5318</v>
      </c>
      <c r="F2572" t="s">
        <v>5319</v>
      </c>
      <c r="G2572" s="180">
        <v>800</v>
      </c>
      <c r="H2572">
        <v>2002</v>
      </c>
      <c r="J2572" s="1334" t="s">
        <v>475</v>
      </c>
      <c r="K2572" s="1335" t="s">
        <v>475</v>
      </c>
      <c r="L2572" s="180">
        <v>100</v>
      </c>
      <c r="M2572" t="s">
        <v>80</v>
      </c>
      <c r="N2572" t="str">
        <f t="shared" si="162"/>
        <v>Gardens Multipurpose Building (0433)</v>
      </c>
      <c r="O2572" t="s">
        <v>44</v>
      </c>
      <c r="P2572" t="str">
        <f t="shared" si="163"/>
        <v>39000_0433</v>
      </c>
      <c r="Q2572" s="180">
        <v>0</v>
      </c>
    </row>
    <row r="2573" spans="1:17">
      <c r="A2573" t="str">
        <f t="shared" si="160"/>
        <v>GSOU_0434</v>
      </c>
      <c r="B2573" t="str">
        <f t="shared" si="161"/>
        <v>GSOU_WildlifeCtrCampground Restroom</v>
      </c>
      <c r="C2573" t="s">
        <v>449</v>
      </c>
      <c r="D2573" s="180" t="s">
        <v>30</v>
      </c>
      <c r="E2573" t="s">
        <v>5320</v>
      </c>
      <c r="F2573" t="s">
        <v>5321</v>
      </c>
      <c r="G2573" s="180">
        <v>707</v>
      </c>
      <c r="H2573">
        <v>2004</v>
      </c>
      <c r="J2573" s="1334" t="s">
        <v>475</v>
      </c>
      <c r="K2573" s="1335" t="s">
        <v>475</v>
      </c>
      <c r="L2573" s="180">
        <v>100</v>
      </c>
      <c r="M2573" t="s">
        <v>80</v>
      </c>
      <c r="N2573" t="str">
        <f t="shared" si="162"/>
        <v>WildlifeCtrCampground Restroom (0434)</v>
      </c>
      <c r="O2573" t="s">
        <v>44</v>
      </c>
      <c r="P2573" t="str">
        <f t="shared" si="163"/>
        <v>39000_0434</v>
      </c>
      <c r="Q2573" s="180">
        <v>0</v>
      </c>
    </row>
    <row r="2574" spans="1:17">
      <c r="A2574" t="str">
        <f t="shared" si="160"/>
        <v>GSOU_0435</v>
      </c>
      <c r="B2574" t="str">
        <f t="shared" si="161"/>
        <v>GSOU_Counseling Center</v>
      </c>
      <c r="C2574" t="s">
        <v>449</v>
      </c>
      <c r="D2574" s="180" t="s">
        <v>30</v>
      </c>
      <c r="E2574" t="s">
        <v>4765</v>
      </c>
      <c r="F2574" t="s">
        <v>5518</v>
      </c>
      <c r="G2574" s="180">
        <v>8392</v>
      </c>
      <c r="H2574">
        <v>1996</v>
      </c>
      <c r="J2574" s="1334" t="s">
        <v>475</v>
      </c>
      <c r="K2574" s="1335" t="s">
        <v>475</v>
      </c>
      <c r="L2574" s="180">
        <v>100</v>
      </c>
      <c r="M2574" t="s">
        <v>80</v>
      </c>
      <c r="N2574" t="str">
        <f t="shared" si="162"/>
        <v>Counseling Center (0435)</v>
      </c>
      <c r="O2574" t="s">
        <v>44</v>
      </c>
      <c r="P2574" t="str">
        <f t="shared" si="163"/>
        <v>39000_0435</v>
      </c>
      <c r="Q2574" s="180">
        <v>0</v>
      </c>
    </row>
    <row r="2575" spans="1:17">
      <c r="A2575" t="str">
        <f t="shared" si="160"/>
        <v>GSOU_0436</v>
      </c>
      <c r="B2575" t="str">
        <f t="shared" si="161"/>
        <v>GSOU_Eagle Village Community Center</v>
      </c>
      <c r="C2575" t="s">
        <v>449</v>
      </c>
      <c r="D2575" s="180" t="s">
        <v>30</v>
      </c>
      <c r="E2575" t="s">
        <v>5440</v>
      </c>
      <c r="F2575" t="s">
        <v>5441</v>
      </c>
      <c r="G2575" s="180">
        <v>10345</v>
      </c>
      <c r="H2575">
        <v>2004</v>
      </c>
      <c r="J2575" s="1334" t="s">
        <v>486</v>
      </c>
      <c r="K2575" s="1335" t="s">
        <v>475</v>
      </c>
      <c r="L2575" s="180">
        <v>0</v>
      </c>
      <c r="M2575" t="s">
        <v>80</v>
      </c>
      <c r="N2575" t="str">
        <f t="shared" si="162"/>
        <v>Eagle Village Community Center (0436)</v>
      </c>
      <c r="O2575" t="s">
        <v>44</v>
      </c>
      <c r="P2575" t="str">
        <f t="shared" si="163"/>
        <v>39000_0436</v>
      </c>
      <c r="Q2575" s="180">
        <v>0</v>
      </c>
    </row>
    <row r="2576" spans="1:17">
      <c r="A2576" t="str">
        <f t="shared" si="160"/>
        <v>GSOU_0437</v>
      </c>
      <c r="B2576" t="str">
        <f t="shared" si="161"/>
        <v>GSOU_NOC2</v>
      </c>
      <c r="C2576" t="s">
        <v>449</v>
      </c>
      <c r="D2576" s="180" t="s">
        <v>30</v>
      </c>
      <c r="E2576" t="s">
        <v>5535</v>
      </c>
      <c r="F2576" t="s">
        <v>5536</v>
      </c>
      <c r="G2576" s="180">
        <v>1500</v>
      </c>
      <c r="H2576">
        <v>2007</v>
      </c>
      <c r="J2576" s="1334" t="s">
        <v>475</v>
      </c>
      <c r="K2576" s="1335" t="s">
        <v>475</v>
      </c>
      <c r="L2576" s="180">
        <v>100</v>
      </c>
      <c r="M2576" t="s">
        <v>80</v>
      </c>
      <c r="N2576" t="str">
        <f t="shared" si="162"/>
        <v>NOC2 (0437)</v>
      </c>
      <c r="O2576" t="s">
        <v>44</v>
      </c>
      <c r="P2576" t="str">
        <f t="shared" si="163"/>
        <v>39000_0437</v>
      </c>
      <c r="Q2576" s="180">
        <v>0</v>
      </c>
    </row>
    <row r="2577" spans="1:17">
      <c r="A2577" t="str">
        <f t="shared" si="160"/>
        <v>GSOU_0439</v>
      </c>
      <c r="B2577" t="str">
        <f t="shared" si="161"/>
        <v>GSOU_Custodial Services</v>
      </c>
      <c r="C2577" t="s">
        <v>449</v>
      </c>
      <c r="D2577" s="180" t="s">
        <v>30</v>
      </c>
      <c r="E2577" t="s">
        <v>5420</v>
      </c>
      <c r="F2577" t="s">
        <v>7759</v>
      </c>
      <c r="G2577" s="180">
        <v>6401</v>
      </c>
      <c r="H2577">
        <v>1978</v>
      </c>
      <c r="I2577">
        <v>2008</v>
      </c>
      <c r="J2577" s="1334" t="s">
        <v>486</v>
      </c>
      <c r="K2577" s="1335" t="s">
        <v>475</v>
      </c>
      <c r="L2577" s="180">
        <v>100</v>
      </c>
      <c r="M2577" t="s">
        <v>80</v>
      </c>
      <c r="N2577" t="str">
        <f t="shared" si="162"/>
        <v>Custodial Services (0439)</v>
      </c>
      <c r="O2577" t="s">
        <v>44</v>
      </c>
      <c r="P2577" t="str">
        <f t="shared" si="163"/>
        <v>39000_0439</v>
      </c>
      <c r="Q2577" s="180">
        <v>0</v>
      </c>
    </row>
    <row r="2578" spans="1:17">
      <c r="A2578" t="str">
        <f t="shared" si="160"/>
        <v>GSOU_0440</v>
      </c>
      <c r="B2578" t="str">
        <f t="shared" si="161"/>
        <v>GSOU_Southern Courtyard - Comm.Ctr.</v>
      </c>
      <c r="C2578" t="s">
        <v>449</v>
      </c>
      <c r="D2578" s="180" t="s">
        <v>30</v>
      </c>
      <c r="E2578" t="s">
        <v>4767</v>
      </c>
      <c r="F2578" t="s">
        <v>5190</v>
      </c>
      <c r="G2578" s="180">
        <v>5094</v>
      </c>
      <c r="H2578">
        <v>2003</v>
      </c>
      <c r="J2578" s="1334" t="s">
        <v>486</v>
      </c>
      <c r="K2578" s="1335" t="s">
        <v>475</v>
      </c>
      <c r="L2578" s="180">
        <v>0</v>
      </c>
      <c r="M2578" t="s">
        <v>80</v>
      </c>
      <c r="N2578" t="str">
        <f t="shared" si="162"/>
        <v>Southern Courtyard - Comm.Ctr. (0440)</v>
      </c>
      <c r="O2578" t="s">
        <v>44</v>
      </c>
      <c r="P2578" t="str">
        <f t="shared" si="163"/>
        <v>39000_0440</v>
      </c>
      <c r="Q2578" s="180">
        <v>0</v>
      </c>
    </row>
    <row r="2579" spans="1:17">
      <c r="A2579" t="str">
        <f t="shared" si="160"/>
        <v>GSOU_0441</v>
      </c>
      <c r="B2579" t="str">
        <f t="shared" si="161"/>
        <v>GSOU_Southern Pines--Community Ctr.</v>
      </c>
      <c r="C2579" t="s">
        <v>449</v>
      </c>
      <c r="D2579" s="180" t="s">
        <v>30</v>
      </c>
      <c r="E2579" t="s">
        <v>4830</v>
      </c>
      <c r="F2579" t="s">
        <v>5429</v>
      </c>
      <c r="G2579" s="180">
        <v>6492</v>
      </c>
      <c r="H2579">
        <v>2003</v>
      </c>
      <c r="J2579" s="1334" t="s">
        <v>486</v>
      </c>
      <c r="K2579" s="1335" t="s">
        <v>475</v>
      </c>
      <c r="L2579" s="180">
        <v>0</v>
      </c>
      <c r="M2579" t="s">
        <v>80</v>
      </c>
      <c r="N2579" t="str">
        <f t="shared" si="162"/>
        <v>Southern Pines--Community Ctr. (0441)</v>
      </c>
      <c r="O2579" t="s">
        <v>44</v>
      </c>
      <c r="P2579" t="str">
        <f t="shared" si="163"/>
        <v>39000_0441</v>
      </c>
      <c r="Q2579" s="180">
        <v>0</v>
      </c>
    </row>
    <row r="2580" spans="1:17">
      <c r="A2580" t="str">
        <f t="shared" si="160"/>
        <v>GSOU_0442</v>
      </c>
      <c r="B2580" t="str">
        <f t="shared" si="161"/>
        <v>GSOU_Stadium Maintenance Facility</v>
      </c>
      <c r="C2580" t="s">
        <v>449</v>
      </c>
      <c r="D2580" s="180" t="s">
        <v>30</v>
      </c>
      <c r="E2580" t="s">
        <v>5192</v>
      </c>
      <c r="F2580" t="s">
        <v>5193</v>
      </c>
      <c r="G2580" s="180">
        <v>1800</v>
      </c>
      <c r="H2580">
        <v>2006</v>
      </c>
      <c r="J2580" s="1334" t="s">
        <v>475</v>
      </c>
      <c r="K2580" s="1335" t="s">
        <v>475</v>
      </c>
      <c r="L2580" s="180">
        <v>0</v>
      </c>
      <c r="M2580" t="s">
        <v>80</v>
      </c>
      <c r="N2580" t="str">
        <f t="shared" si="162"/>
        <v>Stadium Maintenance Facility (0442)</v>
      </c>
      <c r="O2580" t="s">
        <v>44</v>
      </c>
      <c r="P2580" t="str">
        <f t="shared" si="163"/>
        <v>39000_0442</v>
      </c>
      <c r="Q2580" s="180">
        <v>0</v>
      </c>
    </row>
    <row r="2581" spans="1:17">
      <c r="A2581" t="str">
        <f t="shared" si="160"/>
        <v>GSOU_0443</v>
      </c>
      <c r="B2581" t="str">
        <f t="shared" si="161"/>
        <v>GSOU_Cambridge - Bldg. 1</v>
      </c>
      <c r="C2581" t="s">
        <v>449</v>
      </c>
      <c r="D2581" s="180" t="s">
        <v>30</v>
      </c>
      <c r="E2581" t="s">
        <v>5269</v>
      </c>
      <c r="F2581" t="s">
        <v>5270</v>
      </c>
      <c r="G2581" s="180">
        <v>2857</v>
      </c>
      <c r="H2581">
        <v>1957</v>
      </c>
      <c r="J2581" s="1334" t="s">
        <v>475</v>
      </c>
      <c r="K2581" s="1335" t="s">
        <v>475</v>
      </c>
      <c r="L2581" s="180">
        <v>100</v>
      </c>
      <c r="M2581" t="s">
        <v>80</v>
      </c>
      <c r="N2581" t="str">
        <f t="shared" si="162"/>
        <v>Cambridge - Bldg. 1 (0443)</v>
      </c>
      <c r="O2581" t="s">
        <v>44</v>
      </c>
      <c r="P2581" t="str">
        <f t="shared" si="163"/>
        <v>39000_0443</v>
      </c>
      <c r="Q2581" s="180">
        <v>0</v>
      </c>
    </row>
    <row r="2582" spans="1:17">
      <c r="A2582" t="str">
        <f t="shared" si="160"/>
        <v>GSOU_0444</v>
      </c>
      <c r="B2582" t="str">
        <f t="shared" si="161"/>
        <v>GSOU_Cambridge - Bldg. 2</v>
      </c>
      <c r="C2582" t="s">
        <v>449</v>
      </c>
      <c r="D2582" s="180" t="s">
        <v>30</v>
      </c>
      <c r="E2582" t="s">
        <v>5404</v>
      </c>
      <c r="F2582" t="s">
        <v>5405</v>
      </c>
      <c r="G2582" s="180">
        <v>8134</v>
      </c>
      <c r="H2582">
        <v>1957</v>
      </c>
      <c r="J2582" s="1334" t="s">
        <v>475</v>
      </c>
      <c r="K2582" s="1335" t="s">
        <v>475</v>
      </c>
      <c r="L2582" s="180">
        <v>100</v>
      </c>
      <c r="M2582" t="s">
        <v>80</v>
      </c>
      <c r="N2582" t="str">
        <f t="shared" si="162"/>
        <v>Cambridge - Bldg. 2 (0444)</v>
      </c>
      <c r="O2582" t="s">
        <v>44</v>
      </c>
      <c r="P2582" t="str">
        <f t="shared" si="163"/>
        <v>39000_0444</v>
      </c>
      <c r="Q2582" s="180">
        <v>0</v>
      </c>
    </row>
    <row r="2583" spans="1:17">
      <c r="A2583" t="str">
        <f t="shared" si="160"/>
        <v>GSOU_0445</v>
      </c>
      <c r="B2583" t="str">
        <f t="shared" si="161"/>
        <v>GSOU_Chester Building</v>
      </c>
      <c r="C2583" t="s">
        <v>449</v>
      </c>
      <c r="D2583" s="180" t="s">
        <v>30</v>
      </c>
      <c r="E2583" t="s">
        <v>4812</v>
      </c>
      <c r="F2583" t="s">
        <v>5526</v>
      </c>
      <c r="G2583" s="180">
        <v>5158</v>
      </c>
      <c r="H2583">
        <v>1974</v>
      </c>
      <c r="J2583" s="1334" t="s">
        <v>475</v>
      </c>
      <c r="K2583" s="1335" t="s">
        <v>475</v>
      </c>
      <c r="L2583" s="180">
        <v>100</v>
      </c>
      <c r="M2583" t="s">
        <v>80</v>
      </c>
      <c r="N2583" t="str">
        <f t="shared" si="162"/>
        <v>Chester Building (0445)</v>
      </c>
      <c r="O2583" t="s">
        <v>44</v>
      </c>
      <c r="P2583" t="str">
        <f t="shared" si="163"/>
        <v>39000_0445</v>
      </c>
      <c r="Q2583" s="180">
        <v>0</v>
      </c>
    </row>
    <row r="2584" spans="1:17">
      <c r="A2584" t="str">
        <f t="shared" si="160"/>
        <v>GSOU_0446</v>
      </c>
      <c r="B2584" t="str">
        <f t="shared" si="161"/>
        <v>GSOU_Carpentry Shop</v>
      </c>
      <c r="C2584" t="s">
        <v>449</v>
      </c>
      <c r="D2584" s="180" t="s">
        <v>30</v>
      </c>
      <c r="E2584" t="s">
        <v>5167</v>
      </c>
      <c r="F2584" t="s">
        <v>7760</v>
      </c>
      <c r="G2584" s="180">
        <v>5210</v>
      </c>
      <c r="H2584">
        <v>1970</v>
      </c>
      <c r="J2584" s="1334" t="s">
        <v>475</v>
      </c>
      <c r="K2584" s="1335" t="s">
        <v>475</v>
      </c>
      <c r="L2584" s="180">
        <v>100</v>
      </c>
      <c r="M2584" t="s">
        <v>80</v>
      </c>
      <c r="N2584" t="str">
        <f t="shared" si="162"/>
        <v>Carpentry Shop (0446)</v>
      </c>
      <c r="O2584" t="s">
        <v>44</v>
      </c>
      <c r="P2584" t="str">
        <f t="shared" si="163"/>
        <v>39000_0446</v>
      </c>
      <c r="Q2584" s="180">
        <v>0</v>
      </c>
    </row>
    <row r="2585" spans="1:17">
      <c r="A2585" t="str">
        <f t="shared" si="160"/>
        <v>GSOU_0447</v>
      </c>
      <c r="B2585" t="str">
        <f t="shared" si="161"/>
        <v>GSOU_Landscape Services</v>
      </c>
      <c r="C2585" t="s">
        <v>449</v>
      </c>
      <c r="D2585" s="180" t="s">
        <v>30</v>
      </c>
      <c r="E2585" t="s">
        <v>5273</v>
      </c>
      <c r="F2585" t="s">
        <v>7761</v>
      </c>
      <c r="G2585" s="180">
        <v>10400</v>
      </c>
      <c r="H2585">
        <v>1990</v>
      </c>
      <c r="I2585">
        <v>2010</v>
      </c>
      <c r="J2585" s="1334" t="s">
        <v>475</v>
      </c>
      <c r="K2585" s="1335" t="s">
        <v>475</v>
      </c>
      <c r="L2585" s="180">
        <v>100</v>
      </c>
      <c r="M2585" t="s">
        <v>80</v>
      </c>
      <c r="N2585" t="str">
        <f t="shared" si="162"/>
        <v>Landscape Services (0447)</v>
      </c>
      <c r="O2585" t="s">
        <v>44</v>
      </c>
      <c r="P2585" t="str">
        <f t="shared" si="163"/>
        <v>39000_0447</v>
      </c>
      <c r="Q2585" s="180">
        <v>0</v>
      </c>
    </row>
    <row r="2586" spans="1:17">
      <c r="A2586" t="str">
        <f t="shared" si="160"/>
        <v>GSOU_0448</v>
      </c>
      <c r="B2586" t="str">
        <f t="shared" si="161"/>
        <v>GSOU_Facilities Services Shops</v>
      </c>
      <c r="C2586" t="s">
        <v>449</v>
      </c>
      <c r="D2586" s="180" t="s">
        <v>30</v>
      </c>
      <c r="E2586" t="s">
        <v>5220</v>
      </c>
      <c r="F2586" t="s">
        <v>5221</v>
      </c>
      <c r="G2586" s="180">
        <v>21500</v>
      </c>
      <c r="H2586">
        <v>1976</v>
      </c>
      <c r="I2586">
        <v>2013</v>
      </c>
      <c r="J2586" s="1334" t="s">
        <v>475</v>
      </c>
      <c r="K2586" s="1335" t="s">
        <v>475</v>
      </c>
      <c r="L2586" s="180">
        <v>100</v>
      </c>
      <c r="M2586" t="s">
        <v>80</v>
      </c>
      <c r="N2586" t="str">
        <f t="shared" si="162"/>
        <v>Facilities Services Shops (0448)</v>
      </c>
      <c r="O2586" t="s">
        <v>44</v>
      </c>
      <c r="P2586" t="str">
        <f t="shared" si="163"/>
        <v>39000_0448</v>
      </c>
      <c r="Q2586" s="180">
        <v>0</v>
      </c>
    </row>
    <row r="2587" spans="1:17">
      <c r="A2587" t="str">
        <f t="shared" si="160"/>
        <v>GSOU_0449</v>
      </c>
      <c r="B2587" t="str">
        <f t="shared" si="161"/>
        <v>GSOU_Facilities Svcs Shops Storage</v>
      </c>
      <c r="C2587" t="s">
        <v>449</v>
      </c>
      <c r="D2587" s="180" t="s">
        <v>30</v>
      </c>
      <c r="E2587" t="s">
        <v>5302</v>
      </c>
      <c r="F2587" t="s">
        <v>5303</v>
      </c>
      <c r="G2587" s="180">
        <v>2400</v>
      </c>
      <c r="H2587">
        <v>2014</v>
      </c>
      <c r="J2587" s="1334" t="s">
        <v>475</v>
      </c>
      <c r="K2587" s="1335" t="s">
        <v>475</v>
      </c>
      <c r="L2587" s="180">
        <v>100</v>
      </c>
      <c r="M2587" t="s">
        <v>80</v>
      </c>
      <c r="N2587" t="str">
        <f t="shared" si="162"/>
        <v>Facilities Svcs Shops Storage (0449)</v>
      </c>
      <c r="O2587" t="s">
        <v>44</v>
      </c>
      <c r="P2587" t="str">
        <f t="shared" si="163"/>
        <v>39000_0449</v>
      </c>
      <c r="Q2587" s="180">
        <v>0</v>
      </c>
    </row>
    <row r="2588" spans="1:17">
      <c r="A2588" t="str">
        <f t="shared" si="160"/>
        <v>GSOU_0450</v>
      </c>
      <c r="B2588" t="str">
        <f t="shared" si="161"/>
        <v>GSOU_Facilities Services Admin Bldg</v>
      </c>
      <c r="C2588" t="s">
        <v>449</v>
      </c>
      <c r="D2588" s="180" t="s">
        <v>30</v>
      </c>
      <c r="E2588" t="s">
        <v>4920</v>
      </c>
      <c r="F2588" t="s">
        <v>5310</v>
      </c>
      <c r="G2588" s="180">
        <v>23673</v>
      </c>
      <c r="H2588">
        <v>2010</v>
      </c>
      <c r="J2588" s="1334" t="s">
        <v>475</v>
      </c>
      <c r="K2588" s="1335" t="s">
        <v>475</v>
      </c>
      <c r="L2588" s="180">
        <v>100</v>
      </c>
      <c r="M2588" t="s">
        <v>80</v>
      </c>
      <c r="N2588" t="str">
        <f t="shared" si="162"/>
        <v>Facilities Services Admin Bldg (0450)</v>
      </c>
      <c r="O2588" t="s">
        <v>44</v>
      </c>
      <c r="P2588" t="str">
        <f t="shared" si="163"/>
        <v>39000_0450</v>
      </c>
      <c r="Q2588" s="180">
        <v>0</v>
      </c>
    </row>
    <row r="2589" spans="1:17">
      <c r="A2589" t="str">
        <f t="shared" si="160"/>
        <v>GSOU_0451</v>
      </c>
      <c r="B2589" t="str">
        <f t="shared" si="161"/>
        <v>GSOU_Grounds Storage Shelter</v>
      </c>
      <c r="C2589" t="s">
        <v>449</v>
      </c>
      <c r="D2589" s="180" t="s">
        <v>30</v>
      </c>
      <c r="E2589" t="s">
        <v>5132</v>
      </c>
      <c r="F2589" t="s">
        <v>5133</v>
      </c>
      <c r="G2589" s="180">
        <v>1229</v>
      </c>
      <c r="H2589">
        <v>2011</v>
      </c>
      <c r="J2589" s="1334" t="s">
        <v>475</v>
      </c>
      <c r="K2589" s="1335" t="s">
        <v>475</v>
      </c>
      <c r="L2589" s="180">
        <v>100</v>
      </c>
      <c r="M2589" t="s">
        <v>80</v>
      </c>
      <c r="N2589" t="str">
        <f t="shared" si="162"/>
        <v>Grounds Storage Shelter (0451)</v>
      </c>
      <c r="O2589" t="s">
        <v>44</v>
      </c>
      <c r="P2589" t="str">
        <f t="shared" si="163"/>
        <v>39000_0451</v>
      </c>
      <c r="Q2589" s="180">
        <v>0</v>
      </c>
    </row>
    <row r="2590" spans="1:17">
      <c r="A2590" t="str">
        <f t="shared" si="160"/>
        <v>GSOU_0452</v>
      </c>
      <c r="B2590" t="str">
        <f t="shared" si="161"/>
        <v>GSOU_Greenhouse</v>
      </c>
      <c r="C2590" t="s">
        <v>449</v>
      </c>
      <c r="D2590" s="180" t="s">
        <v>30</v>
      </c>
      <c r="E2590" t="s">
        <v>5181</v>
      </c>
      <c r="F2590" t="s">
        <v>1278</v>
      </c>
      <c r="G2590" s="180">
        <v>1809</v>
      </c>
      <c r="H2590">
        <v>2011</v>
      </c>
      <c r="J2590" s="1334" t="s">
        <v>475</v>
      </c>
      <c r="K2590" s="1335" t="s">
        <v>475</v>
      </c>
      <c r="L2590" s="180">
        <v>100</v>
      </c>
      <c r="M2590" t="s">
        <v>80</v>
      </c>
      <c r="N2590" t="str">
        <f t="shared" si="162"/>
        <v>Greenhouse (0452)</v>
      </c>
      <c r="O2590" t="s">
        <v>44</v>
      </c>
      <c r="P2590" t="str">
        <f t="shared" si="163"/>
        <v>39000_0452</v>
      </c>
      <c r="Q2590" s="180">
        <v>0</v>
      </c>
    </row>
    <row r="2591" spans="1:17">
      <c r="A2591" t="str">
        <f t="shared" si="160"/>
        <v>GSOU_0453</v>
      </c>
      <c r="B2591" t="str">
        <f t="shared" si="161"/>
        <v>GSOU_Wash Bay</v>
      </c>
      <c r="C2591" t="s">
        <v>449</v>
      </c>
      <c r="D2591" s="180" t="s">
        <v>30</v>
      </c>
      <c r="E2591" t="s">
        <v>5448</v>
      </c>
      <c r="F2591" t="s">
        <v>5449</v>
      </c>
      <c r="G2591" s="180">
        <v>462</v>
      </c>
      <c r="H2591">
        <v>2011</v>
      </c>
      <c r="J2591" s="1334" t="s">
        <v>475</v>
      </c>
      <c r="K2591" s="1335" t="s">
        <v>475</v>
      </c>
      <c r="L2591" s="180">
        <v>100</v>
      </c>
      <c r="M2591" t="s">
        <v>80</v>
      </c>
      <c r="N2591" t="str">
        <f t="shared" si="162"/>
        <v>Wash Bay (0453)</v>
      </c>
      <c r="O2591" t="s">
        <v>44</v>
      </c>
      <c r="P2591" t="str">
        <f t="shared" si="163"/>
        <v>39000_0453</v>
      </c>
      <c r="Q2591" s="180">
        <v>0</v>
      </c>
    </row>
    <row r="2592" spans="1:17">
      <c r="A2592" t="str">
        <f t="shared" si="160"/>
        <v>GSOU_0454</v>
      </c>
      <c r="B2592" t="str">
        <f t="shared" si="161"/>
        <v>GSOU_Large Equipment Shelter</v>
      </c>
      <c r="C2592" t="s">
        <v>449</v>
      </c>
      <c r="D2592" s="180" t="s">
        <v>30</v>
      </c>
      <c r="E2592" t="s">
        <v>5168</v>
      </c>
      <c r="F2592" t="s">
        <v>5169</v>
      </c>
      <c r="G2592" s="180">
        <v>2121</v>
      </c>
      <c r="H2592">
        <v>2011</v>
      </c>
      <c r="J2592" s="1334" t="s">
        <v>475</v>
      </c>
      <c r="K2592" s="1335" t="s">
        <v>475</v>
      </c>
      <c r="L2592" s="180">
        <v>100</v>
      </c>
      <c r="M2592" t="s">
        <v>80</v>
      </c>
      <c r="N2592" t="str">
        <f t="shared" si="162"/>
        <v>Large Equipment Shelter (0454)</v>
      </c>
      <c r="O2592" t="s">
        <v>44</v>
      </c>
      <c r="P2592" t="str">
        <f t="shared" si="163"/>
        <v>39000_0454</v>
      </c>
      <c r="Q2592" s="180">
        <v>0</v>
      </c>
    </row>
    <row r="2593" spans="1:17">
      <c r="A2593" t="str">
        <f t="shared" si="160"/>
        <v>GSOU_0455</v>
      </c>
      <c r="B2593" t="str">
        <f t="shared" si="161"/>
        <v>GSOU_Facilities Serv. Cart Storage</v>
      </c>
      <c r="C2593" t="s">
        <v>449</v>
      </c>
      <c r="D2593" s="180" t="s">
        <v>30</v>
      </c>
      <c r="E2593" t="s">
        <v>5261</v>
      </c>
      <c r="F2593" t="s">
        <v>5262</v>
      </c>
      <c r="G2593" s="180">
        <v>240</v>
      </c>
      <c r="H2593">
        <v>2010</v>
      </c>
      <c r="J2593" s="1334" t="s">
        <v>475</v>
      </c>
      <c r="K2593" s="1335" t="s">
        <v>475</v>
      </c>
      <c r="L2593" s="180">
        <v>100</v>
      </c>
      <c r="M2593" t="s">
        <v>80</v>
      </c>
      <c r="N2593" t="str">
        <f t="shared" si="162"/>
        <v>Facilities Serv. Cart Storage (0455)</v>
      </c>
      <c r="O2593" t="s">
        <v>44</v>
      </c>
      <c r="P2593" t="str">
        <f t="shared" si="163"/>
        <v>39000_0455</v>
      </c>
      <c r="Q2593" s="180">
        <v>0</v>
      </c>
    </row>
    <row r="2594" spans="1:17">
      <c r="A2594" t="str">
        <f t="shared" si="160"/>
        <v>GSOU_0459</v>
      </c>
      <c r="B2594" t="str">
        <f t="shared" si="161"/>
        <v>GSOU_Water ReUse Pump House</v>
      </c>
      <c r="C2594" t="s">
        <v>449</v>
      </c>
      <c r="D2594" s="180" t="s">
        <v>30</v>
      </c>
      <c r="E2594" t="s">
        <v>5455</v>
      </c>
      <c r="F2594" t="s">
        <v>5456</v>
      </c>
      <c r="G2594" s="180">
        <v>740</v>
      </c>
      <c r="H2594">
        <v>2011</v>
      </c>
      <c r="J2594" s="1334" t="s">
        <v>475</v>
      </c>
      <c r="K2594" s="1335" t="s">
        <v>475</v>
      </c>
      <c r="L2594" s="180">
        <v>100</v>
      </c>
      <c r="M2594" t="s">
        <v>80</v>
      </c>
      <c r="N2594" t="str">
        <f t="shared" si="162"/>
        <v>Water ReUse Pump House (0459)</v>
      </c>
      <c r="O2594" t="s">
        <v>44</v>
      </c>
      <c r="P2594" t="str">
        <f t="shared" si="163"/>
        <v>39000_0459</v>
      </c>
      <c r="Q2594" s="180">
        <v>0</v>
      </c>
    </row>
    <row r="2595" spans="1:17">
      <c r="A2595" t="str">
        <f t="shared" si="160"/>
        <v>GSOU_0460</v>
      </c>
      <c r="B2595" t="str">
        <f t="shared" si="161"/>
        <v>GSOU_NOC3</v>
      </c>
      <c r="C2595" t="s">
        <v>449</v>
      </c>
      <c r="D2595" s="180" t="s">
        <v>30</v>
      </c>
      <c r="E2595" t="s">
        <v>4850</v>
      </c>
      <c r="F2595" t="s">
        <v>5495</v>
      </c>
      <c r="G2595" s="180">
        <v>3371</v>
      </c>
      <c r="H2595">
        <v>2018</v>
      </c>
      <c r="J2595" s="1334" t="s">
        <v>475</v>
      </c>
      <c r="K2595" s="1335" t="s">
        <v>475</v>
      </c>
      <c r="L2595" s="180">
        <v>100</v>
      </c>
      <c r="M2595" t="s">
        <v>80</v>
      </c>
      <c r="N2595" t="str">
        <f t="shared" si="162"/>
        <v>NOC3 (0460)</v>
      </c>
      <c r="O2595" t="s">
        <v>44</v>
      </c>
      <c r="P2595" t="str">
        <f t="shared" si="163"/>
        <v>39000_0460</v>
      </c>
      <c r="Q2595" s="180">
        <v>0</v>
      </c>
    </row>
    <row r="2596" spans="1:17">
      <c r="A2596" t="str">
        <f t="shared" si="160"/>
        <v>GSOU_0461</v>
      </c>
      <c r="B2596" t="str">
        <f t="shared" si="161"/>
        <v>GSOU_DFS Truck Parking</v>
      </c>
      <c r="C2596" t="s">
        <v>449</v>
      </c>
      <c r="D2596" s="180" t="s">
        <v>30</v>
      </c>
      <c r="E2596" t="s">
        <v>5334</v>
      </c>
      <c r="F2596" t="s">
        <v>7762</v>
      </c>
      <c r="G2596" s="180">
        <v>810</v>
      </c>
      <c r="H2596">
        <v>2012</v>
      </c>
      <c r="J2596" s="1334" t="s">
        <v>475</v>
      </c>
      <c r="K2596" s="1335" t="s">
        <v>475</v>
      </c>
      <c r="L2596" s="180">
        <v>100</v>
      </c>
      <c r="M2596" t="s">
        <v>80</v>
      </c>
      <c r="N2596" t="str">
        <f t="shared" si="162"/>
        <v>DFS Truck Parking (0461)</v>
      </c>
      <c r="O2596" t="s">
        <v>44</v>
      </c>
      <c r="P2596" t="str">
        <f t="shared" si="163"/>
        <v>39000_0461</v>
      </c>
      <c r="Q2596" s="180">
        <v>0</v>
      </c>
    </row>
    <row r="2597" spans="1:17">
      <c r="A2597" t="str">
        <f t="shared" si="160"/>
        <v>GSOU_0462</v>
      </c>
      <c r="B2597" t="str">
        <f t="shared" si="161"/>
        <v>GSOU_DFS Strorage</v>
      </c>
      <c r="C2597" t="s">
        <v>449</v>
      </c>
      <c r="D2597" s="180" t="s">
        <v>30</v>
      </c>
      <c r="E2597" t="s">
        <v>5210</v>
      </c>
      <c r="F2597" t="s">
        <v>7763</v>
      </c>
      <c r="G2597" s="180">
        <v>900</v>
      </c>
      <c r="H2597">
        <v>2012</v>
      </c>
      <c r="J2597" s="1334" t="s">
        <v>475</v>
      </c>
      <c r="K2597" s="1335" t="s">
        <v>475</v>
      </c>
      <c r="L2597" s="180">
        <v>100</v>
      </c>
      <c r="M2597" t="s">
        <v>80</v>
      </c>
      <c r="N2597" t="str">
        <f t="shared" si="162"/>
        <v>DFS Strorage (0462)</v>
      </c>
      <c r="O2597" t="s">
        <v>44</v>
      </c>
      <c r="P2597" t="str">
        <f t="shared" si="163"/>
        <v>39000_0462</v>
      </c>
      <c r="Q2597" s="180">
        <v>0</v>
      </c>
    </row>
    <row r="2598" spans="1:17">
      <c r="A2598" t="str">
        <f t="shared" si="160"/>
        <v>GSOU_0463</v>
      </c>
      <c r="B2598" t="str">
        <f t="shared" si="161"/>
        <v>GSOU_Well House 2</v>
      </c>
      <c r="C2598" t="s">
        <v>449</v>
      </c>
      <c r="D2598" s="180" t="s">
        <v>30</v>
      </c>
      <c r="E2598" t="s">
        <v>5416</v>
      </c>
      <c r="F2598" t="s">
        <v>5417</v>
      </c>
      <c r="G2598" s="180">
        <v>600</v>
      </c>
      <c r="H2598">
        <v>2013</v>
      </c>
      <c r="J2598" s="1334" t="s">
        <v>475</v>
      </c>
      <c r="K2598" s="1335" t="s">
        <v>475</v>
      </c>
      <c r="L2598" s="180">
        <v>100</v>
      </c>
      <c r="M2598" t="s">
        <v>80</v>
      </c>
      <c r="N2598" t="str">
        <f t="shared" si="162"/>
        <v>Well House 2 (0463)</v>
      </c>
      <c r="O2598" t="s">
        <v>44</v>
      </c>
      <c r="P2598" t="str">
        <f t="shared" si="163"/>
        <v>39000_0463</v>
      </c>
      <c r="Q2598" s="180">
        <v>0</v>
      </c>
    </row>
    <row r="2599" spans="1:17">
      <c r="A2599" t="str">
        <f t="shared" si="160"/>
        <v>GSOU_0464</v>
      </c>
      <c r="B2599" t="str">
        <f t="shared" si="161"/>
        <v>GSOU_Health Services</v>
      </c>
      <c r="C2599" t="s">
        <v>449</v>
      </c>
      <c r="D2599" s="180" t="s">
        <v>30</v>
      </c>
      <c r="E2599" t="s">
        <v>5494</v>
      </c>
      <c r="F2599" t="s">
        <v>7764</v>
      </c>
      <c r="G2599" s="180">
        <v>37450</v>
      </c>
      <c r="H2599">
        <v>2015</v>
      </c>
      <c r="J2599" s="1334" t="s">
        <v>475</v>
      </c>
      <c r="K2599" s="1335" t="s">
        <v>475</v>
      </c>
      <c r="L2599" s="180">
        <v>0</v>
      </c>
      <c r="M2599" t="s">
        <v>80</v>
      </c>
      <c r="N2599" t="str">
        <f t="shared" si="162"/>
        <v>Health Services (0464)</v>
      </c>
      <c r="O2599" t="s">
        <v>44</v>
      </c>
      <c r="P2599" t="str">
        <f t="shared" si="163"/>
        <v>39000_0464</v>
      </c>
      <c r="Q2599" s="180">
        <v>0</v>
      </c>
    </row>
    <row r="2600" spans="1:17">
      <c r="A2600" t="str">
        <f t="shared" si="160"/>
        <v>GSOU_0465</v>
      </c>
      <c r="B2600" t="str">
        <f t="shared" si="161"/>
        <v>GSOU_Dining Commons</v>
      </c>
      <c r="C2600" t="s">
        <v>449</v>
      </c>
      <c r="D2600" s="180" t="s">
        <v>30</v>
      </c>
      <c r="E2600" t="s">
        <v>4897</v>
      </c>
      <c r="F2600" t="s">
        <v>5443</v>
      </c>
      <c r="G2600" s="180">
        <v>73616</v>
      </c>
      <c r="H2600">
        <v>2012</v>
      </c>
      <c r="J2600" s="1334" t="s">
        <v>486</v>
      </c>
      <c r="K2600" s="1335" t="s">
        <v>475</v>
      </c>
      <c r="L2600" s="180">
        <v>0</v>
      </c>
      <c r="M2600" t="s">
        <v>80</v>
      </c>
      <c r="N2600" t="str">
        <f t="shared" si="162"/>
        <v>Dining Commons (0465)</v>
      </c>
      <c r="O2600" t="s">
        <v>44</v>
      </c>
      <c r="P2600" t="str">
        <f t="shared" si="163"/>
        <v>39000_0465</v>
      </c>
      <c r="Q2600" s="180">
        <v>0</v>
      </c>
    </row>
    <row r="2601" spans="1:17">
      <c r="A2601" t="str">
        <f t="shared" si="160"/>
        <v>GSOU_0466</v>
      </c>
      <c r="B2601" t="str">
        <f t="shared" si="161"/>
        <v>GSOU_Central Warehouse-South Campus</v>
      </c>
      <c r="C2601" t="s">
        <v>449</v>
      </c>
      <c r="D2601" s="180" t="s">
        <v>30</v>
      </c>
      <c r="E2601" t="s">
        <v>5362</v>
      </c>
      <c r="F2601" t="s">
        <v>5363</v>
      </c>
      <c r="G2601" s="180">
        <v>57333</v>
      </c>
      <c r="H2601">
        <v>2015</v>
      </c>
      <c r="J2601" s="1334" t="s">
        <v>475</v>
      </c>
      <c r="K2601" s="1335" t="s">
        <v>475</v>
      </c>
      <c r="L2601" s="180">
        <v>100</v>
      </c>
      <c r="M2601" t="s">
        <v>80</v>
      </c>
      <c r="N2601" t="str">
        <f t="shared" si="162"/>
        <v>Central Warehouse-South Campus (0466)</v>
      </c>
      <c r="O2601" t="s">
        <v>44</v>
      </c>
      <c r="P2601" t="str">
        <f t="shared" si="163"/>
        <v>39000_0466</v>
      </c>
      <c r="Q2601" s="180">
        <v>0</v>
      </c>
    </row>
    <row r="2602" spans="1:17">
      <c r="A2602" t="str">
        <f t="shared" si="160"/>
        <v>GSOU_0467</v>
      </c>
      <c r="B2602" t="str">
        <f t="shared" si="161"/>
        <v>GSOU_Central Warehouse Storage</v>
      </c>
      <c r="C2602" t="s">
        <v>449</v>
      </c>
      <c r="D2602" s="180" t="s">
        <v>30</v>
      </c>
      <c r="E2602" t="s">
        <v>7628</v>
      </c>
      <c r="F2602" t="s">
        <v>7765</v>
      </c>
      <c r="G2602" s="180">
        <v>3200</v>
      </c>
      <c r="H2602">
        <v>2022</v>
      </c>
      <c r="J2602" s="1334" t="s">
        <v>475</v>
      </c>
      <c r="K2602" s="1335" t="s">
        <v>920</v>
      </c>
      <c r="L2602" s="180">
        <v>100</v>
      </c>
      <c r="M2602" t="s">
        <v>80</v>
      </c>
      <c r="N2602" t="str">
        <f t="shared" si="162"/>
        <v>Central Warehouse Storage (0467)</v>
      </c>
      <c r="O2602" t="s">
        <v>44</v>
      </c>
      <c r="P2602" t="str">
        <f t="shared" si="163"/>
        <v>39000_0467</v>
      </c>
      <c r="Q2602" s="180">
        <v>0</v>
      </c>
    </row>
    <row r="2603" spans="1:17">
      <c r="A2603" t="str">
        <f t="shared" si="160"/>
        <v>GSOU_0500</v>
      </c>
      <c r="B2603" t="str">
        <f t="shared" si="161"/>
        <v>GSOU_Hanner Complex</v>
      </c>
      <c r="C2603" t="s">
        <v>449</v>
      </c>
      <c r="D2603" s="180" t="s">
        <v>30</v>
      </c>
      <c r="E2603" t="s">
        <v>5145</v>
      </c>
      <c r="F2603" t="s">
        <v>5146</v>
      </c>
      <c r="G2603" s="180">
        <v>158860</v>
      </c>
      <c r="H2603">
        <v>1955</v>
      </c>
      <c r="J2603" s="1334" t="s">
        <v>475</v>
      </c>
      <c r="K2603" s="1335" t="s">
        <v>475</v>
      </c>
      <c r="L2603" s="180">
        <v>100</v>
      </c>
      <c r="M2603" t="s">
        <v>80</v>
      </c>
      <c r="N2603" t="str">
        <f t="shared" si="162"/>
        <v>Hanner Complex (0500)</v>
      </c>
      <c r="O2603" t="s">
        <v>44</v>
      </c>
      <c r="P2603" t="str">
        <f t="shared" si="163"/>
        <v>39000_0500</v>
      </c>
      <c r="Q2603" s="180">
        <v>0</v>
      </c>
    </row>
    <row r="2604" spans="1:17">
      <c r="A2604" t="str">
        <f t="shared" si="160"/>
        <v>GSOU_0502</v>
      </c>
      <c r="B2604" t="str">
        <f t="shared" si="161"/>
        <v>GSOU_Iron Works</v>
      </c>
      <c r="C2604" t="s">
        <v>449</v>
      </c>
      <c r="D2604" s="180" t="s">
        <v>30</v>
      </c>
      <c r="E2604" t="s">
        <v>5205</v>
      </c>
      <c r="F2604" t="s">
        <v>5206</v>
      </c>
      <c r="G2604" s="180">
        <v>6118</v>
      </c>
      <c r="H2604">
        <v>1988</v>
      </c>
      <c r="I2604">
        <v>2005</v>
      </c>
      <c r="J2604" s="1334" t="s">
        <v>486</v>
      </c>
      <c r="K2604" s="1335" t="s">
        <v>475</v>
      </c>
      <c r="L2604" s="180">
        <v>0</v>
      </c>
      <c r="M2604" t="s">
        <v>80</v>
      </c>
      <c r="N2604" t="str">
        <f t="shared" si="162"/>
        <v>Iron Works (0502)</v>
      </c>
      <c r="O2604" t="s">
        <v>44</v>
      </c>
      <c r="P2604" t="str">
        <f t="shared" si="163"/>
        <v>39000_0502</v>
      </c>
      <c r="Q2604" s="180">
        <v>0</v>
      </c>
    </row>
    <row r="2605" spans="1:17">
      <c r="A2605" t="str">
        <f t="shared" si="160"/>
        <v>GSOU_0510</v>
      </c>
      <c r="B2605" t="str">
        <f t="shared" si="161"/>
        <v>GSOU_Wiggins Baseball Facility</v>
      </c>
      <c r="C2605" t="s">
        <v>449</v>
      </c>
      <c r="D2605" s="180" t="s">
        <v>30</v>
      </c>
      <c r="E2605" t="s">
        <v>4911</v>
      </c>
      <c r="F2605" t="s">
        <v>5447</v>
      </c>
      <c r="G2605" s="180">
        <v>6030</v>
      </c>
      <c r="H2605">
        <v>1996</v>
      </c>
      <c r="J2605" s="1334" t="s">
        <v>475</v>
      </c>
      <c r="K2605" s="1335" t="s">
        <v>475</v>
      </c>
      <c r="L2605" s="180">
        <v>0</v>
      </c>
      <c r="M2605" t="s">
        <v>80</v>
      </c>
      <c r="N2605" t="str">
        <f t="shared" si="162"/>
        <v>Wiggins Baseball Facility (0510)</v>
      </c>
      <c r="O2605" t="s">
        <v>44</v>
      </c>
      <c r="P2605" t="str">
        <f t="shared" si="163"/>
        <v>39000_0510</v>
      </c>
      <c r="Q2605" s="180">
        <v>0</v>
      </c>
    </row>
    <row r="2606" spans="1:17">
      <c r="A2606" t="str">
        <f t="shared" si="160"/>
        <v>GSOU_0511</v>
      </c>
      <c r="B2606" t="str">
        <f t="shared" si="161"/>
        <v>GSOU_RAC-Recreation Activity Center</v>
      </c>
      <c r="C2606" t="s">
        <v>449</v>
      </c>
      <c r="D2606" s="180" t="s">
        <v>30</v>
      </c>
      <c r="E2606" t="s">
        <v>5186</v>
      </c>
      <c r="F2606" t="s">
        <v>5187</v>
      </c>
      <c r="G2606" s="180">
        <v>220668</v>
      </c>
      <c r="H2606">
        <v>1998</v>
      </c>
      <c r="J2606" s="1334" t="s">
        <v>486</v>
      </c>
      <c r="K2606" s="1335" t="s">
        <v>475</v>
      </c>
      <c r="L2606" s="180">
        <v>100</v>
      </c>
      <c r="M2606" t="s">
        <v>80</v>
      </c>
      <c r="N2606" t="str">
        <f t="shared" si="162"/>
        <v>RAC-Recreation Activity Center (0511)</v>
      </c>
      <c r="O2606" t="s">
        <v>44</v>
      </c>
      <c r="P2606" t="str">
        <f t="shared" si="163"/>
        <v>39000_0511</v>
      </c>
      <c r="Q2606" s="180">
        <v>0</v>
      </c>
    </row>
    <row r="2607" spans="1:17">
      <c r="A2607" t="str">
        <f t="shared" si="160"/>
        <v>GSOU_0512</v>
      </c>
      <c r="B2607" t="str">
        <f t="shared" si="161"/>
        <v>GSOU_RAC Field Support Building</v>
      </c>
      <c r="C2607" t="s">
        <v>449</v>
      </c>
      <c r="D2607" s="180" t="s">
        <v>30</v>
      </c>
      <c r="E2607" t="s">
        <v>5437</v>
      </c>
      <c r="F2607" t="s">
        <v>5438</v>
      </c>
      <c r="G2607" s="180">
        <v>2304</v>
      </c>
      <c r="H2607">
        <v>1996</v>
      </c>
      <c r="J2607" s="1334" t="s">
        <v>486</v>
      </c>
      <c r="K2607" s="1335" t="s">
        <v>475</v>
      </c>
      <c r="L2607" s="180">
        <v>100</v>
      </c>
      <c r="M2607" t="s">
        <v>80</v>
      </c>
      <c r="N2607" t="str">
        <f t="shared" si="162"/>
        <v>RAC Field Support Building (0512)</v>
      </c>
      <c r="O2607" t="s">
        <v>44</v>
      </c>
      <c r="P2607" t="str">
        <f t="shared" si="163"/>
        <v>39000_0512</v>
      </c>
      <c r="Q2607" s="180">
        <v>0</v>
      </c>
    </row>
    <row r="2608" spans="1:17">
      <c r="A2608" t="str">
        <f t="shared" si="160"/>
        <v>GSOU_0513</v>
      </c>
      <c r="B2608" t="str">
        <f t="shared" si="161"/>
        <v>GSOU_MC Anderson Storage Facility</v>
      </c>
      <c r="C2608" t="s">
        <v>449</v>
      </c>
      <c r="D2608" s="180" t="s">
        <v>30</v>
      </c>
      <c r="E2608" t="s">
        <v>5498</v>
      </c>
      <c r="F2608" t="s">
        <v>5499</v>
      </c>
      <c r="G2608" s="180">
        <v>4038</v>
      </c>
      <c r="H2608">
        <v>2000</v>
      </c>
      <c r="J2608" s="1334" t="s">
        <v>475</v>
      </c>
      <c r="K2608" s="1335" t="s">
        <v>475</v>
      </c>
      <c r="L2608" s="180">
        <v>100</v>
      </c>
      <c r="M2608" t="s">
        <v>80</v>
      </c>
      <c r="N2608" t="str">
        <f t="shared" si="162"/>
        <v>MC Anderson Storage Facility (0513)</v>
      </c>
      <c r="O2608" t="s">
        <v>44</v>
      </c>
      <c r="P2608" t="str">
        <f t="shared" si="163"/>
        <v>39000_0513</v>
      </c>
      <c r="Q2608" s="180">
        <v>0</v>
      </c>
    </row>
    <row r="2609" spans="1:17">
      <c r="A2609" t="str">
        <f t="shared" si="160"/>
        <v>GSOU_0514</v>
      </c>
      <c r="B2609" t="str">
        <f t="shared" si="161"/>
        <v>GSOU_MC Anderson Pump House</v>
      </c>
      <c r="C2609" t="s">
        <v>449</v>
      </c>
      <c r="D2609" s="180" t="s">
        <v>30</v>
      </c>
      <c r="E2609" t="s">
        <v>5367</v>
      </c>
      <c r="F2609" t="s">
        <v>5368</v>
      </c>
      <c r="G2609" s="180">
        <v>221</v>
      </c>
      <c r="H2609">
        <v>1997</v>
      </c>
      <c r="J2609" s="1334" t="s">
        <v>475</v>
      </c>
      <c r="K2609" s="1335" t="s">
        <v>475</v>
      </c>
      <c r="L2609" s="180">
        <v>100</v>
      </c>
      <c r="M2609" t="s">
        <v>80</v>
      </c>
      <c r="N2609" t="str">
        <f t="shared" si="162"/>
        <v>MC Anderson Pump House (0514)</v>
      </c>
      <c r="O2609" t="s">
        <v>44</v>
      </c>
      <c r="P2609" t="str">
        <f t="shared" si="163"/>
        <v>39000_0514</v>
      </c>
      <c r="Q2609" s="180">
        <v>0</v>
      </c>
    </row>
    <row r="2610" spans="1:17">
      <c r="A2610" t="str">
        <f t="shared" si="160"/>
        <v>GSOU_0515</v>
      </c>
      <c r="B2610" t="str">
        <f t="shared" si="161"/>
        <v>GSOU_MC Anderson Pavilion</v>
      </c>
      <c r="C2610" t="s">
        <v>449</v>
      </c>
      <c r="D2610" s="180" t="s">
        <v>30</v>
      </c>
      <c r="E2610" t="s">
        <v>5379</v>
      </c>
      <c r="F2610" t="s">
        <v>5380</v>
      </c>
      <c r="G2610" s="180">
        <v>7888</v>
      </c>
      <c r="H2610">
        <v>2002</v>
      </c>
      <c r="J2610" s="1334" t="s">
        <v>475</v>
      </c>
      <c r="K2610" s="1335" t="s">
        <v>475</v>
      </c>
      <c r="L2610" s="180">
        <v>100</v>
      </c>
      <c r="M2610" t="s">
        <v>80</v>
      </c>
      <c r="N2610" t="str">
        <f t="shared" si="162"/>
        <v>MC Anderson Pavilion (0515)</v>
      </c>
      <c r="O2610" t="s">
        <v>44</v>
      </c>
      <c r="P2610" t="str">
        <f t="shared" si="163"/>
        <v>39000_0515</v>
      </c>
      <c r="Q2610" s="180">
        <v>0</v>
      </c>
    </row>
    <row r="2611" spans="1:17">
      <c r="A2611" t="str">
        <f t="shared" si="160"/>
        <v>GSOU_0516</v>
      </c>
      <c r="B2611" t="str">
        <f t="shared" si="161"/>
        <v>GSOU_MC Anderson Stage</v>
      </c>
      <c r="C2611" t="s">
        <v>449</v>
      </c>
      <c r="D2611" s="180" t="s">
        <v>30</v>
      </c>
      <c r="E2611" t="s">
        <v>5234</v>
      </c>
      <c r="F2611" t="s">
        <v>5235</v>
      </c>
      <c r="G2611" s="180">
        <v>1375</v>
      </c>
      <c r="H2611">
        <v>1998</v>
      </c>
      <c r="J2611" s="1334" t="s">
        <v>475</v>
      </c>
      <c r="K2611" s="1335" t="s">
        <v>475</v>
      </c>
      <c r="L2611" s="180">
        <v>100</v>
      </c>
      <c r="M2611" t="s">
        <v>80</v>
      </c>
      <c r="N2611" t="str">
        <f t="shared" si="162"/>
        <v>MC Anderson Stage (0516)</v>
      </c>
      <c r="O2611" t="s">
        <v>44</v>
      </c>
      <c r="P2611" t="str">
        <f t="shared" si="163"/>
        <v>39000_0516</v>
      </c>
      <c r="Q2611" s="180">
        <v>0</v>
      </c>
    </row>
    <row r="2612" spans="1:17">
      <c r="A2612" t="str">
        <f t="shared" si="160"/>
        <v>GSOU_0517</v>
      </c>
      <c r="B2612" t="str">
        <f t="shared" si="161"/>
        <v>GSOU_J.I. Clements Center</v>
      </c>
      <c r="C2612" t="s">
        <v>449</v>
      </c>
      <c r="D2612" s="180" t="s">
        <v>30</v>
      </c>
      <c r="E2612" t="s">
        <v>5388</v>
      </c>
      <c r="F2612" t="s">
        <v>5389</v>
      </c>
      <c r="G2612" s="180">
        <v>10098</v>
      </c>
      <c r="H2612">
        <v>2004</v>
      </c>
      <c r="J2612" s="1334" t="s">
        <v>486</v>
      </c>
      <c r="K2612" s="1335" t="s">
        <v>475</v>
      </c>
      <c r="L2612" s="180">
        <v>0</v>
      </c>
      <c r="M2612" t="s">
        <v>80</v>
      </c>
      <c r="N2612" t="str">
        <f t="shared" si="162"/>
        <v>J.I. Clements Center (0517)</v>
      </c>
      <c r="O2612" t="s">
        <v>44</v>
      </c>
      <c r="P2612" t="str">
        <f t="shared" si="163"/>
        <v>39000_0517</v>
      </c>
      <c r="Q2612" s="180">
        <v>0</v>
      </c>
    </row>
    <row r="2613" spans="1:17">
      <c r="A2613" t="str">
        <f t="shared" si="160"/>
        <v>GSOU_0518</v>
      </c>
      <c r="B2613" t="str">
        <f t="shared" si="161"/>
        <v>GSOU_Home Team Dugout</v>
      </c>
      <c r="C2613" t="s">
        <v>449</v>
      </c>
      <c r="D2613" s="180" t="s">
        <v>30</v>
      </c>
      <c r="E2613" t="s">
        <v>5381</v>
      </c>
      <c r="F2613" t="s">
        <v>5382</v>
      </c>
      <c r="G2613" s="180">
        <v>1502</v>
      </c>
      <c r="H2613">
        <v>2004</v>
      </c>
      <c r="J2613" s="1334" t="s">
        <v>486</v>
      </c>
      <c r="K2613" s="1335" t="s">
        <v>475</v>
      </c>
      <c r="L2613" s="180">
        <v>0</v>
      </c>
      <c r="M2613" t="s">
        <v>80</v>
      </c>
      <c r="N2613" t="str">
        <f t="shared" si="162"/>
        <v>Home Team Dugout (0518)</v>
      </c>
      <c r="O2613" t="s">
        <v>44</v>
      </c>
      <c r="P2613" t="str">
        <f t="shared" si="163"/>
        <v>39000_0518</v>
      </c>
      <c r="Q2613" s="180">
        <v>0</v>
      </c>
    </row>
    <row r="2614" spans="1:17">
      <c r="A2614" t="str">
        <f t="shared" si="160"/>
        <v>GSOU_0519</v>
      </c>
      <c r="B2614" t="str">
        <f t="shared" si="161"/>
        <v>GSOU_Visiting Team Dugout</v>
      </c>
      <c r="C2614" t="s">
        <v>449</v>
      </c>
      <c r="D2614" s="180" t="s">
        <v>30</v>
      </c>
      <c r="E2614" t="s">
        <v>5322</v>
      </c>
      <c r="F2614" t="s">
        <v>5323</v>
      </c>
      <c r="G2614" s="180">
        <v>1062</v>
      </c>
      <c r="H2614">
        <v>2004</v>
      </c>
      <c r="J2614" s="1334" t="s">
        <v>486</v>
      </c>
      <c r="K2614" s="1335" t="s">
        <v>475</v>
      </c>
      <c r="L2614" s="180">
        <v>0</v>
      </c>
      <c r="M2614" t="s">
        <v>80</v>
      </c>
      <c r="N2614" t="str">
        <f t="shared" si="162"/>
        <v>Visiting Team Dugout (0519)</v>
      </c>
      <c r="O2614" t="s">
        <v>44</v>
      </c>
      <c r="P2614" t="str">
        <f t="shared" si="163"/>
        <v>39000_0519</v>
      </c>
      <c r="Q2614" s="180">
        <v>0</v>
      </c>
    </row>
    <row r="2615" spans="1:17">
      <c r="A2615" t="str">
        <f t="shared" si="160"/>
        <v>GSOU_0520</v>
      </c>
      <c r="B2615" t="str">
        <f t="shared" si="161"/>
        <v>GSOU_J.I. Clements Maintenance Bldg</v>
      </c>
      <c r="C2615" t="s">
        <v>449</v>
      </c>
      <c r="D2615" s="180" t="s">
        <v>30</v>
      </c>
      <c r="E2615" t="s">
        <v>4780</v>
      </c>
      <c r="F2615" t="s">
        <v>5260</v>
      </c>
      <c r="G2615" s="180">
        <v>700</v>
      </c>
      <c r="H2615">
        <v>2004</v>
      </c>
      <c r="J2615" s="1334" t="s">
        <v>486</v>
      </c>
      <c r="K2615" s="1335" t="s">
        <v>475</v>
      </c>
      <c r="L2615" s="180">
        <v>0</v>
      </c>
      <c r="M2615" t="s">
        <v>80</v>
      </c>
      <c r="N2615" t="str">
        <f t="shared" si="162"/>
        <v>J.I. Clements Maintenance Bldg (0520)</v>
      </c>
      <c r="O2615" t="s">
        <v>44</v>
      </c>
      <c r="P2615" t="str">
        <f t="shared" si="163"/>
        <v>39000_0520</v>
      </c>
      <c r="Q2615" s="180">
        <v>0</v>
      </c>
    </row>
    <row r="2616" spans="1:17">
      <c r="A2616" t="str">
        <f t="shared" si="160"/>
        <v>GSOU_0521</v>
      </c>
      <c r="B2616" t="str">
        <f t="shared" si="161"/>
        <v>GSOU_Soccer/Track Training Facility</v>
      </c>
      <c r="C2616" t="s">
        <v>449</v>
      </c>
      <c r="D2616" s="180" t="s">
        <v>30</v>
      </c>
      <c r="E2616" t="s">
        <v>4909</v>
      </c>
      <c r="F2616" t="s">
        <v>5430</v>
      </c>
      <c r="G2616" s="180">
        <v>3339</v>
      </c>
      <c r="H2616">
        <v>2005</v>
      </c>
      <c r="J2616" s="1334" t="s">
        <v>486</v>
      </c>
      <c r="K2616" s="1335" t="s">
        <v>475</v>
      </c>
      <c r="L2616" s="180">
        <v>0</v>
      </c>
      <c r="M2616" t="s">
        <v>80</v>
      </c>
      <c r="N2616" t="str">
        <f t="shared" si="162"/>
        <v>Soccer/Track Training Facility (0521)</v>
      </c>
      <c r="O2616" t="s">
        <v>44</v>
      </c>
      <c r="P2616" t="str">
        <f t="shared" si="163"/>
        <v>39000_0521</v>
      </c>
      <c r="Q2616" s="180">
        <v>0</v>
      </c>
    </row>
    <row r="2617" spans="1:17">
      <c r="A2617" t="str">
        <f t="shared" si="160"/>
        <v>GSOU_0522</v>
      </c>
      <c r="B2617" t="str">
        <f t="shared" si="161"/>
        <v>GSOU_Soccer/Track Field Support</v>
      </c>
      <c r="C2617" t="s">
        <v>449</v>
      </c>
      <c r="D2617" s="180" t="s">
        <v>30</v>
      </c>
      <c r="E2617" t="s">
        <v>5165</v>
      </c>
      <c r="F2617" t="s">
        <v>5166</v>
      </c>
      <c r="G2617" s="180">
        <v>1092</v>
      </c>
      <c r="H2617">
        <v>2005</v>
      </c>
      <c r="J2617" s="1334" t="s">
        <v>486</v>
      </c>
      <c r="K2617" s="1335" t="s">
        <v>475</v>
      </c>
      <c r="L2617" s="180">
        <v>0</v>
      </c>
      <c r="M2617" t="s">
        <v>80</v>
      </c>
      <c r="N2617" t="str">
        <f t="shared" si="162"/>
        <v>Soccer/Track Field Support (0522)</v>
      </c>
      <c r="O2617" t="s">
        <v>44</v>
      </c>
      <c r="P2617" t="str">
        <f t="shared" si="163"/>
        <v>39000_0522</v>
      </c>
      <c r="Q2617" s="180">
        <v>0</v>
      </c>
    </row>
    <row r="2618" spans="1:17">
      <c r="A2618" t="str">
        <f t="shared" si="160"/>
        <v>GSOU_0523</v>
      </c>
      <c r="B2618" t="str">
        <f t="shared" si="161"/>
        <v>GSOU_Gene Bishop Field House</v>
      </c>
      <c r="C2618" t="s">
        <v>449</v>
      </c>
      <c r="D2618" s="180" t="s">
        <v>30</v>
      </c>
      <c r="E2618" t="s">
        <v>5373</v>
      </c>
      <c r="F2618" t="s">
        <v>5374</v>
      </c>
      <c r="G2618" s="180">
        <v>14866</v>
      </c>
      <c r="H2618">
        <v>2006</v>
      </c>
      <c r="J2618" s="1334" t="s">
        <v>475</v>
      </c>
      <c r="K2618" s="1335" t="s">
        <v>475</v>
      </c>
      <c r="L2618" s="180">
        <v>100</v>
      </c>
      <c r="M2618" t="s">
        <v>80</v>
      </c>
      <c r="N2618" t="str">
        <f t="shared" si="162"/>
        <v>Gene Bishop Field House (0523)</v>
      </c>
      <c r="O2618" t="s">
        <v>44</v>
      </c>
      <c r="P2618" t="str">
        <f t="shared" si="163"/>
        <v>39000_0523</v>
      </c>
      <c r="Q2618" s="180">
        <v>0</v>
      </c>
    </row>
    <row r="2619" spans="1:17">
      <c r="A2619" t="str">
        <f t="shared" si="160"/>
        <v>GSOU_0524</v>
      </c>
      <c r="B2619" t="str">
        <f t="shared" si="161"/>
        <v>GSOU_Will Call Booth</v>
      </c>
      <c r="C2619" t="s">
        <v>449</v>
      </c>
      <c r="D2619" s="180" t="s">
        <v>30</v>
      </c>
      <c r="E2619" t="s">
        <v>5421</v>
      </c>
      <c r="F2619" t="s">
        <v>5422</v>
      </c>
      <c r="G2619" s="180">
        <v>593</v>
      </c>
      <c r="H2619">
        <v>2006</v>
      </c>
      <c r="J2619" s="1334" t="s">
        <v>475</v>
      </c>
      <c r="K2619" s="1335" t="s">
        <v>475</v>
      </c>
      <c r="L2619" s="180">
        <v>0</v>
      </c>
      <c r="M2619" t="s">
        <v>80</v>
      </c>
      <c r="N2619" t="str">
        <f t="shared" si="162"/>
        <v>Will Call Booth (0524)</v>
      </c>
      <c r="O2619" t="s">
        <v>44</v>
      </c>
      <c r="P2619" t="str">
        <f t="shared" si="163"/>
        <v>39000_0524</v>
      </c>
      <c r="Q2619" s="180">
        <v>0</v>
      </c>
    </row>
    <row r="2620" spans="1:17">
      <c r="A2620" t="str">
        <f t="shared" si="160"/>
        <v>GSOU_0525</v>
      </c>
      <c r="B2620" t="str">
        <f t="shared" si="161"/>
        <v>GSOU_Paulson Stad. VIP Suites</v>
      </c>
      <c r="C2620" t="s">
        <v>449</v>
      </c>
      <c r="D2620" s="180" t="s">
        <v>30</v>
      </c>
      <c r="E2620" t="s">
        <v>4883</v>
      </c>
      <c r="F2620" t="s">
        <v>5331</v>
      </c>
      <c r="G2620" s="180">
        <v>15297</v>
      </c>
      <c r="H2620">
        <v>1984</v>
      </c>
      <c r="J2620" s="1334" t="s">
        <v>475</v>
      </c>
      <c r="K2620" s="1335" t="s">
        <v>475</v>
      </c>
      <c r="L2620" s="180">
        <v>0</v>
      </c>
      <c r="M2620" t="s">
        <v>80</v>
      </c>
      <c r="N2620" t="str">
        <f t="shared" si="162"/>
        <v>Paulson Stad. VIP Suites (0525)</v>
      </c>
      <c r="O2620" t="s">
        <v>44</v>
      </c>
      <c r="P2620" t="str">
        <f t="shared" si="163"/>
        <v>39000_0525</v>
      </c>
      <c r="Q2620" s="180">
        <v>0</v>
      </c>
    </row>
    <row r="2621" spans="1:17">
      <c r="A2621" t="str">
        <f t="shared" si="160"/>
        <v>GSOU_0526</v>
      </c>
      <c r="B2621" t="str">
        <f t="shared" si="161"/>
        <v>GSOU_Paulson Stad. Concession SW</v>
      </c>
      <c r="C2621" t="s">
        <v>449</v>
      </c>
      <c r="D2621" s="180" t="s">
        <v>30</v>
      </c>
      <c r="E2621" t="s">
        <v>5423</v>
      </c>
      <c r="F2621" t="s">
        <v>5424</v>
      </c>
      <c r="G2621" s="180">
        <v>2834</v>
      </c>
      <c r="H2621">
        <v>1984</v>
      </c>
      <c r="I2621">
        <v>2006</v>
      </c>
      <c r="J2621" s="1334" t="s">
        <v>475</v>
      </c>
      <c r="K2621" s="1335" t="s">
        <v>475</v>
      </c>
      <c r="L2621" s="180">
        <v>0</v>
      </c>
      <c r="M2621" t="s">
        <v>80</v>
      </c>
      <c r="N2621" t="str">
        <f t="shared" si="162"/>
        <v>Paulson Stad. Concession SW (0526)</v>
      </c>
      <c r="O2621" t="s">
        <v>44</v>
      </c>
      <c r="P2621" t="str">
        <f t="shared" si="163"/>
        <v>39000_0526</v>
      </c>
      <c r="Q2621" s="180">
        <v>0</v>
      </c>
    </row>
    <row r="2622" spans="1:17">
      <c r="A2622" t="str">
        <f t="shared" si="160"/>
        <v>GSOU_0527</v>
      </c>
      <c r="B2622" t="str">
        <f t="shared" si="161"/>
        <v>GSOU_Paulson Stad. Concession SE</v>
      </c>
      <c r="C2622" t="s">
        <v>449</v>
      </c>
      <c r="D2622" s="180" t="s">
        <v>30</v>
      </c>
      <c r="E2622" t="s">
        <v>5463</v>
      </c>
      <c r="F2622" t="s">
        <v>5464</v>
      </c>
      <c r="G2622" s="180">
        <v>2834</v>
      </c>
      <c r="H2622">
        <v>1984</v>
      </c>
      <c r="I2622">
        <v>2006</v>
      </c>
      <c r="J2622" s="1334" t="s">
        <v>475</v>
      </c>
      <c r="K2622" s="1335" t="s">
        <v>475</v>
      </c>
      <c r="L2622" s="180">
        <v>0</v>
      </c>
      <c r="M2622" t="s">
        <v>80</v>
      </c>
      <c r="N2622" t="str">
        <f t="shared" si="162"/>
        <v>Paulson Stad. Concession SE (0527)</v>
      </c>
      <c r="O2622" t="s">
        <v>44</v>
      </c>
      <c r="P2622" t="str">
        <f t="shared" si="163"/>
        <v>39000_0527</v>
      </c>
      <c r="Q2622" s="180">
        <v>0</v>
      </c>
    </row>
    <row r="2623" spans="1:17">
      <c r="A2623" t="str">
        <f t="shared" si="160"/>
        <v>GSOU_0528</v>
      </c>
      <c r="B2623" t="str">
        <f t="shared" si="161"/>
        <v>GSOU_Paulson Stad. Concession NE</v>
      </c>
      <c r="C2623" t="s">
        <v>449</v>
      </c>
      <c r="D2623" s="180" t="s">
        <v>30</v>
      </c>
      <c r="E2623" t="s">
        <v>5255</v>
      </c>
      <c r="F2623" t="s">
        <v>5256</v>
      </c>
      <c r="G2623" s="180">
        <v>2834</v>
      </c>
      <c r="H2623">
        <v>1984</v>
      </c>
      <c r="I2623">
        <v>2007</v>
      </c>
      <c r="J2623" s="1334" t="s">
        <v>475</v>
      </c>
      <c r="K2623" s="1335" t="s">
        <v>475</v>
      </c>
      <c r="L2623" s="180">
        <v>0</v>
      </c>
      <c r="M2623" t="s">
        <v>80</v>
      </c>
      <c r="N2623" t="str">
        <f t="shared" si="162"/>
        <v>Paulson Stad. Concession NE (0528)</v>
      </c>
      <c r="O2623" t="s">
        <v>44</v>
      </c>
      <c r="P2623" t="str">
        <f t="shared" si="163"/>
        <v>39000_0528</v>
      </c>
      <c r="Q2623" s="180">
        <v>0</v>
      </c>
    </row>
    <row r="2624" spans="1:17">
      <c r="A2624" t="str">
        <f t="shared" si="160"/>
        <v>GSOU_0529</v>
      </c>
      <c r="B2624" t="str">
        <f t="shared" si="161"/>
        <v>GSOU_Paulson Stad. Concession NW</v>
      </c>
      <c r="C2624" t="s">
        <v>449</v>
      </c>
      <c r="D2624" s="180" t="s">
        <v>30</v>
      </c>
      <c r="E2624" t="s">
        <v>5504</v>
      </c>
      <c r="F2624" t="s">
        <v>5505</v>
      </c>
      <c r="G2624" s="180">
        <v>2834</v>
      </c>
      <c r="H2624">
        <v>1984</v>
      </c>
      <c r="I2624">
        <v>2007</v>
      </c>
      <c r="J2624" s="1334" t="s">
        <v>475</v>
      </c>
      <c r="K2624" s="1335" t="s">
        <v>475</v>
      </c>
      <c r="L2624" s="180">
        <v>0</v>
      </c>
      <c r="M2624" t="s">
        <v>80</v>
      </c>
      <c r="N2624" t="str">
        <f t="shared" si="162"/>
        <v>Paulson Stad. Concession NW (0529)</v>
      </c>
      <c r="O2624" t="s">
        <v>44</v>
      </c>
      <c r="P2624" t="str">
        <f t="shared" si="163"/>
        <v>39000_0529</v>
      </c>
      <c r="Q2624" s="180">
        <v>0</v>
      </c>
    </row>
    <row r="2625" spans="1:17">
      <c r="A2625" t="str">
        <f t="shared" si="160"/>
        <v>GSOU_0530</v>
      </c>
      <c r="B2625" t="str">
        <f t="shared" si="161"/>
        <v>GSOU_Herring Pavilion</v>
      </c>
      <c r="C2625" t="s">
        <v>449</v>
      </c>
      <c r="D2625" s="180" t="s">
        <v>30</v>
      </c>
      <c r="E2625" t="s">
        <v>4782</v>
      </c>
      <c r="F2625" t="s">
        <v>5359</v>
      </c>
      <c r="G2625" s="180">
        <v>3700</v>
      </c>
      <c r="H2625">
        <v>2007</v>
      </c>
      <c r="J2625" s="1334" t="s">
        <v>475</v>
      </c>
      <c r="K2625" s="1335" t="s">
        <v>475</v>
      </c>
      <c r="L2625" s="180">
        <v>0</v>
      </c>
      <c r="M2625" t="s">
        <v>80</v>
      </c>
      <c r="N2625" t="str">
        <f t="shared" si="162"/>
        <v>Herring Pavilion (0530)</v>
      </c>
      <c r="O2625" t="s">
        <v>44</v>
      </c>
      <c r="P2625" t="str">
        <f t="shared" si="163"/>
        <v>39000_0530</v>
      </c>
      <c r="Q2625" s="180">
        <v>0</v>
      </c>
    </row>
    <row r="2626" spans="1:17">
      <c r="A2626" t="str">
        <f t="shared" si="160"/>
        <v>GSOU_0531</v>
      </c>
      <c r="B2626" t="str">
        <f t="shared" si="161"/>
        <v>GSOU_Softball Facility Building</v>
      </c>
      <c r="C2626" t="s">
        <v>449</v>
      </c>
      <c r="D2626" s="180" t="s">
        <v>30</v>
      </c>
      <c r="E2626" t="s">
        <v>5271</v>
      </c>
      <c r="F2626" t="s">
        <v>5272</v>
      </c>
      <c r="G2626" s="180">
        <v>2894</v>
      </c>
      <c r="H2626">
        <v>2008</v>
      </c>
      <c r="I2626">
        <v>2022</v>
      </c>
      <c r="J2626" s="1334" t="s">
        <v>475</v>
      </c>
      <c r="K2626" s="1335" t="s">
        <v>475</v>
      </c>
      <c r="L2626" s="180">
        <v>0</v>
      </c>
      <c r="M2626" t="s">
        <v>80</v>
      </c>
      <c r="N2626" t="str">
        <f t="shared" si="162"/>
        <v>Softball Facility Building (0531)</v>
      </c>
      <c r="O2626" t="s">
        <v>44</v>
      </c>
      <c r="P2626" t="str">
        <f t="shared" si="163"/>
        <v>39000_0531</v>
      </c>
      <c r="Q2626" s="180">
        <v>0</v>
      </c>
    </row>
    <row r="2627" spans="1:17">
      <c r="A2627" t="str">
        <f t="shared" ref="A2627:A2690" si="164">_xlfn.CONCAT(D2627,"_",E2627)</f>
        <v>GSOU_0532</v>
      </c>
      <c r="B2627" t="str">
        <f t="shared" ref="B2627:B2690" si="165">_xlfn.CONCAT(D2627,"_",F2627)</f>
        <v>GSOU_Ted S Smith Family FOC</v>
      </c>
      <c r="C2627" t="s">
        <v>449</v>
      </c>
      <c r="D2627" s="180" t="s">
        <v>30</v>
      </c>
      <c r="E2627" t="s">
        <v>5282</v>
      </c>
      <c r="F2627" t="s">
        <v>5283</v>
      </c>
      <c r="G2627" s="180">
        <v>46947</v>
      </c>
      <c r="H2627">
        <v>2013</v>
      </c>
      <c r="J2627" s="1334" t="s">
        <v>486</v>
      </c>
      <c r="K2627" s="1335" t="s">
        <v>475</v>
      </c>
      <c r="L2627" s="180">
        <v>0</v>
      </c>
      <c r="M2627" t="s">
        <v>80</v>
      </c>
      <c r="N2627" t="str">
        <f t="shared" ref="N2627:N2690" si="166">_xlfn.CONCAT(F2627," (",E2627,")")</f>
        <v>Ted S Smith Family FOC (0532)</v>
      </c>
      <c r="O2627" t="s">
        <v>44</v>
      </c>
      <c r="P2627" t="str">
        <f t="shared" ref="P2627:P2690" si="167">_xlfn.CONCAT(C2627,"_",E2627)</f>
        <v>39000_0532</v>
      </c>
      <c r="Q2627" s="180">
        <v>0</v>
      </c>
    </row>
    <row r="2628" spans="1:17">
      <c r="A2628" t="str">
        <f t="shared" si="164"/>
        <v>GSOU_0533</v>
      </c>
      <c r="B2628" t="str">
        <f t="shared" si="165"/>
        <v>GSOU_Univ Park Rec Complex-Clubhous</v>
      </c>
      <c r="C2628" t="s">
        <v>449</v>
      </c>
      <c r="D2628" s="180" t="s">
        <v>30</v>
      </c>
      <c r="E2628" t="s">
        <v>5134</v>
      </c>
      <c r="F2628" t="s">
        <v>5135</v>
      </c>
      <c r="G2628" s="180">
        <v>8118</v>
      </c>
      <c r="H2628">
        <v>1997</v>
      </c>
      <c r="I2628">
        <v>2013</v>
      </c>
      <c r="J2628" s="1334" t="s">
        <v>475</v>
      </c>
      <c r="K2628" s="1335" t="s">
        <v>475</v>
      </c>
      <c r="L2628" s="180">
        <v>100</v>
      </c>
      <c r="M2628" t="s">
        <v>80</v>
      </c>
      <c r="N2628" t="str">
        <f t="shared" si="166"/>
        <v>Univ Park Rec Complex-Clubhous (0533)</v>
      </c>
      <c r="O2628" t="s">
        <v>44</v>
      </c>
      <c r="P2628" t="str">
        <f t="shared" si="167"/>
        <v>39000_0533</v>
      </c>
      <c r="Q2628" s="180">
        <v>0</v>
      </c>
    </row>
    <row r="2629" spans="1:17">
      <c r="A2629" t="str">
        <f t="shared" si="164"/>
        <v>GSOU_0534</v>
      </c>
      <c r="B2629" t="str">
        <f t="shared" si="165"/>
        <v>GSOU_Univ Park Rec Cmplx-Maint/Cart</v>
      </c>
      <c r="C2629" t="s">
        <v>449</v>
      </c>
      <c r="D2629" s="180" t="s">
        <v>30</v>
      </c>
      <c r="E2629" t="s">
        <v>5194</v>
      </c>
      <c r="F2629" t="s">
        <v>5195</v>
      </c>
      <c r="G2629" s="180">
        <v>11252</v>
      </c>
      <c r="H2629">
        <v>1985</v>
      </c>
      <c r="I2629">
        <v>2013</v>
      </c>
      <c r="J2629" s="1334" t="s">
        <v>475</v>
      </c>
      <c r="K2629" s="1335" t="s">
        <v>475</v>
      </c>
      <c r="L2629" s="180">
        <v>100</v>
      </c>
      <c r="M2629" t="s">
        <v>80</v>
      </c>
      <c r="N2629" t="str">
        <f t="shared" si="166"/>
        <v>Univ Park Rec Cmplx-Maint/Cart (0534)</v>
      </c>
      <c r="O2629" t="s">
        <v>44</v>
      </c>
      <c r="P2629" t="str">
        <f t="shared" si="167"/>
        <v>39000_0534</v>
      </c>
      <c r="Q2629" s="180">
        <v>0</v>
      </c>
    </row>
    <row r="2630" spans="1:17">
      <c r="A2630" t="str">
        <f t="shared" si="164"/>
        <v>GSOU_0535</v>
      </c>
      <c r="B2630" t="str">
        <f t="shared" si="165"/>
        <v>GSOU_J. I. Clements Batting Cage</v>
      </c>
      <c r="C2630" t="s">
        <v>449</v>
      </c>
      <c r="D2630" s="180" t="s">
        <v>30</v>
      </c>
      <c r="E2630" t="s">
        <v>4787</v>
      </c>
      <c r="F2630" t="s">
        <v>5216</v>
      </c>
      <c r="G2630" s="180">
        <v>2975</v>
      </c>
      <c r="H2630">
        <v>2009</v>
      </c>
      <c r="J2630" s="1334" t="s">
        <v>475</v>
      </c>
      <c r="K2630" s="1335" t="s">
        <v>475</v>
      </c>
      <c r="L2630" s="180">
        <v>0</v>
      </c>
      <c r="M2630" t="s">
        <v>80</v>
      </c>
      <c r="N2630" t="str">
        <f t="shared" si="166"/>
        <v>J. I. Clements Batting Cage (0535)</v>
      </c>
      <c r="O2630" t="s">
        <v>44</v>
      </c>
      <c r="P2630" t="str">
        <f t="shared" si="167"/>
        <v>39000_0535</v>
      </c>
      <c r="Q2630" s="180">
        <v>0</v>
      </c>
    </row>
    <row r="2631" spans="1:17">
      <c r="A2631" t="str">
        <f t="shared" si="164"/>
        <v>GSOU_0536</v>
      </c>
      <c r="B2631" t="str">
        <f t="shared" si="165"/>
        <v>GSOU_Women's Softball Pavilion</v>
      </c>
      <c r="C2631" t="s">
        <v>449</v>
      </c>
      <c r="D2631" s="180" t="s">
        <v>30</v>
      </c>
      <c r="E2631" t="s">
        <v>5510</v>
      </c>
      <c r="F2631" t="s">
        <v>5511</v>
      </c>
      <c r="G2631" s="180">
        <v>3516</v>
      </c>
      <c r="H2631">
        <v>2012</v>
      </c>
      <c r="J2631" s="1334" t="s">
        <v>475</v>
      </c>
      <c r="K2631" s="1335" t="s">
        <v>475</v>
      </c>
      <c r="L2631" s="180">
        <v>0</v>
      </c>
      <c r="M2631" t="s">
        <v>80</v>
      </c>
      <c r="N2631" t="str">
        <f t="shared" si="166"/>
        <v>Women's Softball Pavilion (0536)</v>
      </c>
      <c r="O2631" t="s">
        <v>44</v>
      </c>
      <c r="P2631" t="str">
        <f t="shared" si="167"/>
        <v>39000_0536</v>
      </c>
      <c r="Q2631" s="180">
        <v>0</v>
      </c>
    </row>
    <row r="2632" spans="1:17">
      <c r="A2632" t="str">
        <f t="shared" si="164"/>
        <v>GSOU_0537</v>
      </c>
      <c r="B2632" t="str">
        <f t="shared" si="165"/>
        <v>GSOU_Shooting Sports Education Ctr</v>
      </c>
      <c r="C2632" t="s">
        <v>449</v>
      </c>
      <c r="D2632" s="180" t="s">
        <v>30</v>
      </c>
      <c r="E2632" t="s">
        <v>5121</v>
      </c>
      <c r="F2632" t="s">
        <v>5122</v>
      </c>
      <c r="G2632" s="180">
        <v>29479</v>
      </c>
      <c r="H2632">
        <v>2015</v>
      </c>
      <c r="J2632" s="1334" t="s">
        <v>486</v>
      </c>
      <c r="K2632" s="1335" t="s">
        <v>475</v>
      </c>
      <c r="L2632" s="180">
        <v>100</v>
      </c>
      <c r="M2632" t="s">
        <v>80</v>
      </c>
      <c r="N2632" t="str">
        <f t="shared" si="166"/>
        <v>Shooting Sports Education Ctr (0537)</v>
      </c>
      <c r="O2632" t="s">
        <v>44</v>
      </c>
      <c r="P2632" t="str">
        <f t="shared" si="167"/>
        <v>39000_0537</v>
      </c>
      <c r="Q2632" s="180">
        <v>0</v>
      </c>
    </row>
    <row r="2633" spans="1:17">
      <c r="A2633" t="str">
        <f t="shared" si="164"/>
        <v>GSOU_0538</v>
      </c>
      <c r="B2633" t="str">
        <f t="shared" si="165"/>
        <v>GSOU_Univ Park Rec Complex-Chemical</v>
      </c>
      <c r="C2633" t="s">
        <v>449</v>
      </c>
      <c r="D2633" s="180" t="s">
        <v>30</v>
      </c>
      <c r="E2633" t="s">
        <v>5142</v>
      </c>
      <c r="F2633" t="s">
        <v>5143</v>
      </c>
      <c r="G2633" s="180">
        <v>912</v>
      </c>
      <c r="H2633">
        <v>2013</v>
      </c>
      <c r="J2633" s="1334" t="s">
        <v>475</v>
      </c>
      <c r="K2633" s="1335" t="s">
        <v>475</v>
      </c>
      <c r="L2633" s="180">
        <v>100</v>
      </c>
      <c r="M2633" t="s">
        <v>80</v>
      </c>
      <c r="N2633" t="str">
        <f t="shared" si="166"/>
        <v>Univ Park Rec Complex-Chemical (0538)</v>
      </c>
      <c r="O2633" t="s">
        <v>44</v>
      </c>
      <c r="P2633" t="str">
        <f t="shared" si="167"/>
        <v>39000_0538</v>
      </c>
      <c r="Q2633" s="180">
        <v>0</v>
      </c>
    </row>
    <row r="2634" spans="1:17">
      <c r="A2634" t="str">
        <f t="shared" si="164"/>
        <v>GSOU_0539</v>
      </c>
      <c r="B2634" t="str">
        <f t="shared" si="165"/>
        <v>GSOU_Univ Park Rec Complex-Pump Hse</v>
      </c>
      <c r="C2634" t="s">
        <v>449</v>
      </c>
      <c r="D2634" s="180" t="s">
        <v>30</v>
      </c>
      <c r="E2634" t="s">
        <v>5355</v>
      </c>
      <c r="F2634" t="s">
        <v>5356</v>
      </c>
      <c r="G2634" s="180">
        <v>314</v>
      </c>
      <c r="H2634">
        <v>2013</v>
      </c>
      <c r="J2634" s="1334" t="s">
        <v>475</v>
      </c>
      <c r="K2634" s="1335" t="s">
        <v>475</v>
      </c>
      <c r="L2634" s="180">
        <v>100</v>
      </c>
      <c r="M2634" t="s">
        <v>80</v>
      </c>
      <c r="N2634" t="str">
        <f t="shared" si="166"/>
        <v>Univ Park Rec Complex-Pump Hse (0539)</v>
      </c>
      <c r="O2634" t="s">
        <v>44</v>
      </c>
      <c r="P2634" t="str">
        <f t="shared" si="167"/>
        <v>39000_0539</v>
      </c>
      <c r="Q2634" s="180">
        <v>0</v>
      </c>
    </row>
    <row r="2635" spans="1:17">
      <c r="A2635" t="str">
        <f t="shared" si="164"/>
        <v>GSOU_0540</v>
      </c>
      <c r="B2635" t="str">
        <f t="shared" si="165"/>
        <v>GSOU_Paulson Stad. Restroom NE</v>
      </c>
      <c r="C2635" t="s">
        <v>449</v>
      </c>
      <c r="D2635" s="180" t="s">
        <v>30</v>
      </c>
      <c r="E2635" t="s">
        <v>4796</v>
      </c>
      <c r="F2635" t="s">
        <v>5520</v>
      </c>
      <c r="G2635" s="180">
        <v>2248</v>
      </c>
      <c r="H2635">
        <v>2013</v>
      </c>
      <c r="J2635" s="1334" t="s">
        <v>486</v>
      </c>
      <c r="K2635" s="1335" t="s">
        <v>475</v>
      </c>
      <c r="L2635" s="180">
        <v>0</v>
      </c>
      <c r="M2635" t="s">
        <v>80</v>
      </c>
      <c r="N2635" t="str">
        <f t="shared" si="166"/>
        <v>Paulson Stad. Restroom NE (0540)</v>
      </c>
      <c r="O2635" t="s">
        <v>44</v>
      </c>
      <c r="P2635" t="str">
        <f t="shared" si="167"/>
        <v>39000_0540</v>
      </c>
      <c r="Q2635" s="180">
        <v>0</v>
      </c>
    </row>
    <row r="2636" spans="1:17">
      <c r="A2636" t="str">
        <f t="shared" si="164"/>
        <v>GSOU_0541</v>
      </c>
      <c r="B2636" t="str">
        <f t="shared" si="165"/>
        <v>GSOU_Paulson Stad. Concession N Ctr</v>
      </c>
      <c r="C2636" t="s">
        <v>449</v>
      </c>
      <c r="D2636" s="180" t="s">
        <v>30</v>
      </c>
      <c r="E2636" t="s">
        <v>5521</v>
      </c>
      <c r="F2636" t="s">
        <v>5522</v>
      </c>
      <c r="G2636" s="180">
        <v>3672</v>
      </c>
      <c r="H2636">
        <v>2013</v>
      </c>
      <c r="J2636" s="1334" t="s">
        <v>486</v>
      </c>
      <c r="K2636" s="1335" t="s">
        <v>475</v>
      </c>
      <c r="L2636" s="180">
        <v>0</v>
      </c>
      <c r="M2636" t="s">
        <v>80</v>
      </c>
      <c r="N2636" t="str">
        <f t="shared" si="166"/>
        <v>Paulson Stad. Concession N Ctr (0541)</v>
      </c>
      <c r="O2636" t="s">
        <v>44</v>
      </c>
      <c r="P2636" t="str">
        <f t="shared" si="167"/>
        <v>39000_0541</v>
      </c>
      <c r="Q2636" s="180">
        <v>0</v>
      </c>
    </row>
    <row r="2637" spans="1:17">
      <c r="A2637" t="str">
        <f t="shared" si="164"/>
        <v>GSOU_0542</v>
      </c>
      <c r="B2637" t="str">
        <f t="shared" si="165"/>
        <v>GSOU_Paulson Stad. Restroom NW</v>
      </c>
      <c r="C2637" t="s">
        <v>449</v>
      </c>
      <c r="D2637" s="180" t="s">
        <v>30</v>
      </c>
      <c r="E2637" t="s">
        <v>5425</v>
      </c>
      <c r="F2637" t="s">
        <v>5426</v>
      </c>
      <c r="G2637" s="180">
        <v>2248</v>
      </c>
      <c r="H2637">
        <v>2013</v>
      </c>
      <c r="J2637" s="1334" t="s">
        <v>486</v>
      </c>
      <c r="K2637" s="1335" t="s">
        <v>475</v>
      </c>
      <c r="L2637" s="180">
        <v>0</v>
      </c>
      <c r="M2637" t="s">
        <v>80</v>
      </c>
      <c r="N2637" t="str">
        <f t="shared" si="166"/>
        <v>Paulson Stad. Restroom NW (0542)</v>
      </c>
      <c r="O2637" t="s">
        <v>44</v>
      </c>
      <c r="P2637" t="str">
        <f t="shared" si="167"/>
        <v>39000_0542</v>
      </c>
      <c r="Q2637" s="180">
        <v>0</v>
      </c>
    </row>
    <row r="2638" spans="1:17">
      <c r="A2638" t="str">
        <f t="shared" si="164"/>
        <v>GSOU_0543</v>
      </c>
      <c r="B2638" t="str">
        <f t="shared" si="165"/>
        <v>GSOU_Ticket Booth 2</v>
      </c>
      <c r="C2638" t="s">
        <v>449</v>
      </c>
      <c r="D2638" s="180" t="s">
        <v>30</v>
      </c>
      <c r="E2638" t="s">
        <v>5527</v>
      </c>
      <c r="F2638" t="s">
        <v>5528</v>
      </c>
      <c r="G2638" s="180">
        <v>125</v>
      </c>
      <c r="H2638">
        <v>1984</v>
      </c>
      <c r="J2638" s="1334" t="s">
        <v>475</v>
      </c>
      <c r="K2638" s="1335" t="s">
        <v>475</v>
      </c>
      <c r="L2638" s="180">
        <v>0</v>
      </c>
      <c r="M2638" t="s">
        <v>80</v>
      </c>
      <c r="N2638" t="str">
        <f t="shared" si="166"/>
        <v>Ticket Booth 2 (0543)</v>
      </c>
      <c r="O2638" t="s">
        <v>44</v>
      </c>
      <c r="P2638" t="str">
        <f t="shared" si="167"/>
        <v>39000_0543</v>
      </c>
      <c r="Q2638" s="180">
        <v>0</v>
      </c>
    </row>
    <row r="2639" spans="1:17">
      <c r="A2639" t="str">
        <f t="shared" si="164"/>
        <v>GSOU_0545</v>
      </c>
      <c r="B2639" t="str">
        <f t="shared" si="165"/>
        <v>GSOU_APT Family Training Center</v>
      </c>
      <c r="C2639" t="s">
        <v>449</v>
      </c>
      <c r="D2639" s="180" t="s">
        <v>30</v>
      </c>
      <c r="E2639" t="s">
        <v>4888</v>
      </c>
      <c r="F2639" t="s">
        <v>7766</v>
      </c>
      <c r="G2639" s="180">
        <v>95950</v>
      </c>
      <c r="H2639">
        <v>2022</v>
      </c>
      <c r="J2639" s="1334" t="s">
        <v>475</v>
      </c>
      <c r="K2639" s="1335" t="s">
        <v>901</v>
      </c>
      <c r="L2639" s="180">
        <v>0</v>
      </c>
      <c r="M2639" t="s">
        <v>80</v>
      </c>
      <c r="N2639" t="str">
        <f t="shared" si="166"/>
        <v>APT Family Training Center (0545)</v>
      </c>
      <c r="O2639" t="s">
        <v>44</v>
      </c>
      <c r="P2639" t="str">
        <f t="shared" si="167"/>
        <v>39000_0545</v>
      </c>
      <c r="Q2639" s="180">
        <v>0</v>
      </c>
    </row>
    <row r="2640" spans="1:17">
      <c r="A2640" t="str">
        <f t="shared" si="164"/>
        <v>GSOU_0550</v>
      </c>
      <c r="B2640" t="str">
        <f t="shared" si="165"/>
        <v>GSOU_Jack &amp; Ruth Ann Hill Convo Ctr</v>
      </c>
      <c r="C2640" t="s">
        <v>449</v>
      </c>
      <c r="D2640" s="180" t="s">
        <v>30</v>
      </c>
      <c r="E2640" t="s">
        <v>4784</v>
      </c>
      <c r="F2640" t="s">
        <v>7767</v>
      </c>
      <c r="G2640" s="180">
        <v>95514</v>
      </c>
      <c r="H2640">
        <v>2023</v>
      </c>
      <c r="J2640" s="1334" t="s">
        <v>520</v>
      </c>
      <c r="K2640" s="1335" t="s">
        <v>920</v>
      </c>
      <c r="L2640" s="180">
        <v>100</v>
      </c>
      <c r="M2640" t="s">
        <v>80</v>
      </c>
      <c r="N2640" t="str">
        <f t="shared" si="166"/>
        <v>Jack &amp; Ruth Ann Hill Convo Ctr (0550)</v>
      </c>
      <c r="O2640" t="s">
        <v>44</v>
      </c>
      <c r="P2640" t="str">
        <f t="shared" si="167"/>
        <v>39000_0550</v>
      </c>
      <c r="Q2640" s="180">
        <v>0</v>
      </c>
    </row>
    <row r="2641" spans="1:17">
      <c r="A2641" t="str">
        <f t="shared" si="164"/>
        <v>GSOU_0603</v>
      </c>
      <c r="B2641" t="str">
        <f t="shared" si="165"/>
        <v>GSOU_Paulson Stadium</v>
      </c>
      <c r="C2641" t="s">
        <v>449</v>
      </c>
      <c r="D2641" s="180" t="s">
        <v>30</v>
      </c>
      <c r="E2641" t="s">
        <v>704</v>
      </c>
      <c r="F2641" t="s">
        <v>5497</v>
      </c>
      <c r="G2641" s="180">
        <v>69125</v>
      </c>
      <c r="H2641">
        <v>1984</v>
      </c>
      <c r="J2641" s="1334" t="s">
        <v>475</v>
      </c>
      <c r="K2641" s="1335" t="s">
        <v>475</v>
      </c>
      <c r="L2641" s="180">
        <v>0</v>
      </c>
      <c r="M2641" t="s">
        <v>80</v>
      </c>
      <c r="N2641" t="str">
        <f t="shared" si="166"/>
        <v>Paulson Stadium (0603)</v>
      </c>
      <c r="O2641" t="s">
        <v>44</v>
      </c>
      <c r="P2641" t="str">
        <f t="shared" si="167"/>
        <v>39000_0603</v>
      </c>
      <c r="Q2641" s="180">
        <v>0</v>
      </c>
    </row>
    <row r="2642" spans="1:17">
      <c r="A2642" t="str">
        <f t="shared" si="164"/>
        <v>GSOU_0607</v>
      </c>
      <c r="B2642" t="str">
        <f t="shared" si="165"/>
        <v>GSOU_Bldg. 607</v>
      </c>
      <c r="C2642" t="s">
        <v>449</v>
      </c>
      <c r="D2642" s="180" t="s">
        <v>30</v>
      </c>
      <c r="E2642" t="s">
        <v>5147</v>
      </c>
      <c r="F2642" t="s">
        <v>5148</v>
      </c>
      <c r="G2642" s="180">
        <v>2400</v>
      </c>
      <c r="H2642">
        <v>2005</v>
      </c>
      <c r="J2642" s="1334" t="s">
        <v>475</v>
      </c>
      <c r="K2642" s="1335" t="s">
        <v>475</v>
      </c>
      <c r="L2642" s="180">
        <v>100</v>
      </c>
      <c r="M2642" t="s">
        <v>80</v>
      </c>
      <c r="N2642" t="str">
        <f t="shared" si="166"/>
        <v>Bldg. 607 (0607)</v>
      </c>
      <c r="O2642" t="s">
        <v>44</v>
      </c>
      <c r="P2642" t="str">
        <f t="shared" si="167"/>
        <v>39000_0607</v>
      </c>
      <c r="Q2642" s="180">
        <v>0</v>
      </c>
    </row>
    <row r="2643" spans="1:17">
      <c r="A2643" t="str">
        <f t="shared" si="164"/>
        <v>GSOU_0615</v>
      </c>
      <c r="B2643" t="str">
        <f t="shared" si="165"/>
        <v>GSOU_Garden Administration Bldg.</v>
      </c>
      <c r="C2643" t="s">
        <v>449</v>
      </c>
      <c r="D2643" s="180" t="s">
        <v>30</v>
      </c>
      <c r="E2643" t="s">
        <v>4874</v>
      </c>
      <c r="F2643" t="s">
        <v>5164</v>
      </c>
      <c r="G2643" s="180">
        <v>2315</v>
      </c>
      <c r="H2643">
        <v>2000</v>
      </c>
      <c r="J2643" s="1334" t="s">
        <v>475</v>
      </c>
      <c r="K2643" s="1335" t="s">
        <v>475</v>
      </c>
      <c r="L2643" s="180">
        <v>100</v>
      </c>
      <c r="M2643" t="s">
        <v>80</v>
      </c>
      <c r="N2643" t="str">
        <f t="shared" si="166"/>
        <v>Garden Administration Bldg. (0615)</v>
      </c>
      <c r="O2643" t="s">
        <v>44</v>
      </c>
      <c r="P2643" t="str">
        <f t="shared" si="167"/>
        <v>39000_0615</v>
      </c>
      <c r="Q2643" s="180">
        <v>0</v>
      </c>
    </row>
    <row r="2644" spans="1:17">
      <c r="A2644" t="str">
        <f t="shared" si="164"/>
        <v>GSOU_0616</v>
      </c>
      <c r="B2644" t="str">
        <f t="shared" si="165"/>
        <v>GSOU_Bland Cottage</v>
      </c>
      <c r="C2644" t="s">
        <v>449</v>
      </c>
      <c r="D2644" s="180" t="s">
        <v>30</v>
      </c>
      <c r="E2644" t="s">
        <v>5284</v>
      </c>
      <c r="F2644" t="s">
        <v>5285</v>
      </c>
      <c r="G2644" s="180">
        <v>1317</v>
      </c>
      <c r="H2644">
        <v>1929</v>
      </c>
      <c r="J2644" s="1334" t="s">
        <v>475</v>
      </c>
      <c r="K2644" s="1335" t="s">
        <v>475</v>
      </c>
      <c r="L2644" s="180">
        <v>100</v>
      </c>
      <c r="M2644" t="s">
        <v>80</v>
      </c>
      <c r="N2644" t="str">
        <f t="shared" si="166"/>
        <v>Bland Cottage (0616)</v>
      </c>
      <c r="O2644" t="s">
        <v>44</v>
      </c>
      <c r="P2644" t="str">
        <f t="shared" si="167"/>
        <v>39000_0616</v>
      </c>
      <c r="Q2644" s="180">
        <v>0</v>
      </c>
    </row>
    <row r="2645" spans="1:17">
      <c r="A2645" t="str">
        <f t="shared" si="164"/>
        <v>GSOU_0617</v>
      </c>
      <c r="B2645" t="str">
        <f t="shared" si="165"/>
        <v>GSOU_WeatherVane Barn</v>
      </c>
      <c r="C2645" t="s">
        <v>449</v>
      </c>
      <c r="D2645" s="180" t="s">
        <v>30</v>
      </c>
      <c r="E2645" t="s">
        <v>5516</v>
      </c>
      <c r="F2645" t="s">
        <v>5517</v>
      </c>
      <c r="G2645" s="180">
        <v>1746</v>
      </c>
      <c r="H2645">
        <v>1930</v>
      </c>
      <c r="J2645" s="1334" t="s">
        <v>475</v>
      </c>
      <c r="K2645" s="1335" t="s">
        <v>475</v>
      </c>
      <c r="L2645" s="180">
        <v>100</v>
      </c>
      <c r="M2645" t="s">
        <v>80</v>
      </c>
      <c r="N2645" t="str">
        <f t="shared" si="166"/>
        <v>WeatherVane Barn (0617)</v>
      </c>
      <c r="O2645" t="s">
        <v>44</v>
      </c>
      <c r="P2645" t="str">
        <f t="shared" si="167"/>
        <v>39000_0617</v>
      </c>
      <c r="Q2645" s="180">
        <v>0</v>
      </c>
    </row>
    <row r="2646" spans="1:17">
      <c r="A2646" t="str">
        <f t="shared" si="164"/>
        <v>GSOU_0624</v>
      </c>
      <c r="B2646" t="str">
        <f t="shared" si="165"/>
        <v>GSOU_Heritage Pavilion</v>
      </c>
      <c r="C2646" t="s">
        <v>449</v>
      </c>
      <c r="D2646" s="180" t="s">
        <v>30</v>
      </c>
      <c r="E2646" t="s">
        <v>5492</v>
      </c>
      <c r="F2646" t="s">
        <v>5493</v>
      </c>
      <c r="G2646" s="180">
        <v>3946</v>
      </c>
      <c r="H2646">
        <v>2008</v>
      </c>
      <c r="J2646" s="1334" t="s">
        <v>475</v>
      </c>
      <c r="K2646" s="1335" t="s">
        <v>475</v>
      </c>
      <c r="L2646" s="180">
        <v>100</v>
      </c>
      <c r="M2646" t="s">
        <v>80</v>
      </c>
      <c r="N2646" t="str">
        <f t="shared" si="166"/>
        <v>Heritage Pavilion (0624)</v>
      </c>
      <c r="O2646" t="s">
        <v>44</v>
      </c>
      <c r="P2646" t="str">
        <f t="shared" si="167"/>
        <v>39000_0624</v>
      </c>
      <c r="Q2646" s="180">
        <v>0</v>
      </c>
    </row>
    <row r="2647" spans="1:17">
      <c r="A2647" t="str">
        <f t="shared" si="164"/>
        <v>GSOU_0625</v>
      </c>
      <c r="B2647" t="str">
        <f t="shared" si="165"/>
        <v>GSOU_Oak Grove Schoolhouse</v>
      </c>
      <c r="C2647" t="s">
        <v>449</v>
      </c>
      <c r="D2647" s="180" t="s">
        <v>30</v>
      </c>
      <c r="E2647" t="s">
        <v>5246</v>
      </c>
      <c r="F2647" t="s">
        <v>5247</v>
      </c>
      <c r="G2647" s="180">
        <v>632</v>
      </c>
      <c r="H2647">
        <v>1890</v>
      </c>
      <c r="J2647" s="1334" t="s">
        <v>475</v>
      </c>
      <c r="K2647" s="1335" t="s">
        <v>475</v>
      </c>
      <c r="L2647" s="180">
        <v>100</v>
      </c>
      <c r="M2647" t="s">
        <v>80</v>
      </c>
      <c r="N2647" t="str">
        <f t="shared" si="166"/>
        <v>Oak Grove Schoolhouse (0625)</v>
      </c>
      <c r="O2647" t="s">
        <v>44</v>
      </c>
      <c r="P2647" t="str">
        <f t="shared" si="167"/>
        <v>39000_0625</v>
      </c>
      <c r="Q2647" s="180">
        <v>0</v>
      </c>
    </row>
    <row r="2648" spans="1:17">
      <c r="A2648" t="str">
        <f t="shared" si="164"/>
        <v>GSOU_0715</v>
      </c>
      <c r="B2648" t="str">
        <f t="shared" si="165"/>
        <v>GSOU_301 Building</v>
      </c>
      <c r="C2648" t="s">
        <v>449</v>
      </c>
      <c r="D2648" s="180" t="s">
        <v>30</v>
      </c>
      <c r="E2648" t="s">
        <v>4698</v>
      </c>
      <c r="F2648" t="s">
        <v>7099</v>
      </c>
      <c r="G2648" s="180">
        <v>33659</v>
      </c>
      <c r="H2648">
        <v>2010</v>
      </c>
      <c r="I2648">
        <v>2021</v>
      </c>
      <c r="J2648" s="1334" t="s">
        <v>520</v>
      </c>
      <c r="K2648" s="1335" t="s">
        <v>475</v>
      </c>
      <c r="L2648" s="180">
        <v>100</v>
      </c>
      <c r="M2648" t="s">
        <v>4</v>
      </c>
      <c r="N2648" t="str">
        <f t="shared" si="166"/>
        <v>301 Building (0715)</v>
      </c>
      <c r="O2648" t="s">
        <v>44</v>
      </c>
      <c r="P2648" t="str">
        <f t="shared" si="167"/>
        <v>39000_0715</v>
      </c>
      <c r="Q2648" s="180">
        <v>0</v>
      </c>
    </row>
    <row r="2649" spans="1:17">
      <c r="A2649" t="str">
        <f t="shared" si="164"/>
        <v>GSOU_0720</v>
      </c>
      <c r="B2649" t="str">
        <f t="shared" si="165"/>
        <v>GSOU_GA Southern Research Lab Bldg1</v>
      </c>
      <c r="C2649" t="s">
        <v>449</v>
      </c>
      <c r="D2649" s="180" t="s">
        <v>30</v>
      </c>
      <c r="E2649" t="s">
        <v>849</v>
      </c>
      <c r="F2649" t="s">
        <v>5290</v>
      </c>
      <c r="G2649" s="180">
        <v>4488</v>
      </c>
      <c r="H2649">
        <v>1986</v>
      </c>
      <c r="I2649">
        <v>2021</v>
      </c>
      <c r="J2649" s="1334" t="s">
        <v>475</v>
      </c>
      <c r="K2649" s="1335" t="s">
        <v>475</v>
      </c>
      <c r="L2649" s="180">
        <v>100</v>
      </c>
      <c r="M2649" t="s">
        <v>4</v>
      </c>
      <c r="N2649" t="str">
        <f t="shared" si="166"/>
        <v>GA Southern Research Lab Bldg1 (0720)</v>
      </c>
      <c r="O2649" t="s">
        <v>44</v>
      </c>
      <c r="P2649" t="str">
        <f t="shared" si="167"/>
        <v>39000_0720</v>
      </c>
      <c r="Q2649" s="180">
        <v>0</v>
      </c>
    </row>
    <row r="2650" spans="1:17">
      <c r="A2650" t="str">
        <f t="shared" si="164"/>
        <v>GSOU_0721</v>
      </c>
      <c r="B2650" t="str">
        <f t="shared" si="165"/>
        <v>GSOU_GA Southern Research Lab Bldg2</v>
      </c>
      <c r="C2650" t="s">
        <v>449</v>
      </c>
      <c r="D2650" s="180" t="s">
        <v>30</v>
      </c>
      <c r="E2650" t="s">
        <v>5249</v>
      </c>
      <c r="F2650" t="s">
        <v>5250</v>
      </c>
      <c r="G2650" s="180">
        <v>1496</v>
      </c>
      <c r="H2650">
        <v>1986</v>
      </c>
      <c r="J2650" s="1334" t="s">
        <v>475</v>
      </c>
      <c r="K2650" s="1335" t="s">
        <v>475</v>
      </c>
      <c r="L2650" s="180">
        <v>100</v>
      </c>
      <c r="M2650" t="s">
        <v>4</v>
      </c>
      <c r="N2650" t="str">
        <f t="shared" si="166"/>
        <v>GA Southern Research Lab Bldg2 (0721)</v>
      </c>
      <c r="O2650" t="s">
        <v>44</v>
      </c>
      <c r="P2650" t="str">
        <f t="shared" si="167"/>
        <v>39000_0721</v>
      </c>
      <c r="Q2650" s="180">
        <v>0</v>
      </c>
    </row>
    <row r="2651" spans="1:17">
      <c r="A2651" t="str">
        <f t="shared" si="164"/>
        <v>GSOU_0722</v>
      </c>
      <c r="B2651" t="str">
        <f t="shared" si="165"/>
        <v>GSOU_GA Southern Research Lab Bldg3</v>
      </c>
      <c r="C2651" t="s">
        <v>449</v>
      </c>
      <c r="D2651" s="180" t="s">
        <v>30</v>
      </c>
      <c r="E2651" t="s">
        <v>5347</v>
      </c>
      <c r="F2651" t="s">
        <v>5348</v>
      </c>
      <c r="G2651" s="180">
        <v>9200</v>
      </c>
      <c r="H2651">
        <v>1986</v>
      </c>
      <c r="J2651" s="1334" t="s">
        <v>475</v>
      </c>
      <c r="K2651" s="1335" t="s">
        <v>475</v>
      </c>
      <c r="L2651" s="180">
        <v>100</v>
      </c>
      <c r="M2651" t="s">
        <v>4</v>
      </c>
      <c r="N2651" t="str">
        <f t="shared" si="166"/>
        <v>GA Southern Research Lab Bldg3 (0722)</v>
      </c>
      <c r="O2651" t="s">
        <v>44</v>
      </c>
      <c r="P2651" t="str">
        <f t="shared" si="167"/>
        <v>39000_0722</v>
      </c>
      <c r="Q2651" s="180">
        <v>0</v>
      </c>
    </row>
    <row r="2652" spans="1:17">
      <c r="A2652" t="str">
        <f t="shared" si="164"/>
        <v>GSOU_0723</v>
      </c>
      <c r="B2652" t="str">
        <f t="shared" si="165"/>
        <v>GSOU_GA Southern Research Lab Bldg4</v>
      </c>
      <c r="C2652" t="s">
        <v>449</v>
      </c>
      <c r="D2652" s="180" t="s">
        <v>30</v>
      </c>
      <c r="E2652" t="s">
        <v>5394</v>
      </c>
      <c r="F2652" t="s">
        <v>5395</v>
      </c>
      <c r="G2652" s="180">
        <v>5936</v>
      </c>
      <c r="H2652">
        <v>2003</v>
      </c>
      <c r="I2652">
        <v>2023</v>
      </c>
      <c r="J2652" s="1334" t="s">
        <v>475</v>
      </c>
      <c r="K2652" s="1335" t="s">
        <v>475</v>
      </c>
      <c r="L2652" s="180">
        <v>100</v>
      </c>
      <c r="M2652" t="s">
        <v>4</v>
      </c>
      <c r="N2652" t="str">
        <f t="shared" si="166"/>
        <v>GA Southern Research Lab Bldg4 (0723)</v>
      </c>
      <c r="O2652" t="s">
        <v>44</v>
      </c>
      <c r="P2652" t="str">
        <f t="shared" si="167"/>
        <v>39000_0723</v>
      </c>
      <c r="Q2652" s="180">
        <v>0</v>
      </c>
    </row>
    <row r="2653" spans="1:17">
      <c r="A2653" t="str">
        <f t="shared" si="164"/>
        <v>GSOU_0724</v>
      </c>
      <c r="B2653" t="str">
        <f t="shared" si="165"/>
        <v>GSOU_GA Southern Research Lab Bldg5</v>
      </c>
      <c r="C2653" t="s">
        <v>449</v>
      </c>
      <c r="D2653" s="180" t="s">
        <v>30</v>
      </c>
      <c r="E2653" t="s">
        <v>5295</v>
      </c>
      <c r="F2653" t="s">
        <v>5296</v>
      </c>
      <c r="G2653" s="180">
        <v>2336</v>
      </c>
      <c r="H2653">
        <v>2003</v>
      </c>
      <c r="J2653" s="1334" t="s">
        <v>475</v>
      </c>
      <c r="K2653" s="1335" t="s">
        <v>475</v>
      </c>
      <c r="L2653" s="180">
        <v>100</v>
      </c>
      <c r="M2653" t="s">
        <v>4</v>
      </c>
      <c r="N2653" t="str">
        <f t="shared" si="166"/>
        <v>GA Southern Research Lab Bldg5 (0724)</v>
      </c>
      <c r="O2653" t="s">
        <v>44</v>
      </c>
      <c r="P2653" t="str">
        <f t="shared" si="167"/>
        <v>39000_0724</v>
      </c>
      <c r="Q2653" s="180">
        <v>0</v>
      </c>
    </row>
    <row r="2654" spans="1:17">
      <c r="A2654" t="str">
        <f t="shared" si="164"/>
        <v>GSOU_0725</v>
      </c>
      <c r="B2654" t="str">
        <f t="shared" si="165"/>
        <v>GSOU_GA Southern Research Lab Bldg6</v>
      </c>
      <c r="C2654" t="s">
        <v>449</v>
      </c>
      <c r="D2654" s="180" t="s">
        <v>30</v>
      </c>
      <c r="E2654" t="s">
        <v>7027</v>
      </c>
      <c r="F2654" t="s">
        <v>7100</v>
      </c>
      <c r="G2654" s="180">
        <v>2900</v>
      </c>
      <c r="H2654">
        <v>1985</v>
      </c>
      <c r="J2654" s="1334" t="s">
        <v>475</v>
      </c>
      <c r="K2654" s="1335" t="s">
        <v>475</v>
      </c>
      <c r="L2654" s="180">
        <v>100</v>
      </c>
      <c r="M2654" t="s">
        <v>4</v>
      </c>
      <c r="N2654" t="str">
        <f t="shared" si="166"/>
        <v>GA Southern Research Lab Bldg6 (0725)</v>
      </c>
      <c r="O2654" t="s">
        <v>44</v>
      </c>
      <c r="P2654" t="str">
        <f t="shared" si="167"/>
        <v>39000_0725</v>
      </c>
      <c r="Q2654" s="180">
        <v>0</v>
      </c>
    </row>
    <row r="2655" spans="1:17">
      <c r="A2655" t="str">
        <f t="shared" si="164"/>
        <v>GSOU_244A</v>
      </c>
      <c r="B2655" t="str">
        <f t="shared" si="165"/>
        <v>GSOU_Wildlife Center Picnic Shelter</v>
      </c>
      <c r="C2655" t="s">
        <v>449</v>
      </c>
      <c r="D2655" s="180" t="s">
        <v>30</v>
      </c>
      <c r="E2655" t="s">
        <v>7629</v>
      </c>
      <c r="F2655" t="s">
        <v>7768</v>
      </c>
      <c r="G2655" s="180">
        <v>1440</v>
      </c>
      <c r="H2655">
        <v>2024</v>
      </c>
      <c r="J2655" s="1334" t="s">
        <v>475</v>
      </c>
      <c r="K2655" s="1335" t="s">
        <v>901</v>
      </c>
      <c r="L2655" s="180">
        <v>100</v>
      </c>
      <c r="M2655" t="s">
        <v>80</v>
      </c>
      <c r="N2655" t="str">
        <f t="shared" si="166"/>
        <v>Wildlife Center Picnic Shelter (244A)</v>
      </c>
      <c r="O2655" t="s">
        <v>44</v>
      </c>
      <c r="P2655" t="str">
        <f t="shared" si="167"/>
        <v>39000_244A</v>
      </c>
      <c r="Q2655" s="180">
        <v>0</v>
      </c>
    </row>
    <row r="2656" spans="1:17">
      <c r="A2656" t="str">
        <f t="shared" si="164"/>
        <v>GSOU_A1</v>
      </c>
      <c r="B2656" t="str">
        <f t="shared" si="165"/>
        <v>GSOU_University Police Department</v>
      </c>
      <c r="C2656" t="s">
        <v>449</v>
      </c>
      <c r="D2656" s="180" t="s">
        <v>30</v>
      </c>
      <c r="E2656" t="s">
        <v>5479</v>
      </c>
      <c r="F2656" t="s">
        <v>5480</v>
      </c>
      <c r="G2656" s="180">
        <v>7885</v>
      </c>
      <c r="H2656">
        <v>1994</v>
      </c>
      <c r="I2656">
        <v>2007</v>
      </c>
      <c r="J2656" s="1334" t="s">
        <v>475</v>
      </c>
      <c r="K2656" s="1335" t="s">
        <v>475</v>
      </c>
      <c r="L2656" s="180">
        <v>100</v>
      </c>
      <c r="M2656" t="s">
        <v>348</v>
      </c>
      <c r="N2656" t="str">
        <f t="shared" si="166"/>
        <v>University Police Department (A1)</v>
      </c>
      <c r="O2656" t="s">
        <v>44</v>
      </c>
      <c r="P2656" t="str">
        <f t="shared" si="167"/>
        <v>39000_A1</v>
      </c>
      <c r="Q2656" s="180">
        <v>0</v>
      </c>
    </row>
    <row r="2657" spans="1:17">
      <c r="A2657" t="str">
        <f t="shared" si="164"/>
        <v>GSOU_A2</v>
      </c>
      <c r="B2657" t="str">
        <f t="shared" si="165"/>
        <v>GSOU_Annex #2</v>
      </c>
      <c r="C2657" t="s">
        <v>449</v>
      </c>
      <c r="D2657" s="180" t="s">
        <v>30</v>
      </c>
      <c r="E2657" t="s">
        <v>5123</v>
      </c>
      <c r="F2657" t="s">
        <v>5124</v>
      </c>
      <c r="G2657" s="180">
        <v>14097</v>
      </c>
      <c r="H2657">
        <v>1965</v>
      </c>
      <c r="I2657">
        <v>2010</v>
      </c>
      <c r="J2657" s="1334" t="s">
        <v>520</v>
      </c>
      <c r="K2657" s="1335" t="s">
        <v>475</v>
      </c>
      <c r="L2657" s="180">
        <v>100</v>
      </c>
      <c r="M2657" t="s">
        <v>348</v>
      </c>
      <c r="N2657" t="str">
        <f t="shared" si="166"/>
        <v>Annex #2 (A2)</v>
      </c>
      <c r="O2657" t="s">
        <v>44</v>
      </c>
      <c r="P2657" t="str">
        <f t="shared" si="167"/>
        <v>39000_A2</v>
      </c>
      <c r="Q2657" s="180">
        <v>0</v>
      </c>
    </row>
    <row r="2658" spans="1:17">
      <c r="A2658" t="str">
        <f t="shared" si="164"/>
        <v>GSOU_A3</v>
      </c>
      <c r="B2658" t="str">
        <f t="shared" si="165"/>
        <v>GSOU_Parking and Card Services</v>
      </c>
      <c r="C2658" t="s">
        <v>449</v>
      </c>
      <c r="D2658" s="180" t="s">
        <v>30</v>
      </c>
      <c r="E2658" t="s">
        <v>5486</v>
      </c>
      <c r="F2658" t="s">
        <v>5487</v>
      </c>
      <c r="G2658" s="180">
        <v>1516</v>
      </c>
      <c r="H2658">
        <v>1982</v>
      </c>
      <c r="I2658">
        <v>2013</v>
      </c>
      <c r="J2658" s="1334" t="s">
        <v>475</v>
      </c>
      <c r="K2658" s="1335" t="s">
        <v>475</v>
      </c>
      <c r="L2658" s="180">
        <v>0</v>
      </c>
      <c r="M2658" t="s">
        <v>348</v>
      </c>
      <c r="N2658" t="str">
        <f t="shared" si="166"/>
        <v>Parking and Card Services (A3)</v>
      </c>
      <c r="O2658" t="s">
        <v>44</v>
      </c>
      <c r="P2658" t="str">
        <f t="shared" si="167"/>
        <v>39000_A3</v>
      </c>
      <c r="Q2658" s="180">
        <v>0</v>
      </c>
    </row>
    <row r="2659" spans="1:17">
      <c r="A2659" t="str">
        <f t="shared" si="164"/>
        <v>GSOU_ADV</v>
      </c>
      <c r="B2659" t="str">
        <f t="shared" si="165"/>
        <v>GSOU_Student Success Complex</v>
      </c>
      <c r="C2659" t="s">
        <v>449</v>
      </c>
      <c r="D2659" s="180" t="s">
        <v>30</v>
      </c>
      <c r="E2659" t="s">
        <v>5529</v>
      </c>
      <c r="F2659" t="s">
        <v>5530</v>
      </c>
      <c r="G2659" s="180">
        <v>42231</v>
      </c>
      <c r="H2659">
        <v>2016</v>
      </c>
      <c r="I2659">
        <v>2021</v>
      </c>
      <c r="J2659" s="1334" t="s">
        <v>475</v>
      </c>
      <c r="K2659" s="1335" t="s">
        <v>475</v>
      </c>
      <c r="L2659" s="180">
        <v>100</v>
      </c>
      <c r="M2659" t="s">
        <v>348</v>
      </c>
      <c r="N2659" t="str">
        <f t="shared" si="166"/>
        <v>Student Success Complex (ADV)</v>
      </c>
      <c r="O2659" t="s">
        <v>44</v>
      </c>
      <c r="P2659" t="str">
        <f t="shared" si="167"/>
        <v>39000_ADV</v>
      </c>
      <c r="Q2659" s="180">
        <v>0</v>
      </c>
    </row>
    <row r="2660" spans="1:17">
      <c r="A2660" t="str">
        <f t="shared" si="164"/>
        <v>GSOU_AH</v>
      </c>
      <c r="B2660" t="str">
        <f t="shared" si="165"/>
        <v>GSOU_Ashmore Hall</v>
      </c>
      <c r="C2660" t="s">
        <v>449</v>
      </c>
      <c r="D2660" s="180" t="s">
        <v>30</v>
      </c>
      <c r="E2660" t="s">
        <v>5398</v>
      </c>
      <c r="F2660" t="s">
        <v>5399</v>
      </c>
      <c r="G2660" s="180">
        <v>46150</v>
      </c>
      <c r="H2660">
        <v>1978</v>
      </c>
      <c r="I2660">
        <v>2018</v>
      </c>
      <c r="J2660" s="1334" t="s">
        <v>475</v>
      </c>
      <c r="K2660" s="1335" t="s">
        <v>475</v>
      </c>
      <c r="L2660" s="180">
        <v>100</v>
      </c>
      <c r="M2660" t="s">
        <v>348</v>
      </c>
      <c r="N2660" t="str">
        <f t="shared" si="166"/>
        <v>Ashmore Hall (AH)</v>
      </c>
      <c r="O2660" t="s">
        <v>44</v>
      </c>
      <c r="P2660" t="str">
        <f t="shared" si="167"/>
        <v>39000_AH</v>
      </c>
      <c r="Q2660" s="180">
        <v>0</v>
      </c>
    </row>
    <row r="2661" spans="1:17">
      <c r="A2661" t="str">
        <f t="shared" si="164"/>
        <v>GSOU_AQ</v>
      </c>
      <c r="B2661" t="str">
        <f t="shared" si="165"/>
        <v>GSOU_Aquaponics Research</v>
      </c>
      <c r="C2661" t="s">
        <v>449</v>
      </c>
      <c r="D2661" s="180" t="s">
        <v>30</v>
      </c>
      <c r="E2661" t="s">
        <v>5227</v>
      </c>
      <c r="F2661" t="s">
        <v>5228</v>
      </c>
      <c r="G2661" s="180">
        <v>4950</v>
      </c>
      <c r="H2661">
        <v>2016</v>
      </c>
      <c r="J2661" s="1334" t="s">
        <v>475</v>
      </c>
      <c r="K2661" s="1335" t="s">
        <v>475</v>
      </c>
      <c r="L2661" s="180">
        <v>100</v>
      </c>
      <c r="M2661" t="s">
        <v>348</v>
      </c>
      <c r="N2661" t="str">
        <f t="shared" si="166"/>
        <v>Aquaponics Research (AQ)</v>
      </c>
      <c r="O2661" t="s">
        <v>44</v>
      </c>
      <c r="P2661" t="str">
        <f t="shared" si="167"/>
        <v>39000_AQ</v>
      </c>
      <c r="Q2661" s="180">
        <v>0</v>
      </c>
    </row>
    <row r="2662" spans="1:17">
      <c r="A2662" t="str">
        <f t="shared" si="164"/>
        <v>GSOU_AX</v>
      </c>
      <c r="B2662" t="str">
        <f t="shared" si="165"/>
        <v>GSOU_Armstrong Center</v>
      </c>
      <c r="C2662" t="s">
        <v>449</v>
      </c>
      <c r="D2662" s="180" t="s">
        <v>30</v>
      </c>
      <c r="E2662" t="s">
        <v>5313</v>
      </c>
      <c r="F2662" t="s">
        <v>5314</v>
      </c>
      <c r="G2662" s="180">
        <v>82550</v>
      </c>
      <c r="H2662">
        <v>1998</v>
      </c>
      <c r="J2662" s="1334" t="s">
        <v>486</v>
      </c>
      <c r="K2662" s="1335" t="s">
        <v>475</v>
      </c>
      <c r="L2662" s="180">
        <v>95</v>
      </c>
      <c r="M2662" t="s">
        <v>348</v>
      </c>
      <c r="N2662" t="str">
        <f t="shared" si="166"/>
        <v>Armstrong Center (AX)</v>
      </c>
      <c r="O2662" t="s">
        <v>44</v>
      </c>
      <c r="P2662" t="str">
        <f t="shared" si="167"/>
        <v>39000_AX</v>
      </c>
      <c r="Q2662" s="180">
        <v>0</v>
      </c>
    </row>
    <row r="2663" spans="1:17">
      <c r="A2663" t="str">
        <f t="shared" si="164"/>
        <v>GSOU_BB</v>
      </c>
      <c r="B2663" t="str">
        <f t="shared" si="165"/>
        <v>GSOU_Bank Building</v>
      </c>
      <c r="C2663" t="s">
        <v>449</v>
      </c>
      <c r="D2663" s="180" t="s">
        <v>30</v>
      </c>
      <c r="E2663" t="s">
        <v>7630</v>
      </c>
      <c r="F2663" t="s">
        <v>7769</v>
      </c>
      <c r="G2663" s="180">
        <v>2400</v>
      </c>
      <c r="H2663">
        <v>1900</v>
      </c>
      <c r="J2663" s="1334" t="s">
        <v>475</v>
      </c>
      <c r="K2663" s="1335" t="s">
        <v>475</v>
      </c>
      <c r="L2663" s="180">
        <v>100</v>
      </c>
      <c r="M2663" t="s">
        <v>348</v>
      </c>
      <c r="N2663" t="str">
        <f t="shared" si="166"/>
        <v>Bank Building (BB)</v>
      </c>
      <c r="O2663" t="s">
        <v>44</v>
      </c>
      <c r="P2663" t="str">
        <f t="shared" si="167"/>
        <v>39000_BB</v>
      </c>
      <c r="Q2663" s="180">
        <v>0</v>
      </c>
    </row>
    <row r="2664" spans="1:17">
      <c r="A2664" t="str">
        <f t="shared" si="164"/>
        <v>GSOU_BH</v>
      </c>
      <c r="B2664" t="str">
        <f t="shared" si="165"/>
        <v>GSOU_Burnett Hall</v>
      </c>
      <c r="C2664" t="s">
        <v>449</v>
      </c>
      <c r="D2664" s="180" t="s">
        <v>30</v>
      </c>
      <c r="E2664" t="s">
        <v>5229</v>
      </c>
      <c r="F2664" t="s">
        <v>5230</v>
      </c>
      <c r="G2664" s="180">
        <v>16896</v>
      </c>
      <c r="H2664">
        <v>1965</v>
      </c>
      <c r="I2664">
        <v>2004</v>
      </c>
      <c r="J2664" s="1334" t="s">
        <v>475</v>
      </c>
      <c r="K2664" s="1335" t="s">
        <v>475</v>
      </c>
      <c r="L2664" s="180">
        <v>100</v>
      </c>
      <c r="M2664" t="s">
        <v>348</v>
      </c>
      <c r="N2664" t="str">
        <f t="shared" si="166"/>
        <v>Burnett Hall (BH)</v>
      </c>
      <c r="O2664" t="s">
        <v>44</v>
      </c>
      <c r="P2664" t="str">
        <f t="shared" si="167"/>
        <v>39000_BH</v>
      </c>
      <c r="Q2664" s="180">
        <v>0</v>
      </c>
    </row>
    <row r="2665" spans="1:17">
      <c r="A2665" t="str">
        <f t="shared" si="164"/>
        <v>GSOU_EDS</v>
      </c>
      <c r="B2665" t="str">
        <f t="shared" si="165"/>
        <v>GSOU_Electrical Distribution System</v>
      </c>
      <c r="C2665" t="s">
        <v>449</v>
      </c>
      <c r="D2665" s="180" t="s">
        <v>30</v>
      </c>
      <c r="E2665" t="s">
        <v>5315</v>
      </c>
      <c r="F2665" t="s">
        <v>5316</v>
      </c>
      <c r="G2665" s="180">
        <v>1080</v>
      </c>
      <c r="H2665">
        <v>2001</v>
      </c>
      <c r="J2665" s="1334" t="s">
        <v>475</v>
      </c>
      <c r="K2665" s="1335" t="s">
        <v>475</v>
      </c>
      <c r="L2665" s="180">
        <v>100</v>
      </c>
      <c r="M2665" t="s">
        <v>348</v>
      </c>
      <c r="N2665" t="str">
        <f t="shared" si="166"/>
        <v>Electrical Distribution System (EDS)</v>
      </c>
      <c r="O2665" t="s">
        <v>44</v>
      </c>
      <c r="P2665" t="str">
        <f t="shared" si="167"/>
        <v>39000_EDS</v>
      </c>
      <c r="Q2665" s="180">
        <v>0</v>
      </c>
    </row>
    <row r="2666" spans="1:17">
      <c r="A2666" t="str">
        <f t="shared" si="164"/>
        <v>GSOU_FA</v>
      </c>
      <c r="B2666" t="str">
        <f t="shared" si="165"/>
        <v>GSOU_Fine Arts Building</v>
      </c>
      <c r="C2666" t="s">
        <v>449</v>
      </c>
      <c r="D2666" s="180" t="s">
        <v>30</v>
      </c>
      <c r="E2666" t="s">
        <v>5128</v>
      </c>
      <c r="F2666" t="s">
        <v>5129</v>
      </c>
      <c r="G2666" s="180">
        <v>58693</v>
      </c>
      <c r="H2666">
        <v>1974</v>
      </c>
      <c r="I2666">
        <v>2007</v>
      </c>
      <c r="J2666" s="1334" t="s">
        <v>520</v>
      </c>
      <c r="K2666" s="1335" t="s">
        <v>475</v>
      </c>
      <c r="L2666" s="180">
        <v>100</v>
      </c>
      <c r="M2666" t="s">
        <v>348</v>
      </c>
      <c r="N2666" t="str">
        <f t="shared" si="166"/>
        <v>Fine Arts Building (FA)</v>
      </c>
      <c r="O2666" t="s">
        <v>44</v>
      </c>
      <c r="P2666" t="str">
        <f t="shared" si="167"/>
        <v>39000_FA</v>
      </c>
      <c r="Q2666" s="180">
        <v>0</v>
      </c>
    </row>
    <row r="2667" spans="1:17">
      <c r="A2667" t="str">
        <f t="shared" si="164"/>
        <v>GSOU_G</v>
      </c>
      <c r="B2667" t="str">
        <f t="shared" si="165"/>
        <v>GSOU_Gamble Hall</v>
      </c>
      <c r="C2667" t="s">
        <v>449</v>
      </c>
      <c r="D2667" s="180" t="s">
        <v>30</v>
      </c>
      <c r="E2667" t="s">
        <v>4485</v>
      </c>
      <c r="F2667" t="s">
        <v>5201</v>
      </c>
      <c r="G2667" s="180">
        <v>25492</v>
      </c>
      <c r="H2667">
        <v>1965</v>
      </c>
      <c r="I2667">
        <v>2012</v>
      </c>
      <c r="J2667" s="1334" t="s">
        <v>520</v>
      </c>
      <c r="K2667" s="1335" t="s">
        <v>475</v>
      </c>
      <c r="L2667" s="180">
        <v>100</v>
      </c>
      <c r="M2667" t="s">
        <v>348</v>
      </c>
      <c r="N2667" t="str">
        <f t="shared" si="166"/>
        <v>Gamble Hall (G)</v>
      </c>
      <c r="O2667" t="s">
        <v>44</v>
      </c>
      <c r="P2667" t="str">
        <f t="shared" si="167"/>
        <v>39000_G</v>
      </c>
      <c r="Q2667" s="180">
        <v>0</v>
      </c>
    </row>
    <row r="2668" spans="1:17">
      <c r="A2668" t="str">
        <f t="shared" si="164"/>
        <v>GSOU_GR</v>
      </c>
      <c r="B2668" t="str">
        <f t="shared" si="165"/>
        <v>GSOU_Greenhouse</v>
      </c>
      <c r="C2668" t="s">
        <v>449</v>
      </c>
      <c r="D2668" s="180" t="s">
        <v>30</v>
      </c>
      <c r="E2668" t="s">
        <v>5241</v>
      </c>
      <c r="F2668" t="s">
        <v>1278</v>
      </c>
      <c r="G2668" s="180">
        <v>1540</v>
      </c>
      <c r="H2668">
        <v>2002</v>
      </c>
      <c r="J2668" s="1334" t="s">
        <v>475</v>
      </c>
      <c r="K2668" s="1335" t="s">
        <v>475</v>
      </c>
      <c r="L2668" s="180">
        <v>100</v>
      </c>
      <c r="M2668" t="s">
        <v>348</v>
      </c>
      <c r="N2668" t="str">
        <f t="shared" si="166"/>
        <v>Greenhouse (GR)</v>
      </c>
      <c r="O2668" t="s">
        <v>44</v>
      </c>
      <c r="P2668" t="str">
        <f t="shared" si="167"/>
        <v>39000_GR</v>
      </c>
      <c r="Q2668" s="180">
        <v>0</v>
      </c>
    </row>
    <row r="2669" spans="1:17">
      <c r="A2669" t="str">
        <f t="shared" si="164"/>
        <v>GSOU_H</v>
      </c>
      <c r="B2669" t="str">
        <f t="shared" si="165"/>
        <v>GSOU_Hawes Hall</v>
      </c>
      <c r="C2669" t="s">
        <v>449</v>
      </c>
      <c r="D2669" s="180" t="s">
        <v>30</v>
      </c>
      <c r="E2669" t="s">
        <v>4494</v>
      </c>
      <c r="F2669" t="s">
        <v>5172</v>
      </c>
      <c r="G2669" s="180">
        <v>29270</v>
      </c>
      <c r="H2669">
        <v>1965</v>
      </c>
      <c r="I2669">
        <v>2002</v>
      </c>
      <c r="J2669" s="1334" t="s">
        <v>520</v>
      </c>
      <c r="K2669" s="1335" t="s">
        <v>475</v>
      </c>
      <c r="L2669" s="180">
        <v>100</v>
      </c>
      <c r="M2669" t="s">
        <v>348</v>
      </c>
      <c r="N2669" t="str">
        <f t="shared" si="166"/>
        <v>Hawes Hall (H)</v>
      </c>
      <c r="O2669" t="s">
        <v>44</v>
      </c>
      <c r="P2669" t="str">
        <f t="shared" si="167"/>
        <v>39000_H</v>
      </c>
      <c r="Q2669" s="180">
        <v>0</v>
      </c>
    </row>
    <row r="2670" spans="1:17">
      <c r="A2670" t="str">
        <f t="shared" si="164"/>
        <v>GSOU_HPAC</v>
      </c>
      <c r="B2670" t="str">
        <f t="shared" si="165"/>
        <v>GSOU_Health Professions Acad Bldg.</v>
      </c>
      <c r="C2670" t="s">
        <v>449</v>
      </c>
      <c r="D2670" s="180" t="s">
        <v>30</v>
      </c>
      <c r="E2670" t="s">
        <v>5358</v>
      </c>
      <c r="F2670" t="s">
        <v>7770</v>
      </c>
      <c r="G2670" s="180">
        <v>63901</v>
      </c>
      <c r="H2670">
        <v>2018</v>
      </c>
      <c r="J2670" s="1334" t="s">
        <v>475</v>
      </c>
      <c r="K2670" s="1335" t="s">
        <v>475</v>
      </c>
      <c r="L2670" s="180">
        <v>100</v>
      </c>
      <c r="M2670" t="s">
        <v>348</v>
      </c>
      <c r="N2670" t="str">
        <f t="shared" si="166"/>
        <v>Health Professions Acad Bldg. (HPAC)</v>
      </c>
      <c r="O2670" t="s">
        <v>44</v>
      </c>
      <c r="P2670" t="str">
        <f t="shared" si="167"/>
        <v>39000_HPAC</v>
      </c>
      <c r="Q2670" s="180">
        <v>0</v>
      </c>
    </row>
    <row r="2671" spans="1:17">
      <c r="A2671" t="str">
        <f t="shared" si="164"/>
        <v>GSOU_J</v>
      </c>
      <c r="B2671" t="str">
        <f t="shared" si="165"/>
        <v>GSOU_Jenkins Hall</v>
      </c>
      <c r="C2671" t="s">
        <v>449</v>
      </c>
      <c r="D2671" s="180" t="s">
        <v>30</v>
      </c>
      <c r="E2671" t="s">
        <v>4483</v>
      </c>
      <c r="F2671" t="s">
        <v>5222</v>
      </c>
      <c r="G2671" s="180">
        <v>14330</v>
      </c>
      <c r="H2671">
        <v>1965</v>
      </c>
      <c r="I2671">
        <v>2007</v>
      </c>
      <c r="J2671" s="1334" t="s">
        <v>520</v>
      </c>
      <c r="K2671" s="1335" t="s">
        <v>475</v>
      </c>
      <c r="L2671" s="180">
        <v>100</v>
      </c>
      <c r="M2671" t="s">
        <v>348</v>
      </c>
      <c r="N2671" t="str">
        <f t="shared" si="166"/>
        <v>Jenkins Hall (J)</v>
      </c>
      <c r="O2671" t="s">
        <v>44</v>
      </c>
      <c r="P2671" t="str">
        <f t="shared" si="167"/>
        <v>39000_J</v>
      </c>
      <c r="Q2671" s="180">
        <v>0</v>
      </c>
    </row>
    <row r="2672" spans="1:17">
      <c r="A2672" t="str">
        <f t="shared" si="164"/>
        <v>GSOU_LCTR</v>
      </c>
      <c r="B2672" t="str">
        <f t="shared" si="165"/>
        <v>GSOU_Liberty Center</v>
      </c>
      <c r="C2672" t="s">
        <v>449</v>
      </c>
      <c r="D2672" s="180" t="s">
        <v>30</v>
      </c>
      <c r="E2672" t="s">
        <v>5365</v>
      </c>
      <c r="F2672" t="s">
        <v>5366</v>
      </c>
      <c r="G2672" s="180">
        <v>21000</v>
      </c>
      <c r="H2672">
        <v>2015</v>
      </c>
      <c r="J2672" s="1334" t="s">
        <v>475</v>
      </c>
      <c r="K2672" s="1335" t="s">
        <v>475</v>
      </c>
      <c r="L2672" s="180">
        <v>100</v>
      </c>
      <c r="M2672" t="s">
        <v>7824</v>
      </c>
      <c r="N2672" t="str">
        <f t="shared" si="166"/>
        <v>Liberty Center (LCTR)</v>
      </c>
      <c r="O2672" t="s">
        <v>44</v>
      </c>
      <c r="P2672" t="str">
        <f t="shared" si="167"/>
        <v>39000_LCTR</v>
      </c>
      <c r="Q2672" s="180">
        <v>0</v>
      </c>
    </row>
    <row r="2673" spans="1:17">
      <c r="A2673" t="str">
        <f t="shared" si="164"/>
        <v>GSOU_LI</v>
      </c>
      <c r="B2673" t="str">
        <f t="shared" si="165"/>
        <v>GSOU_Lane Library</v>
      </c>
      <c r="C2673" t="s">
        <v>449</v>
      </c>
      <c r="D2673" s="180" t="s">
        <v>30</v>
      </c>
      <c r="E2673" t="s">
        <v>5450</v>
      </c>
      <c r="F2673" t="s">
        <v>5451</v>
      </c>
      <c r="G2673" s="180">
        <v>50048</v>
      </c>
      <c r="H2673">
        <v>1965</v>
      </c>
      <c r="I2673">
        <v>2005</v>
      </c>
      <c r="J2673" s="1334" t="s">
        <v>520</v>
      </c>
      <c r="K2673" s="1335" t="s">
        <v>475</v>
      </c>
      <c r="L2673" s="180">
        <v>100</v>
      </c>
      <c r="M2673" t="s">
        <v>348</v>
      </c>
      <c r="N2673" t="str">
        <f t="shared" si="166"/>
        <v>Lane Library (LI)</v>
      </c>
      <c r="O2673" t="s">
        <v>44</v>
      </c>
      <c r="P2673" t="str">
        <f t="shared" si="167"/>
        <v>39000_LI</v>
      </c>
      <c r="Q2673" s="180">
        <v>0</v>
      </c>
    </row>
    <row r="2674" spans="1:17">
      <c r="A2674" t="str">
        <f t="shared" si="164"/>
        <v>GSOU_LLC</v>
      </c>
      <c r="B2674" t="str">
        <f t="shared" si="165"/>
        <v>GSOU_Learning Commons</v>
      </c>
      <c r="C2674" t="s">
        <v>449</v>
      </c>
      <c r="D2674" s="180" t="s">
        <v>30</v>
      </c>
      <c r="E2674" t="s">
        <v>5202</v>
      </c>
      <c r="F2674" t="s">
        <v>5203</v>
      </c>
      <c r="G2674" s="180">
        <v>14835</v>
      </c>
      <c r="H2674">
        <v>1965</v>
      </c>
      <c r="I2674">
        <v>2012</v>
      </c>
      <c r="J2674" s="1334" t="s">
        <v>520</v>
      </c>
      <c r="K2674" s="1335" t="s">
        <v>475</v>
      </c>
      <c r="L2674" s="180">
        <v>100</v>
      </c>
      <c r="M2674" t="s">
        <v>348</v>
      </c>
      <c r="N2674" t="str">
        <f t="shared" si="166"/>
        <v>Learning Commons (LLC)</v>
      </c>
      <c r="O2674" t="s">
        <v>44</v>
      </c>
      <c r="P2674" t="str">
        <f t="shared" si="167"/>
        <v>39000_LLC</v>
      </c>
      <c r="Q2674" s="180">
        <v>0</v>
      </c>
    </row>
    <row r="2675" spans="1:17">
      <c r="A2675" t="str">
        <f t="shared" si="164"/>
        <v>GSOU_MCC</v>
      </c>
      <c r="B2675" t="str">
        <f t="shared" si="165"/>
        <v>GSOU_Memorial College Center</v>
      </c>
      <c r="C2675" t="s">
        <v>449</v>
      </c>
      <c r="D2675" s="180" t="s">
        <v>30</v>
      </c>
      <c r="E2675" t="s">
        <v>5231</v>
      </c>
      <c r="F2675" t="s">
        <v>5232</v>
      </c>
      <c r="G2675" s="180">
        <v>30234</v>
      </c>
      <c r="H2675">
        <v>1969</v>
      </c>
      <c r="I2675">
        <v>2023</v>
      </c>
      <c r="J2675" s="1334" t="s">
        <v>475</v>
      </c>
      <c r="K2675" s="1335" t="s">
        <v>475</v>
      </c>
      <c r="L2675" s="180">
        <v>80</v>
      </c>
      <c r="M2675" t="s">
        <v>348</v>
      </c>
      <c r="N2675" t="str">
        <f t="shared" si="166"/>
        <v>Memorial College Center (MCC)</v>
      </c>
      <c r="O2675" t="s">
        <v>44</v>
      </c>
      <c r="P2675" t="str">
        <f t="shared" si="167"/>
        <v>39000_MCC</v>
      </c>
      <c r="Q2675" s="180">
        <v>0</v>
      </c>
    </row>
    <row r="2676" spans="1:17">
      <c r="A2676" t="str">
        <f t="shared" si="164"/>
        <v>GSOU_MSC</v>
      </c>
      <c r="B2676" t="str">
        <f t="shared" si="165"/>
        <v>GSOU_Maintenance Storage</v>
      </c>
      <c r="C2676" t="s">
        <v>449</v>
      </c>
      <c r="D2676" s="180" t="s">
        <v>30</v>
      </c>
      <c r="E2676" t="s">
        <v>5242</v>
      </c>
      <c r="F2676" t="s">
        <v>5163</v>
      </c>
      <c r="G2676" s="180">
        <v>3188</v>
      </c>
      <c r="H2676">
        <v>1978</v>
      </c>
      <c r="J2676" s="1334" t="s">
        <v>475</v>
      </c>
      <c r="K2676" s="1335" t="s">
        <v>475</v>
      </c>
      <c r="L2676" s="180">
        <v>100</v>
      </c>
      <c r="M2676" t="s">
        <v>348</v>
      </c>
      <c r="N2676" t="str">
        <f t="shared" si="166"/>
        <v>Maintenance Storage (MSC)</v>
      </c>
      <c r="O2676" t="s">
        <v>44</v>
      </c>
      <c r="P2676" t="str">
        <f t="shared" si="167"/>
        <v>39000_MSC</v>
      </c>
      <c r="Q2676" s="180">
        <v>0</v>
      </c>
    </row>
    <row r="2677" spans="1:17">
      <c r="A2677" t="str">
        <f t="shared" si="164"/>
        <v>GSOU_MSC1</v>
      </c>
      <c r="B2677" t="str">
        <f t="shared" si="165"/>
        <v>GSOU_Maintenance Storage</v>
      </c>
      <c r="C2677" t="s">
        <v>449</v>
      </c>
      <c r="D2677" s="180" t="s">
        <v>30</v>
      </c>
      <c r="E2677" t="s">
        <v>5162</v>
      </c>
      <c r="F2677" t="s">
        <v>5163</v>
      </c>
      <c r="G2677" s="180">
        <v>1200</v>
      </c>
      <c r="H2677">
        <v>2001</v>
      </c>
      <c r="J2677" s="1334" t="s">
        <v>475</v>
      </c>
      <c r="K2677" s="1335" t="s">
        <v>475</v>
      </c>
      <c r="L2677" s="180">
        <v>100</v>
      </c>
      <c r="M2677" t="s">
        <v>348</v>
      </c>
      <c r="N2677" t="str">
        <f t="shared" si="166"/>
        <v>Maintenance Storage (MSC1)</v>
      </c>
      <c r="O2677" t="s">
        <v>44</v>
      </c>
      <c r="P2677" t="str">
        <f t="shared" si="167"/>
        <v>39000_MSC1</v>
      </c>
      <c r="Q2677" s="180">
        <v>0</v>
      </c>
    </row>
    <row r="2678" spans="1:17">
      <c r="A2678" t="str">
        <f t="shared" si="164"/>
        <v>GSOU_S</v>
      </c>
      <c r="B2678" t="str">
        <f t="shared" si="165"/>
        <v>GSOU_Solms Hall</v>
      </c>
      <c r="C2678" t="s">
        <v>449</v>
      </c>
      <c r="D2678" s="180" t="s">
        <v>30</v>
      </c>
      <c r="E2678" t="s">
        <v>5288</v>
      </c>
      <c r="F2678" t="s">
        <v>5289</v>
      </c>
      <c r="G2678" s="180">
        <v>31214</v>
      </c>
      <c r="H2678">
        <v>1969</v>
      </c>
      <c r="I2678">
        <v>2002</v>
      </c>
      <c r="J2678" s="1334" t="s">
        <v>520</v>
      </c>
      <c r="K2678" s="1335" t="s">
        <v>475</v>
      </c>
      <c r="L2678" s="180">
        <v>100</v>
      </c>
      <c r="M2678" t="s">
        <v>348</v>
      </c>
      <c r="N2678" t="str">
        <f t="shared" si="166"/>
        <v>Solms Hall (S)</v>
      </c>
      <c r="O2678" t="s">
        <v>44</v>
      </c>
      <c r="P2678" t="str">
        <f t="shared" si="167"/>
        <v>39000_S</v>
      </c>
      <c r="Q2678" s="180">
        <v>0</v>
      </c>
    </row>
    <row r="2679" spans="1:17">
      <c r="A2679" t="str">
        <f t="shared" si="164"/>
        <v>GSOU_S10</v>
      </c>
      <c r="B2679" t="str">
        <f t="shared" si="165"/>
        <v>GSOU_AX Suite 10</v>
      </c>
      <c r="C2679" t="s">
        <v>449</v>
      </c>
      <c r="D2679" s="180" t="s">
        <v>30</v>
      </c>
      <c r="E2679" t="s">
        <v>5427</v>
      </c>
      <c r="F2679" t="s">
        <v>5428</v>
      </c>
      <c r="G2679" s="180">
        <v>1000</v>
      </c>
      <c r="H2679">
        <v>1998</v>
      </c>
      <c r="I2679">
        <v>2012</v>
      </c>
      <c r="J2679" s="1334" t="s">
        <v>486</v>
      </c>
      <c r="K2679" s="1335" t="s">
        <v>475</v>
      </c>
      <c r="L2679" s="180">
        <v>100</v>
      </c>
      <c r="M2679" t="s">
        <v>348</v>
      </c>
      <c r="N2679" t="str">
        <f t="shared" si="166"/>
        <v>AX Suite 10 (S10)</v>
      </c>
      <c r="O2679" t="s">
        <v>44</v>
      </c>
      <c r="P2679" t="str">
        <f t="shared" si="167"/>
        <v>39000_S10</v>
      </c>
      <c r="Q2679" s="180">
        <v>0</v>
      </c>
    </row>
    <row r="2680" spans="1:17">
      <c r="A2680" t="str">
        <f t="shared" si="164"/>
        <v>GSOU_S11</v>
      </c>
      <c r="B2680" t="str">
        <f t="shared" si="165"/>
        <v>GSOU_Suite 11</v>
      </c>
      <c r="C2680" t="s">
        <v>449</v>
      </c>
      <c r="D2680" s="180" t="s">
        <v>30</v>
      </c>
      <c r="E2680" t="s">
        <v>5512</v>
      </c>
      <c r="F2680" t="s">
        <v>5513</v>
      </c>
      <c r="G2680" s="180">
        <v>1000</v>
      </c>
      <c r="H2680">
        <v>1998</v>
      </c>
      <c r="I2680">
        <v>2011</v>
      </c>
      <c r="J2680" s="1334" t="s">
        <v>486</v>
      </c>
      <c r="K2680" s="1335" t="s">
        <v>475</v>
      </c>
      <c r="L2680" s="180">
        <v>100</v>
      </c>
      <c r="M2680" t="s">
        <v>348</v>
      </c>
      <c r="N2680" t="str">
        <f t="shared" si="166"/>
        <v>Suite 11 (S11)</v>
      </c>
      <c r="O2680" t="s">
        <v>44</v>
      </c>
      <c r="P2680" t="str">
        <f t="shared" si="167"/>
        <v>39000_S11</v>
      </c>
      <c r="Q2680" s="180">
        <v>0</v>
      </c>
    </row>
    <row r="2681" spans="1:17">
      <c r="A2681" t="str">
        <f t="shared" si="164"/>
        <v>GSOU_S17</v>
      </c>
      <c r="B2681" t="str">
        <f t="shared" si="165"/>
        <v>GSOU_ENT Suite</v>
      </c>
      <c r="C2681" t="s">
        <v>449</v>
      </c>
      <c r="D2681" s="180" t="s">
        <v>30</v>
      </c>
      <c r="E2681" t="s">
        <v>7631</v>
      </c>
      <c r="F2681" t="s">
        <v>7771</v>
      </c>
      <c r="G2681" s="180">
        <v>7000</v>
      </c>
      <c r="H2681">
        <v>1990</v>
      </c>
      <c r="J2681" s="1334" t="s">
        <v>486</v>
      </c>
      <c r="K2681" s="1335" t="s">
        <v>475</v>
      </c>
      <c r="L2681" s="180">
        <v>100</v>
      </c>
      <c r="M2681" t="s">
        <v>348</v>
      </c>
      <c r="N2681" t="str">
        <f t="shared" si="166"/>
        <v>ENT Suite (S17)</v>
      </c>
      <c r="O2681" t="s">
        <v>44</v>
      </c>
      <c r="P2681" t="str">
        <f t="shared" si="167"/>
        <v>39000_S17</v>
      </c>
      <c r="Q2681" s="180">
        <v>0</v>
      </c>
    </row>
    <row r="2682" spans="1:17">
      <c r="A2682" t="str">
        <f t="shared" si="164"/>
        <v>GSOU_S20</v>
      </c>
      <c r="B2682" t="str">
        <f t="shared" si="165"/>
        <v>GSOU_AX Suite 20</v>
      </c>
      <c r="C2682" t="s">
        <v>449</v>
      </c>
      <c r="D2682" s="180" t="s">
        <v>30</v>
      </c>
      <c r="E2682" t="s">
        <v>5274</v>
      </c>
      <c r="F2682" t="s">
        <v>5275</v>
      </c>
      <c r="G2682" s="180">
        <v>1400</v>
      </c>
      <c r="H2682">
        <v>1998</v>
      </c>
      <c r="I2682">
        <v>2012</v>
      </c>
      <c r="J2682" s="1334" t="s">
        <v>486</v>
      </c>
      <c r="K2682" s="1335" t="s">
        <v>475</v>
      </c>
      <c r="L2682" s="180">
        <v>100</v>
      </c>
      <c r="M2682" t="s">
        <v>348</v>
      </c>
      <c r="N2682" t="str">
        <f t="shared" si="166"/>
        <v>AX Suite 20 (S20)</v>
      </c>
      <c r="O2682" t="s">
        <v>44</v>
      </c>
      <c r="P2682" t="str">
        <f t="shared" si="167"/>
        <v>39000_S20</v>
      </c>
      <c r="Q2682" s="180">
        <v>0</v>
      </c>
    </row>
    <row r="2683" spans="1:17">
      <c r="A2683" t="str">
        <f t="shared" si="164"/>
        <v>GSOU_S22</v>
      </c>
      <c r="B2683" t="str">
        <f t="shared" si="165"/>
        <v>GSOU_AX Technology Center</v>
      </c>
      <c r="C2683" t="s">
        <v>449</v>
      </c>
      <c r="D2683" s="180" t="s">
        <v>30</v>
      </c>
      <c r="E2683" t="s">
        <v>5411</v>
      </c>
      <c r="F2683" t="s">
        <v>5412</v>
      </c>
      <c r="G2683" s="180">
        <v>4000</v>
      </c>
      <c r="H2683">
        <v>1998</v>
      </c>
      <c r="J2683" s="1334" t="s">
        <v>486</v>
      </c>
      <c r="K2683" s="1335" t="s">
        <v>475</v>
      </c>
      <c r="L2683" s="180">
        <v>100</v>
      </c>
      <c r="M2683" t="s">
        <v>348</v>
      </c>
      <c r="N2683" t="str">
        <f t="shared" si="166"/>
        <v>AX Technology Center (S22)</v>
      </c>
      <c r="O2683" t="s">
        <v>44</v>
      </c>
      <c r="P2683" t="str">
        <f t="shared" si="167"/>
        <v>39000_S22</v>
      </c>
      <c r="Q2683" s="180">
        <v>0</v>
      </c>
    </row>
    <row r="2684" spans="1:17">
      <c r="A2684" t="str">
        <f t="shared" si="164"/>
        <v>GSOU_S25</v>
      </c>
      <c r="B2684" t="str">
        <f t="shared" si="165"/>
        <v>GSOU_AX Suite 25</v>
      </c>
      <c r="C2684" t="s">
        <v>449</v>
      </c>
      <c r="D2684" s="180" t="s">
        <v>30</v>
      </c>
      <c r="E2684" t="s">
        <v>5377</v>
      </c>
      <c r="F2684" t="s">
        <v>5378</v>
      </c>
      <c r="G2684" s="180">
        <v>3789</v>
      </c>
      <c r="H2684">
        <v>1990</v>
      </c>
      <c r="I2684">
        <v>2011</v>
      </c>
      <c r="J2684" s="1334" t="s">
        <v>486</v>
      </c>
      <c r="K2684" s="1335" t="s">
        <v>475</v>
      </c>
      <c r="L2684" s="180">
        <v>100</v>
      </c>
      <c r="M2684" t="s">
        <v>348</v>
      </c>
      <c r="N2684" t="str">
        <f t="shared" si="166"/>
        <v>AX Suite 25 (S25)</v>
      </c>
      <c r="O2684" t="s">
        <v>44</v>
      </c>
      <c r="P2684" t="str">
        <f t="shared" si="167"/>
        <v>39000_S25</v>
      </c>
      <c r="Q2684" s="180">
        <v>0</v>
      </c>
    </row>
    <row r="2685" spans="1:17">
      <c r="A2685" t="str">
        <f t="shared" si="164"/>
        <v>GSOU_S89</v>
      </c>
      <c r="B2685" t="str">
        <f t="shared" si="165"/>
        <v>GSOU_AX Suite 8-9</v>
      </c>
      <c r="C2685" t="s">
        <v>449</v>
      </c>
      <c r="D2685" s="180" t="s">
        <v>30</v>
      </c>
      <c r="E2685" t="s">
        <v>5459</v>
      </c>
      <c r="F2685" t="s">
        <v>5460</v>
      </c>
      <c r="G2685" s="180">
        <v>2000</v>
      </c>
      <c r="H2685">
        <v>1998</v>
      </c>
      <c r="I2685">
        <v>2010</v>
      </c>
      <c r="J2685" s="1334" t="s">
        <v>486</v>
      </c>
      <c r="K2685" s="1335" t="s">
        <v>475</v>
      </c>
      <c r="L2685" s="180">
        <v>0</v>
      </c>
      <c r="M2685" t="s">
        <v>348</v>
      </c>
      <c r="N2685" t="str">
        <f t="shared" si="166"/>
        <v>AX Suite 8-9 (S89)</v>
      </c>
      <c r="O2685" t="s">
        <v>44</v>
      </c>
      <c r="P2685" t="str">
        <f t="shared" si="167"/>
        <v>39000_S89</v>
      </c>
      <c r="Q2685" s="180">
        <v>0</v>
      </c>
    </row>
    <row r="2686" spans="1:17">
      <c r="A2686" t="str">
        <f t="shared" si="164"/>
        <v>GSOU_SC</v>
      </c>
      <c r="B2686" t="str">
        <f t="shared" si="165"/>
        <v>GSOU_Science Center</v>
      </c>
      <c r="C2686" t="s">
        <v>449</v>
      </c>
      <c r="D2686" s="180" t="s">
        <v>30</v>
      </c>
      <c r="E2686" t="s">
        <v>5173</v>
      </c>
      <c r="F2686" t="s">
        <v>5174</v>
      </c>
      <c r="G2686" s="180">
        <v>126056</v>
      </c>
      <c r="H2686">
        <v>1999</v>
      </c>
      <c r="J2686" s="1334" t="s">
        <v>520</v>
      </c>
      <c r="K2686" s="1335" t="s">
        <v>475</v>
      </c>
      <c r="L2686" s="180">
        <v>100</v>
      </c>
      <c r="M2686" t="s">
        <v>348</v>
      </c>
      <c r="N2686" t="str">
        <f t="shared" si="166"/>
        <v>Science Center (SC)</v>
      </c>
      <c r="O2686" t="s">
        <v>44</v>
      </c>
      <c r="P2686" t="str">
        <f t="shared" si="167"/>
        <v>39000_SC</v>
      </c>
      <c r="Q2686" s="180">
        <v>0</v>
      </c>
    </row>
    <row r="2687" spans="1:17">
      <c r="A2687" t="str">
        <f t="shared" si="164"/>
        <v>GSOU_SIT</v>
      </c>
      <c r="B2687" t="str">
        <f t="shared" si="165"/>
        <v>GSOU_AX IT Suite 12-19</v>
      </c>
      <c r="C2687" t="s">
        <v>449</v>
      </c>
      <c r="D2687" s="180" t="s">
        <v>30</v>
      </c>
      <c r="E2687" t="s">
        <v>5470</v>
      </c>
      <c r="F2687" t="s">
        <v>5471</v>
      </c>
      <c r="G2687" s="180">
        <v>11394</v>
      </c>
      <c r="H2687">
        <v>1998</v>
      </c>
      <c r="I2687">
        <v>2011</v>
      </c>
      <c r="J2687" s="1334" t="s">
        <v>486</v>
      </c>
      <c r="K2687" s="1335" t="s">
        <v>475</v>
      </c>
      <c r="L2687" s="180">
        <v>100</v>
      </c>
      <c r="M2687" t="s">
        <v>348</v>
      </c>
      <c r="N2687" t="str">
        <f t="shared" si="166"/>
        <v>AX IT Suite 12-19 (SIT)</v>
      </c>
      <c r="O2687" t="s">
        <v>44</v>
      </c>
      <c r="P2687" t="str">
        <f t="shared" si="167"/>
        <v>39000_SIT</v>
      </c>
      <c r="Q2687" s="180">
        <v>0</v>
      </c>
    </row>
    <row r="2688" spans="1:17">
      <c r="A2688" t="str">
        <f t="shared" si="164"/>
        <v>GSOU_SP</v>
      </c>
      <c r="B2688" t="str">
        <f t="shared" si="165"/>
        <v>GSOU_Armstrong Recreation Center</v>
      </c>
      <c r="C2688" t="s">
        <v>449</v>
      </c>
      <c r="D2688" s="180" t="s">
        <v>30</v>
      </c>
      <c r="E2688" t="s">
        <v>5265</v>
      </c>
      <c r="F2688" t="s">
        <v>5266</v>
      </c>
      <c r="G2688" s="180">
        <v>80425</v>
      </c>
      <c r="H2688">
        <v>1994</v>
      </c>
      <c r="J2688" s="1334" t="s">
        <v>520</v>
      </c>
      <c r="K2688" s="1335" t="s">
        <v>475</v>
      </c>
      <c r="L2688" s="180">
        <v>100</v>
      </c>
      <c r="M2688" t="s">
        <v>348</v>
      </c>
      <c r="N2688" t="str">
        <f t="shared" si="166"/>
        <v>Armstrong Recreation Center (SP)</v>
      </c>
      <c r="O2688" t="s">
        <v>44</v>
      </c>
      <c r="P2688" t="str">
        <f t="shared" si="167"/>
        <v>39000_SP</v>
      </c>
      <c r="Q2688" s="180">
        <v>0</v>
      </c>
    </row>
    <row r="2689" spans="1:17">
      <c r="A2689" t="str">
        <f t="shared" si="164"/>
        <v>GSOU_SRC</v>
      </c>
      <c r="B2689" t="str">
        <f t="shared" si="165"/>
        <v>GSOU_Student Recreation Center</v>
      </c>
      <c r="C2689" t="s">
        <v>449</v>
      </c>
      <c r="D2689" s="180" t="s">
        <v>30</v>
      </c>
      <c r="E2689" t="s">
        <v>5385</v>
      </c>
      <c r="F2689" t="s">
        <v>4634</v>
      </c>
      <c r="G2689" s="180">
        <v>35385</v>
      </c>
      <c r="H2689">
        <v>2004</v>
      </c>
      <c r="I2689">
        <v>2021</v>
      </c>
      <c r="J2689" s="1334" t="s">
        <v>486</v>
      </c>
      <c r="K2689" s="1335" t="s">
        <v>475</v>
      </c>
      <c r="L2689" s="180">
        <v>100</v>
      </c>
      <c r="M2689" t="s">
        <v>348</v>
      </c>
      <c r="N2689" t="str">
        <f t="shared" si="166"/>
        <v>Student Recreation Center (SRC)</v>
      </c>
      <c r="O2689" t="s">
        <v>44</v>
      </c>
      <c r="P2689" t="str">
        <f t="shared" si="167"/>
        <v>39000_SRC</v>
      </c>
      <c r="Q2689" s="180">
        <v>0</v>
      </c>
    </row>
    <row r="2690" spans="1:17">
      <c r="A2690" t="str">
        <f t="shared" si="164"/>
        <v>GSOU_SSC</v>
      </c>
      <c r="B2690" t="str">
        <f t="shared" si="165"/>
        <v>GSOU_Student Union</v>
      </c>
      <c r="C2690" t="s">
        <v>449</v>
      </c>
      <c r="D2690" s="180" t="s">
        <v>30</v>
      </c>
      <c r="E2690" t="s">
        <v>5211</v>
      </c>
      <c r="F2690" t="s">
        <v>171</v>
      </c>
      <c r="G2690" s="180">
        <v>60000</v>
      </c>
      <c r="H2690">
        <v>2009</v>
      </c>
      <c r="J2690" s="1334" t="s">
        <v>486</v>
      </c>
      <c r="K2690" s="1335" t="s">
        <v>475</v>
      </c>
      <c r="L2690" s="180">
        <v>75</v>
      </c>
      <c r="M2690" t="s">
        <v>348</v>
      </c>
      <c r="N2690" t="str">
        <f t="shared" si="166"/>
        <v>Student Union (SSC)</v>
      </c>
      <c r="O2690" t="s">
        <v>44</v>
      </c>
      <c r="P2690" t="str">
        <f t="shared" si="167"/>
        <v>39000_SSC</v>
      </c>
      <c r="Q2690" s="180">
        <v>0</v>
      </c>
    </row>
    <row r="2691" spans="1:17">
      <c r="A2691" t="str">
        <f t="shared" ref="A2691:A2754" si="168">_xlfn.CONCAT(D2691,"_",E2691)</f>
        <v>GSOU_UH</v>
      </c>
      <c r="B2691" t="str">
        <f t="shared" ref="B2691:B2754" si="169">_xlfn.CONCAT(D2691,"_",F2691)</f>
        <v>GSOU_University Hall</v>
      </c>
      <c r="C2691" t="s">
        <v>449</v>
      </c>
      <c r="D2691" s="180" t="s">
        <v>30</v>
      </c>
      <c r="E2691" t="s">
        <v>5473</v>
      </c>
      <c r="F2691" t="s">
        <v>1253</v>
      </c>
      <c r="G2691" s="180">
        <v>81527</v>
      </c>
      <c r="H2691">
        <v>1996</v>
      </c>
      <c r="J2691" s="1334" t="s">
        <v>520</v>
      </c>
      <c r="K2691" s="1335" t="s">
        <v>475</v>
      </c>
      <c r="L2691" s="180">
        <v>100</v>
      </c>
      <c r="M2691" t="s">
        <v>348</v>
      </c>
      <c r="N2691" t="str">
        <f t="shared" ref="N2691:N2754" si="170">_xlfn.CONCAT(F2691," (",E2691,")")</f>
        <v>University Hall (UH)</v>
      </c>
      <c r="O2691" t="s">
        <v>44</v>
      </c>
      <c r="P2691" t="str">
        <f t="shared" ref="P2691:P2754" si="171">_xlfn.CONCAT(C2691,"_",E2691)</f>
        <v>39000_UH</v>
      </c>
      <c r="Q2691" s="180">
        <v>0</v>
      </c>
    </row>
    <row r="2692" spans="1:17">
      <c r="A2692" t="str">
        <f t="shared" si="168"/>
        <v>GSOU_V</v>
      </c>
      <c r="B2692" t="str">
        <f t="shared" si="169"/>
        <v>GSOU_Victor Hall</v>
      </c>
      <c r="C2692" t="s">
        <v>449</v>
      </c>
      <c r="D2692" s="180" t="s">
        <v>30</v>
      </c>
      <c r="E2692" t="s">
        <v>5184</v>
      </c>
      <c r="F2692" t="s">
        <v>5185</v>
      </c>
      <c r="G2692" s="180">
        <v>26839</v>
      </c>
      <c r="H2692">
        <v>1969</v>
      </c>
      <c r="I2692">
        <v>2002</v>
      </c>
      <c r="J2692" s="1334" t="s">
        <v>475</v>
      </c>
      <c r="K2692" s="1335" t="s">
        <v>475</v>
      </c>
      <c r="L2692" s="180">
        <v>100</v>
      </c>
      <c r="M2692" t="s">
        <v>348</v>
      </c>
      <c r="N2692" t="str">
        <f t="shared" si="170"/>
        <v>Victor Hall (V)</v>
      </c>
      <c r="O2692" t="s">
        <v>44</v>
      </c>
      <c r="P2692" t="str">
        <f t="shared" si="171"/>
        <v>39000_V</v>
      </c>
      <c r="Q2692" s="180">
        <v>0</v>
      </c>
    </row>
    <row r="2693" spans="1:17">
      <c r="A2693" t="str">
        <f t="shared" si="168"/>
        <v>GSOU_WC</v>
      </c>
      <c r="B2693" t="str">
        <f t="shared" si="169"/>
        <v>GSOU_Windward Commons</v>
      </c>
      <c r="C2693" t="s">
        <v>449</v>
      </c>
      <c r="D2693" s="180" t="s">
        <v>30</v>
      </c>
      <c r="E2693" t="s">
        <v>5212</v>
      </c>
      <c r="F2693" t="s">
        <v>5213</v>
      </c>
      <c r="G2693" s="180">
        <v>176541</v>
      </c>
      <c r="H2693">
        <v>2010</v>
      </c>
      <c r="J2693" s="1334" t="s">
        <v>475</v>
      </c>
      <c r="K2693" s="1335" t="s">
        <v>475</v>
      </c>
      <c r="L2693" s="180">
        <v>0</v>
      </c>
      <c r="M2693" t="s">
        <v>348</v>
      </c>
      <c r="N2693" t="str">
        <f t="shared" si="170"/>
        <v>Windward Commons (WC)</v>
      </c>
      <c r="O2693" t="s">
        <v>44</v>
      </c>
      <c r="P2693" t="str">
        <f t="shared" si="171"/>
        <v>39000_WC</v>
      </c>
      <c r="Q2693" s="180">
        <v>0</v>
      </c>
    </row>
    <row r="2694" spans="1:17">
      <c r="A2694" t="str">
        <f t="shared" si="168"/>
        <v>GSOU_WFH</v>
      </c>
      <c r="B2694" t="str">
        <f t="shared" si="169"/>
        <v>GSOU_Womens Field House</v>
      </c>
      <c r="C2694" t="s">
        <v>449</v>
      </c>
      <c r="D2694" s="180" t="s">
        <v>30</v>
      </c>
      <c r="E2694" t="s">
        <v>5435</v>
      </c>
      <c r="F2694" t="s">
        <v>5436</v>
      </c>
      <c r="G2694" s="180">
        <v>3375</v>
      </c>
      <c r="H2694">
        <v>2006</v>
      </c>
      <c r="J2694" s="1334" t="s">
        <v>475</v>
      </c>
      <c r="K2694" s="1335" t="s">
        <v>475</v>
      </c>
      <c r="L2694" s="180">
        <v>100</v>
      </c>
      <c r="M2694" t="s">
        <v>348</v>
      </c>
      <c r="N2694" t="str">
        <f t="shared" si="170"/>
        <v>Womens Field House (WFH)</v>
      </c>
      <c r="O2694" t="s">
        <v>44</v>
      </c>
      <c r="P2694" t="str">
        <f t="shared" si="171"/>
        <v>39000_WFH</v>
      </c>
      <c r="Q2694" s="180">
        <v>0</v>
      </c>
    </row>
    <row r="2695" spans="1:17">
      <c r="A2695" t="str">
        <f t="shared" si="168"/>
        <v>GGC_A</v>
      </c>
      <c r="B2695" t="str">
        <f t="shared" si="169"/>
        <v>GGC_Building A</v>
      </c>
      <c r="C2695" t="s">
        <v>450</v>
      </c>
      <c r="D2695" s="180" t="s">
        <v>25</v>
      </c>
      <c r="E2695" t="s">
        <v>4503</v>
      </c>
      <c r="F2695" t="s">
        <v>5546</v>
      </c>
      <c r="G2695" s="180">
        <v>123918</v>
      </c>
      <c r="H2695">
        <v>2001</v>
      </c>
      <c r="J2695" s="1334" t="s">
        <v>475</v>
      </c>
      <c r="K2695" s="1335" t="s">
        <v>475</v>
      </c>
      <c r="L2695" s="180">
        <v>86</v>
      </c>
      <c r="M2695" t="s">
        <v>7825</v>
      </c>
      <c r="N2695" t="str">
        <f t="shared" si="170"/>
        <v>Building A (A)</v>
      </c>
      <c r="O2695" t="s">
        <v>40</v>
      </c>
      <c r="P2695" t="str">
        <f t="shared" si="171"/>
        <v>40000_A</v>
      </c>
      <c r="Q2695" s="180">
        <v>0</v>
      </c>
    </row>
    <row r="2696" spans="1:17">
      <c r="A2696" t="str">
        <f t="shared" si="168"/>
        <v>GGC_B</v>
      </c>
      <c r="B2696" t="str">
        <f t="shared" si="169"/>
        <v>GGC_Building B</v>
      </c>
      <c r="C2696" t="s">
        <v>450</v>
      </c>
      <c r="D2696" s="180" t="s">
        <v>25</v>
      </c>
      <c r="E2696" t="s">
        <v>4533</v>
      </c>
      <c r="F2696" t="s">
        <v>5560</v>
      </c>
      <c r="G2696" s="180">
        <v>107579</v>
      </c>
      <c r="H2696">
        <v>2001</v>
      </c>
      <c r="J2696" s="1334" t="s">
        <v>520</v>
      </c>
      <c r="K2696" s="1335" t="s">
        <v>475</v>
      </c>
      <c r="L2696" s="180">
        <v>92</v>
      </c>
      <c r="M2696" t="s">
        <v>7825</v>
      </c>
      <c r="N2696" t="str">
        <f t="shared" si="170"/>
        <v>Building B (B)</v>
      </c>
      <c r="O2696" t="s">
        <v>40</v>
      </c>
      <c r="P2696" t="str">
        <f t="shared" si="171"/>
        <v>40000_B</v>
      </c>
      <c r="Q2696" s="180">
        <v>0</v>
      </c>
    </row>
    <row r="2697" spans="1:17">
      <c r="A2697" t="str">
        <f t="shared" si="168"/>
        <v>GGC_C</v>
      </c>
      <c r="B2697" t="str">
        <f t="shared" si="169"/>
        <v>GGC_Building C</v>
      </c>
      <c r="C2697" t="s">
        <v>450</v>
      </c>
      <c r="D2697" s="180" t="s">
        <v>25</v>
      </c>
      <c r="E2697" t="s">
        <v>4499</v>
      </c>
      <c r="F2697" t="s">
        <v>5549</v>
      </c>
      <c r="G2697" s="180">
        <v>52076</v>
      </c>
      <c r="H2697">
        <v>2005</v>
      </c>
      <c r="J2697" s="1334" t="s">
        <v>520</v>
      </c>
      <c r="K2697" s="1335" t="s">
        <v>475</v>
      </c>
      <c r="L2697" s="180">
        <v>100</v>
      </c>
      <c r="M2697" t="s">
        <v>7825</v>
      </c>
      <c r="N2697" t="str">
        <f t="shared" si="170"/>
        <v>Building C (C)</v>
      </c>
      <c r="O2697" t="s">
        <v>40</v>
      </c>
      <c r="P2697" t="str">
        <f t="shared" si="171"/>
        <v>40000_C</v>
      </c>
      <c r="Q2697" s="180">
        <v>0</v>
      </c>
    </row>
    <row r="2698" spans="1:17">
      <c r="A2698" t="str">
        <f t="shared" si="168"/>
        <v>GGC_D</v>
      </c>
      <c r="B2698" t="str">
        <f t="shared" si="169"/>
        <v>GGC_Building D</v>
      </c>
      <c r="C2698" t="s">
        <v>450</v>
      </c>
      <c r="D2698" s="180" t="s">
        <v>25</v>
      </c>
      <c r="E2698" t="s">
        <v>4523</v>
      </c>
      <c r="F2698" t="s">
        <v>5554</v>
      </c>
      <c r="G2698" s="180">
        <v>70011</v>
      </c>
      <c r="H2698">
        <v>1984</v>
      </c>
      <c r="I2698">
        <v>2014</v>
      </c>
      <c r="J2698" s="1334" t="s">
        <v>475</v>
      </c>
      <c r="K2698" s="1335" t="s">
        <v>475</v>
      </c>
      <c r="L2698" s="180">
        <v>100</v>
      </c>
      <c r="M2698" t="s">
        <v>7825</v>
      </c>
      <c r="N2698" t="str">
        <f t="shared" si="170"/>
        <v>Building D (D)</v>
      </c>
      <c r="O2698" t="s">
        <v>40</v>
      </c>
      <c r="P2698" t="str">
        <f t="shared" si="171"/>
        <v>40000_D</v>
      </c>
      <c r="Q2698" s="180">
        <v>0</v>
      </c>
    </row>
    <row r="2699" spans="1:17">
      <c r="A2699" t="str">
        <f t="shared" si="168"/>
        <v>GGC_E</v>
      </c>
      <c r="B2699" t="str">
        <f t="shared" si="169"/>
        <v>GGC_Building E</v>
      </c>
      <c r="C2699" t="s">
        <v>450</v>
      </c>
      <c r="D2699" s="180" t="s">
        <v>25</v>
      </c>
      <c r="E2699" t="s">
        <v>4490</v>
      </c>
      <c r="F2699" t="s">
        <v>5541</v>
      </c>
      <c r="G2699" s="180">
        <v>81630</v>
      </c>
      <c r="H2699">
        <v>2009</v>
      </c>
      <c r="J2699" s="1334" t="s">
        <v>486</v>
      </c>
      <c r="K2699" s="1335" t="s">
        <v>475</v>
      </c>
      <c r="L2699" s="180">
        <v>65</v>
      </c>
      <c r="M2699" t="s">
        <v>7825</v>
      </c>
      <c r="N2699" t="str">
        <f t="shared" si="170"/>
        <v>Building E (E)</v>
      </c>
      <c r="O2699" t="s">
        <v>40</v>
      </c>
      <c r="P2699" t="str">
        <f t="shared" si="171"/>
        <v>40000_E</v>
      </c>
      <c r="Q2699" s="180">
        <v>0</v>
      </c>
    </row>
    <row r="2700" spans="1:17">
      <c r="A2700" t="str">
        <f t="shared" si="168"/>
        <v>GGC_F</v>
      </c>
      <c r="B2700" t="str">
        <f t="shared" si="169"/>
        <v>GGC_Building F</v>
      </c>
      <c r="C2700" t="s">
        <v>450</v>
      </c>
      <c r="D2700" s="180" t="s">
        <v>25</v>
      </c>
      <c r="E2700" t="s">
        <v>4524</v>
      </c>
      <c r="F2700" t="s">
        <v>5557</v>
      </c>
      <c r="G2700" s="180">
        <v>40351</v>
      </c>
      <c r="H2700">
        <v>1994</v>
      </c>
      <c r="I2700">
        <v>2008</v>
      </c>
      <c r="J2700" s="1334" t="s">
        <v>486</v>
      </c>
      <c r="K2700" s="1335" t="s">
        <v>475</v>
      </c>
      <c r="L2700" s="180">
        <v>29</v>
      </c>
      <c r="M2700" t="s">
        <v>7825</v>
      </c>
      <c r="N2700" t="str">
        <f t="shared" si="170"/>
        <v>Building F (F)</v>
      </c>
      <c r="O2700" t="s">
        <v>40</v>
      </c>
      <c r="P2700" t="str">
        <f t="shared" si="171"/>
        <v>40000_F</v>
      </c>
      <c r="Q2700" s="180">
        <v>0</v>
      </c>
    </row>
    <row r="2701" spans="1:17">
      <c r="A2701" t="str">
        <f t="shared" si="168"/>
        <v>GGC_G</v>
      </c>
      <c r="B2701" t="str">
        <f t="shared" si="169"/>
        <v>GGC_Building G</v>
      </c>
      <c r="C2701" t="s">
        <v>450</v>
      </c>
      <c r="D2701" s="180" t="s">
        <v>25</v>
      </c>
      <c r="E2701" t="s">
        <v>4485</v>
      </c>
      <c r="F2701" t="s">
        <v>5561</v>
      </c>
      <c r="G2701" s="180">
        <v>24462</v>
      </c>
      <c r="H2701">
        <v>2012</v>
      </c>
      <c r="J2701" s="1334" t="s">
        <v>486</v>
      </c>
      <c r="K2701" s="1335" t="s">
        <v>475</v>
      </c>
      <c r="L2701" s="180">
        <v>0</v>
      </c>
      <c r="M2701" t="s">
        <v>7825</v>
      </c>
      <c r="N2701" t="str">
        <f t="shared" si="170"/>
        <v>Building G (G)</v>
      </c>
      <c r="O2701" t="s">
        <v>40</v>
      </c>
      <c r="P2701" t="str">
        <f t="shared" si="171"/>
        <v>40000_G</v>
      </c>
      <c r="Q2701" s="180">
        <v>0</v>
      </c>
    </row>
    <row r="2702" spans="1:17">
      <c r="A2702" t="str">
        <f t="shared" si="168"/>
        <v>GGC_H</v>
      </c>
      <c r="B2702" t="str">
        <f t="shared" si="169"/>
        <v>GGC_Building H</v>
      </c>
      <c r="C2702" t="s">
        <v>450</v>
      </c>
      <c r="D2702" s="180" t="s">
        <v>25</v>
      </c>
      <c r="E2702" t="s">
        <v>4494</v>
      </c>
      <c r="F2702" t="s">
        <v>5542</v>
      </c>
      <c r="G2702" s="180">
        <v>24000</v>
      </c>
      <c r="H2702">
        <v>2010</v>
      </c>
      <c r="J2702" s="1334" t="s">
        <v>520</v>
      </c>
      <c r="K2702" s="1335" t="s">
        <v>475</v>
      </c>
      <c r="L2702" s="180">
        <v>100</v>
      </c>
      <c r="M2702" t="s">
        <v>7825</v>
      </c>
      <c r="N2702" t="str">
        <f t="shared" si="170"/>
        <v>Building H (H)</v>
      </c>
      <c r="O2702" t="s">
        <v>40</v>
      </c>
      <c r="P2702" t="str">
        <f t="shared" si="171"/>
        <v>40000_H</v>
      </c>
      <c r="Q2702" s="180">
        <v>0</v>
      </c>
    </row>
    <row r="2703" spans="1:17">
      <c r="A2703" t="str">
        <f t="shared" si="168"/>
        <v>GGC_H2</v>
      </c>
      <c r="B2703" t="str">
        <f t="shared" si="169"/>
        <v>GGC_Building H2</v>
      </c>
      <c r="C2703" t="s">
        <v>450</v>
      </c>
      <c r="D2703" s="180" t="s">
        <v>25</v>
      </c>
      <c r="E2703" t="s">
        <v>5547</v>
      </c>
      <c r="F2703" t="s">
        <v>5548</v>
      </c>
      <c r="G2703" s="180">
        <v>91147</v>
      </c>
      <c r="H2703">
        <v>2013</v>
      </c>
      <c r="J2703" s="1334" t="s">
        <v>520</v>
      </c>
      <c r="K2703" s="1335" t="s">
        <v>475</v>
      </c>
      <c r="L2703" s="180">
        <v>100</v>
      </c>
      <c r="M2703" t="s">
        <v>7825</v>
      </c>
      <c r="N2703" t="str">
        <f t="shared" si="170"/>
        <v>Building H2 (H2)</v>
      </c>
      <c r="O2703" t="s">
        <v>40</v>
      </c>
      <c r="P2703" t="str">
        <f t="shared" si="171"/>
        <v>40000_H2</v>
      </c>
      <c r="Q2703" s="180">
        <v>0</v>
      </c>
    </row>
    <row r="2704" spans="1:17">
      <c r="A2704" t="str">
        <f t="shared" si="168"/>
        <v>GGC_I</v>
      </c>
      <c r="B2704" t="str">
        <f t="shared" si="169"/>
        <v>GGC_Building I</v>
      </c>
      <c r="C2704" t="s">
        <v>450</v>
      </c>
      <c r="D2704" s="180" t="s">
        <v>25</v>
      </c>
      <c r="E2704" t="s">
        <v>4482</v>
      </c>
      <c r="F2704" t="s">
        <v>5545</v>
      </c>
      <c r="G2704" s="180">
        <v>35013</v>
      </c>
      <c r="H2704">
        <v>1990</v>
      </c>
      <c r="I2704">
        <v>2012</v>
      </c>
      <c r="J2704" s="1334" t="s">
        <v>486</v>
      </c>
      <c r="K2704" s="1335" t="s">
        <v>475</v>
      </c>
      <c r="L2704" s="180">
        <v>100</v>
      </c>
      <c r="M2704" t="s">
        <v>7825</v>
      </c>
      <c r="N2704" t="str">
        <f t="shared" si="170"/>
        <v>Building I (I)</v>
      </c>
      <c r="O2704" t="s">
        <v>40</v>
      </c>
      <c r="P2704" t="str">
        <f t="shared" si="171"/>
        <v>40000_I</v>
      </c>
      <c r="Q2704" s="180">
        <v>0</v>
      </c>
    </row>
    <row r="2705" spans="1:17">
      <c r="A2705" t="str">
        <f t="shared" si="168"/>
        <v>GGC_L</v>
      </c>
      <c r="B2705" t="str">
        <f t="shared" si="169"/>
        <v>GGC_Building L Library</v>
      </c>
      <c r="C2705" t="s">
        <v>450</v>
      </c>
      <c r="D2705" s="180" t="s">
        <v>25</v>
      </c>
      <c r="E2705" t="s">
        <v>4507</v>
      </c>
      <c r="F2705" t="s">
        <v>5538</v>
      </c>
      <c r="G2705" s="180">
        <v>91463</v>
      </c>
      <c r="H2705">
        <v>2008</v>
      </c>
      <c r="J2705" s="1334" t="s">
        <v>520</v>
      </c>
      <c r="K2705" s="1335" t="s">
        <v>475</v>
      </c>
      <c r="L2705" s="180">
        <v>97</v>
      </c>
      <c r="M2705" t="s">
        <v>7825</v>
      </c>
      <c r="N2705" t="str">
        <f t="shared" si="170"/>
        <v>Building L Library (L)</v>
      </c>
      <c r="O2705" t="s">
        <v>40</v>
      </c>
      <c r="P2705" t="str">
        <f t="shared" si="171"/>
        <v>40000_L</v>
      </c>
      <c r="Q2705" s="180">
        <v>0</v>
      </c>
    </row>
    <row r="2706" spans="1:17">
      <c r="A2706" t="str">
        <f t="shared" si="168"/>
        <v>GGC_P</v>
      </c>
      <c r="B2706" t="str">
        <f t="shared" si="169"/>
        <v>GGC_Building P</v>
      </c>
      <c r="C2706" t="s">
        <v>450</v>
      </c>
      <c r="D2706" s="180" t="s">
        <v>25</v>
      </c>
      <c r="E2706" t="s">
        <v>5552</v>
      </c>
      <c r="F2706" t="s">
        <v>5553</v>
      </c>
      <c r="G2706" s="180">
        <v>67278</v>
      </c>
      <c r="H2706">
        <v>1983</v>
      </c>
      <c r="J2706" s="1334" t="s">
        <v>475</v>
      </c>
      <c r="K2706" s="1335" t="s">
        <v>475</v>
      </c>
      <c r="L2706" s="180">
        <v>100</v>
      </c>
      <c r="M2706" t="s">
        <v>7825</v>
      </c>
      <c r="N2706" t="str">
        <f t="shared" si="170"/>
        <v>Building P (P)</v>
      </c>
      <c r="O2706" t="s">
        <v>40</v>
      </c>
      <c r="P2706" t="str">
        <f t="shared" si="171"/>
        <v>40000_P</v>
      </c>
      <c r="Q2706" s="180">
        <v>0</v>
      </c>
    </row>
    <row r="2707" spans="1:17">
      <c r="A2707" t="str">
        <f t="shared" si="168"/>
        <v>GGC_PARK</v>
      </c>
      <c r="B2707" t="str">
        <f t="shared" si="169"/>
        <v>GGC_Parking Deck</v>
      </c>
      <c r="C2707" t="s">
        <v>450</v>
      </c>
      <c r="D2707" s="180" t="s">
        <v>25</v>
      </c>
      <c r="E2707" t="s">
        <v>5562</v>
      </c>
      <c r="F2707" t="s">
        <v>4699</v>
      </c>
      <c r="G2707" s="180">
        <v>242151</v>
      </c>
      <c r="H2707">
        <v>2007</v>
      </c>
      <c r="J2707" s="1334" t="s">
        <v>486</v>
      </c>
      <c r="K2707" s="1335" t="s">
        <v>475</v>
      </c>
      <c r="L2707" s="180">
        <v>0</v>
      </c>
      <c r="M2707" t="s">
        <v>7825</v>
      </c>
      <c r="N2707" t="str">
        <f t="shared" si="170"/>
        <v>Parking Deck (PARK)</v>
      </c>
      <c r="O2707" t="s">
        <v>40</v>
      </c>
      <c r="P2707" t="str">
        <f t="shared" si="171"/>
        <v>40000_PARK</v>
      </c>
      <c r="Q2707" s="180">
        <v>0</v>
      </c>
    </row>
    <row r="2708" spans="1:17">
      <c r="A2708" t="str">
        <f t="shared" si="168"/>
        <v>GGC_RL10</v>
      </c>
      <c r="B2708" t="str">
        <f t="shared" si="169"/>
        <v>GGC_RL 1000</v>
      </c>
      <c r="C2708" t="s">
        <v>450</v>
      </c>
      <c r="D2708" s="180" t="s">
        <v>25</v>
      </c>
      <c r="E2708" t="s">
        <v>5539</v>
      </c>
      <c r="F2708" t="s">
        <v>5540</v>
      </c>
      <c r="G2708" s="180">
        <v>246118</v>
      </c>
      <c r="H2708">
        <v>2008</v>
      </c>
      <c r="J2708" s="1334" t="s">
        <v>486</v>
      </c>
      <c r="K2708" s="1335" t="s">
        <v>475</v>
      </c>
      <c r="L2708" s="180">
        <v>0</v>
      </c>
      <c r="M2708" t="s">
        <v>7825</v>
      </c>
      <c r="N2708" t="str">
        <f t="shared" si="170"/>
        <v>RL 1000 (RL10)</v>
      </c>
      <c r="O2708" t="s">
        <v>40</v>
      </c>
      <c r="P2708" t="str">
        <f t="shared" si="171"/>
        <v>40000_RL10</v>
      </c>
      <c r="Q2708" s="180">
        <v>0</v>
      </c>
    </row>
    <row r="2709" spans="1:17">
      <c r="A2709" t="str">
        <f t="shared" si="168"/>
        <v>GGC_RL20</v>
      </c>
      <c r="B2709" t="str">
        <f t="shared" si="169"/>
        <v>GGC_RL 2000</v>
      </c>
      <c r="C2709" t="s">
        <v>450</v>
      </c>
      <c r="D2709" s="180" t="s">
        <v>25</v>
      </c>
      <c r="E2709" t="s">
        <v>5543</v>
      </c>
      <c r="F2709" t="s">
        <v>5544</v>
      </c>
      <c r="G2709" s="180">
        <v>91723</v>
      </c>
      <c r="H2709">
        <v>2008</v>
      </c>
      <c r="J2709" s="1334" t="s">
        <v>486</v>
      </c>
      <c r="K2709" s="1335" t="s">
        <v>475</v>
      </c>
      <c r="L2709" s="180">
        <v>0</v>
      </c>
      <c r="M2709" t="s">
        <v>7825</v>
      </c>
      <c r="N2709" t="str">
        <f t="shared" si="170"/>
        <v>RL 2000 (RL20)</v>
      </c>
      <c r="O2709" t="s">
        <v>40</v>
      </c>
      <c r="P2709" t="str">
        <f t="shared" si="171"/>
        <v>40000_RL20</v>
      </c>
      <c r="Q2709" s="180">
        <v>0</v>
      </c>
    </row>
    <row r="2710" spans="1:17">
      <c r="A2710" t="str">
        <f t="shared" si="168"/>
        <v>GGC_RL30</v>
      </c>
      <c r="B2710" t="str">
        <f t="shared" si="169"/>
        <v>GGC_RL 3000</v>
      </c>
      <c r="C2710" t="s">
        <v>450</v>
      </c>
      <c r="D2710" s="180" t="s">
        <v>25</v>
      </c>
      <c r="E2710" t="s">
        <v>5550</v>
      </c>
      <c r="F2710" t="s">
        <v>5551</v>
      </c>
      <c r="G2710" s="180">
        <v>90812</v>
      </c>
      <c r="H2710">
        <v>2008</v>
      </c>
      <c r="J2710" s="1334" t="s">
        <v>486</v>
      </c>
      <c r="K2710" s="1335" t="s">
        <v>475</v>
      </c>
      <c r="L2710" s="180">
        <v>0</v>
      </c>
      <c r="M2710" t="s">
        <v>7825</v>
      </c>
      <c r="N2710" t="str">
        <f t="shared" si="170"/>
        <v>RL 3000 (RL30)</v>
      </c>
      <c r="O2710" t="s">
        <v>40</v>
      </c>
      <c r="P2710" t="str">
        <f t="shared" si="171"/>
        <v>40000_RL30</v>
      </c>
      <c r="Q2710" s="180">
        <v>0</v>
      </c>
    </row>
    <row r="2711" spans="1:17">
      <c r="A2711" t="str">
        <f t="shared" si="168"/>
        <v>GGC_TENN</v>
      </c>
      <c r="B2711" t="str">
        <f t="shared" si="169"/>
        <v>GGC_Tennis Center</v>
      </c>
      <c r="C2711" t="s">
        <v>450</v>
      </c>
      <c r="D2711" s="180" t="s">
        <v>25</v>
      </c>
      <c r="E2711" t="s">
        <v>5555</v>
      </c>
      <c r="F2711" t="s">
        <v>5556</v>
      </c>
      <c r="G2711" s="180">
        <v>5090</v>
      </c>
      <c r="H2711">
        <v>2000</v>
      </c>
      <c r="J2711" s="1334" t="s">
        <v>475</v>
      </c>
      <c r="K2711" s="1335" t="s">
        <v>475</v>
      </c>
      <c r="L2711" s="180">
        <v>80</v>
      </c>
      <c r="M2711" t="s">
        <v>7825</v>
      </c>
      <c r="N2711" t="str">
        <f t="shared" si="170"/>
        <v>Tennis Center (TENN)</v>
      </c>
      <c r="O2711" t="s">
        <v>40</v>
      </c>
      <c r="P2711" t="str">
        <f t="shared" si="171"/>
        <v>40000_TENN</v>
      </c>
      <c r="Q2711" s="180">
        <v>0</v>
      </c>
    </row>
    <row r="2712" spans="1:17">
      <c r="A2712" t="str">
        <f t="shared" si="168"/>
        <v>GGC_W</v>
      </c>
      <c r="B2712" t="str">
        <f t="shared" si="169"/>
        <v>GGC_Building W</v>
      </c>
      <c r="C2712" t="s">
        <v>450</v>
      </c>
      <c r="D2712" s="180" t="s">
        <v>25</v>
      </c>
      <c r="E2712" t="s">
        <v>5558</v>
      </c>
      <c r="F2712" t="s">
        <v>5559</v>
      </c>
      <c r="G2712" s="180">
        <v>108607</v>
      </c>
      <c r="H2712">
        <v>2018</v>
      </c>
      <c r="J2712" s="1334" t="s">
        <v>520</v>
      </c>
      <c r="K2712" s="1335" t="s">
        <v>475</v>
      </c>
      <c r="L2712" s="180">
        <v>100</v>
      </c>
      <c r="M2712" t="s">
        <v>7825</v>
      </c>
      <c r="N2712" t="str">
        <f t="shared" si="170"/>
        <v>Building W (W)</v>
      </c>
      <c r="O2712" t="s">
        <v>40</v>
      </c>
      <c r="P2712" t="str">
        <f t="shared" si="171"/>
        <v>40000_W</v>
      </c>
      <c r="Q2712" s="180">
        <v>0</v>
      </c>
    </row>
    <row r="2713" spans="1:17">
      <c r="A2713" t="str">
        <f t="shared" si="168"/>
        <v>GSW_0001</v>
      </c>
      <c r="B2713" t="str">
        <f t="shared" si="169"/>
        <v>GSW_Adm Bldg</v>
      </c>
      <c r="C2713" t="s">
        <v>451</v>
      </c>
      <c r="D2713" s="180" t="s">
        <v>117</v>
      </c>
      <c r="E2713" t="s">
        <v>4502</v>
      </c>
      <c r="F2713" t="s">
        <v>5566</v>
      </c>
      <c r="G2713" s="180">
        <v>27371</v>
      </c>
      <c r="H2713">
        <v>1918</v>
      </c>
      <c r="I2713">
        <v>2009</v>
      </c>
      <c r="J2713" s="1334" t="s">
        <v>520</v>
      </c>
      <c r="K2713" s="1335" t="s">
        <v>475</v>
      </c>
      <c r="L2713" s="180">
        <v>100</v>
      </c>
      <c r="M2713" t="s">
        <v>7826</v>
      </c>
      <c r="N2713" t="str">
        <f t="shared" si="170"/>
        <v>Adm Bldg (0001)</v>
      </c>
      <c r="O2713" t="s">
        <v>45</v>
      </c>
      <c r="P2713" t="str">
        <f t="shared" si="171"/>
        <v>42000_0001</v>
      </c>
      <c r="Q2713" s="180">
        <v>0</v>
      </c>
    </row>
    <row r="2714" spans="1:17">
      <c r="A2714" t="str">
        <f t="shared" si="168"/>
        <v>GSW_0003</v>
      </c>
      <c r="B2714" t="str">
        <f t="shared" si="169"/>
        <v>GSW_Crawford Wheatley Hall</v>
      </c>
      <c r="C2714" t="s">
        <v>451</v>
      </c>
      <c r="D2714" s="180" t="s">
        <v>117</v>
      </c>
      <c r="E2714" t="s">
        <v>524</v>
      </c>
      <c r="F2714" t="s">
        <v>5571</v>
      </c>
      <c r="G2714" s="180">
        <v>12121</v>
      </c>
      <c r="H2714">
        <v>1912</v>
      </c>
      <c r="I2714">
        <v>2003</v>
      </c>
      <c r="J2714" s="1334" t="s">
        <v>475</v>
      </c>
      <c r="K2714" s="1335" t="s">
        <v>475</v>
      </c>
      <c r="L2714" s="180">
        <v>100</v>
      </c>
      <c r="M2714" t="s">
        <v>7826</v>
      </c>
      <c r="N2714" t="str">
        <f t="shared" si="170"/>
        <v>Crawford Wheatley Hall (0003)</v>
      </c>
      <c r="O2714" t="s">
        <v>45</v>
      </c>
      <c r="P2714" t="str">
        <f t="shared" si="171"/>
        <v>42000_0003</v>
      </c>
      <c r="Q2714" s="180">
        <v>0</v>
      </c>
    </row>
    <row r="2715" spans="1:17">
      <c r="A2715" t="str">
        <f t="shared" si="168"/>
        <v>GSW_0004</v>
      </c>
      <c r="B2715" t="str">
        <f t="shared" si="169"/>
        <v>GSW_Alumni House</v>
      </c>
      <c r="C2715" t="s">
        <v>451</v>
      </c>
      <c r="D2715" s="180" t="s">
        <v>117</v>
      </c>
      <c r="E2715" t="s">
        <v>1059</v>
      </c>
      <c r="F2715" t="s">
        <v>525</v>
      </c>
      <c r="G2715" s="180">
        <v>3555</v>
      </c>
      <c r="H2715">
        <v>1915</v>
      </c>
      <c r="J2715" s="1334" t="s">
        <v>475</v>
      </c>
      <c r="K2715" s="1335" t="s">
        <v>475</v>
      </c>
      <c r="L2715" s="180">
        <v>100</v>
      </c>
      <c r="M2715" t="s">
        <v>7826</v>
      </c>
      <c r="N2715" t="str">
        <f t="shared" si="170"/>
        <v>Alumni House (0004)</v>
      </c>
      <c r="O2715" t="s">
        <v>45</v>
      </c>
      <c r="P2715" t="str">
        <f t="shared" si="171"/>
        <v>42000_0004</v>
      </c>
      <c r="Q2715" s="180">
        <v>0</v>
      </c>
    </row>
    <row r="2716" spans="1:17">
      <c r="A2716" t="str">
        <f t="shared" si="168"/>
        <v>GSW_0005</v>
      </c>
      <c r="B2716" t="str">
        <f t="shared" si="169"/>
        <v>GSW_CASA</v>
      </c>
      <c r="C2716" t="s">
        <v>451</v>
      </c>
      <c r="D2716" s="180" t="s">
        <v>117</v>
      </c>
      <c r="E2716" t="s">
        <v>1139</v>
      </c>
      <c r="F2716" t="s">
        <v>5572</v>
      </c>
      <c r="G2716" s="180">
        <v>4174</v>
      </c>
      <c r="H2716">
        <v>1965</v>
      </c>
      <c r="J2716" s="1334" t="s">
        <v>475</v>
      </c>
      <c r="K2716" s="1335" t="s">
        <v>475</v>
      </c>
      <c r="L2716" s="180">
        <v>100</v>
      </c>
      <c r="M2716" t="s">
        <v>7826</v>
      </c>
      <c r="N2716" t="str">
        <f t="shared" si="170"/>
        <v>CASA (0005)</v>
      </c>
      <c r="O2716" t="s">
        <v>45</v>
      </c>
      <c r="P2716" t="str">
        <f t="shared" si="171"/>
        <v>42000_0005</v>
      </c>
      <c r="Q2716" s="180">
        <v>0</v>
      </c>
    </row>
    <row r="2717" spans="1:17">
      <c r="A2717" t="str">
        <f t="shared" si="168"/>
        <v>GSW_0006</v>
      </c>
      <c r="B2717" t="str">
        <f t="shared" si="169"/>
        <v>GSW_Collum I</v>
      </c>
      <c r="C2717" t="s">
        <v>451</v>
      </c>
      <c r="D2717" s="180" t="s">
        <v>117</v>
      </c>
      <c r="E2717" t="s">
        <v>855</v>
      </c>
      <c r="F2717" t="s">
        <v>5573</v>
      </c>
      <c r="G2717" s="180">
        <v>18640</v>
      </c>
      <c r="H2717">
        <v>1951</v>
      </c>
      <c r="I2717">
        <v>2007</v>
      </c>
      <c r="J2717" s="1334" t="s">
        <v>520</v>
      </c>
      <c r="K2717" s="1335" t="s">
        <v>475</v>
      </c>
      <c r="L2717" s="180">
        <v>100</v>
      </c>
      <c r="M2717" t="s">
        <v>7826</v>
      </c>
      <c r="N2717" t="str">
        <f t="shared" si="170"/>
        <v>Collum I (0006)</v>
      </c>
      <c r="O2717" t="s">
        <v>45</v>
      </c>
      <c r="P2717" t="str">
        <f t="shared" si="171"/>
        <v>42000_0006</v>
      </c>
      <c r="Q2717" s="180">
        <v>0</v>
      </c>
    </row>
    <row r="2718" spans="1:17">
      <c r="A2718" t="str">
        <f t="shared" si="168"/>
        <v>GSW_0010</v>
      </c>
      <c r="B2718" t="str">
        <f t="shared" si="169"/>
        <v>GSW_Field House</v>
      </c>
      <c r="C2718" t="s">
        <v>451</v>
      </c>
      <c r="D2718" s="180" t="s">
        <v>117</v>
      </c>
      <c r="E2718" t="s">
        <v>815</v>
      </c>
      <c r="F2718" t="s">
        <v>5563</v>
      </c>
      <c r="G2718" s="180">
        <v>34032</v>
      </c>
      <c r="H2718">
        <v>1967</v>
      </c>
      <c r="J2718" s="1334" t="s">
        <v>475</v>
      </c>
      <c r="K2718" s="1335" t="s">
        <v>475</v>
      </c>
      <c r="L2718" s="180">
        <v>100</v>
      </c>
      <c r="M2718" t="s">
        <v>7826</v>
      </c>
      <c r="N2718" t="str">
        <f t="shared" si="170"/>
        <v>Field House (0010)</v>
      </c>
      <c r="O2718" t="s">
        <v>45</v>
      </c>
      <c r="P2718" t="str">
        <f t="shared" si="171"/>
        <v>42000_0010</v>
      </c>
      <c r="Q2718" s="180">
        <v>0</v>
      </c>
    </row>
    <row r="2719" spans="1:17">
      <c r="A2719" t="str">
        <f t="shared" si="168"/>
        <v>GSW_0011</v>
      </c>
      <c r="B2719" t="str">
        <f t="shared" si="169"/>
        <v>GSW_Florrie Chap Gym</v>
      </c>
      <c r="C2719" t="s">
        <v>451</v>
      </c>
      <c r="D2719" s="180" t="s">
        <v>117</v>
      </c>
      <c r="E2719" t="s">
        <v>504</v>
      </c>
      <c r="F2719" t="s">
        <v>5597</v>
      </c>
      <c r="G2719" s="180">
        <v>22336</v>
      </c>
      <c r="H2719">
        <v>1939</v>
      </c>
      <c r="J2719" s="1334" t="s">
        <v>475</v>
      </c>
      <c r="K2719" s="1335" t="s">
        <v>481</v>
      </c>
      <c r="L2719" s="180">
        <v>100</v>
      </c>
      <c r="M2719" t="s">
        <v>7826</v>
      </c>
      <c r="N2719" t="str">
        <f t="shared" si="170"/>
        <v>Florrie Chap Gym (0011)</v>
      </c>
      <c r="O2719" t="s">
        <v>45</v>
      </c>
      <c r="P2719" t="str">
        <f t="shared" si="171"/>
        <v>42000_0011</v>
      </c>
      <c r="Q2719" s="180">
        <v>0</v>
      </c>
    </row>
    <row r="2720" spans="1:17">
      <c r="A2720" t="str">
        <f t="shared" si="168"/>
        <v>GSW_0013</v>
      </c>
      <c r="B2720" t="str">
        <f t="shared" si="169"/>
        <v>GSW_Science</v>
      </c>
      <c r="C2720" t="s">
        <v>451</v>
      </c>
      <c r="D2720" s="180" t="s">
        <v>117</v>
      </c>
      <c r="E2720" t="s">
        <v>490</v>
      </c>
      <c r="F2720" t="s">
        <v>5582</v>
      </c>
      <c r="G2720" s="180">
        <v>13768</v>
      </c>
      <c r="H2720">
        <v>1965</v>
      </c>
      <c r="J2720" s="1334" t="s">
        <v>475</v>
      </c>
      <c r="K2720" s="1335" t="s">
        <v>475</v>
      </c>
      <c r="L2720" s="180">
        <v>100</v>
      </c>
      <c r="M2720" t="s">
        <v>7826</v>
      </c>
      <c r="N2720" t="str">
        <f t="shared" si="170"/>
        <v>Science (0013)</v>
      </c>
      <c r="O2720" t="s">
        <v>45</v>
      </c>
      <c r="P2720" t="str">
        <f t="shared" si="171"/>
        <v>42000_0013</v>
      </c>
      <c r="Q2720" s="180">
        <v>0</v>
      </c>
    </row>
    <row r="2721" spans="1:17">
      <c r="A2721" t="str">
        <f t="shared" si="168"/>
        <v>GSW_0014</v>
      </c>
      <c r="B2721" t="str">
        <f t="shared" si="169"/>
        <v>GSW_Roney</v>
      </c>
      <c r="C2721" t="s">
        <v>451</v>
      </c>
      <c r="D2721" s="180" t="s">
        <v>117</v>
      </c>
      <c r="E2721" t="s">
        <v>711</v>
      </c>
      <c r="F2721" t="s">
        <v>5588</v>
      </c>
      <c r="G2721" s="180">
        <v>30835</v>
      </c>
      <c r="H2721">
        <v>1969</v>
      </c>
      <c r="J2721" s="1334" t="s">
        <v>475</v>
      </c>
      <c r="K2721" s="1335" t="s">
        <v>475</v>
      </c>
      <c r="L2721" s="180">
        <v>100</v>
      </c>
      <c r="M2721" t="s">
        <v>7826</v>
      </c>
      <c r="N2721" t="str">
        <f t="shared" si="170"/>
        <v>Roney (0014)</v>
      </c>
      <c r="O2721" t="s">
        <v>45</v>
      </c>
      <c r="P2721" t="str">
        <f t="shared" si="171"/>
        <v>42000_0014</v>
      </c>
      <c r="Q2721" s="180">
        <v>0</v>
      </c>
    </row>
    <row r="2722" spans="1:17">
      <c r="A2722" t="str">
        <f t="shared" si="168"/>
        <v>GSW_0015</v>
      </c>
      <c r="B2722" t="str">
        <f t="shared" si="169"/>
        <v>GSW_Jackson-Cirm</v>
      </c>
      <c r="C2722" t="s">
        <v>451</v>
      </c>
      <c r="D2722" s="180" t="s">
        <v>117</v>
      </c>
      <c r="E2722" t="s">
        <v>624</v>
      </c>
      <c r="F2722" t="s">
        <v>5568</v>
      </c>
      <c r="G2722" s="180">
        <v>20504</v>
      </c>
      <c r="H2722">
        <v>1956</v>
      </c>
      <c r="J2722" s="1334" t="s">
        <v>475</v>
      </c>
      <c r="K2722" s="1335" t="s">
        <v>475</v>
      </c>
      <c r="L2722" s="180">
        <v>100</v>
      </c>
      <c r="M2722" t="s">
        <v>7826</v>
      </c>
      <c r="N2722" t="str">
        <f t="shared" si="170"/>
        <v>Jackson-Cirm (0015)</v>
      </c>
      <c r="O2722" t="s">
        <v>45</v>
      </c>
      <c r="P2722" t="str">
        <f t="shared" si="171"/>
        <v>42000_0015</v>
      </c>
      <c r="Q2722" s="180">
        <v>0</v>
      </c>
    </row>
    <row r="2723" spans="1:17">
      <c r="A2723" t="str">
        <f t="shared" si="168"/>
        <v>GSW_0016</v>
      </c>
      <c r="B2723" t="str">
        <f t="shared" si="169"/>
        <v>GSW_Canes Central</v>
      </c>
      <c r="C2723" t="s">
        <v>451</v>
      </c>
      <c r="D2723" s="180" t="s">
        <v>117</v>
      </c>
      <c r="E2723" t="s">
        <v>506</v>
      </c>
      <c r="F2723" t="s">
        <v>7101</v>
      </c>
      <c r="G2723" s="180">
        <v>22757</v>
      </c>
      <c r="H2723">
        <v>1962</v>
      </c>
      <c r="J2723" s="1334" t="s">
        <v>475</v>
      </c>
      <c r="K2723" s="1335" t="s">
        <v>481</v>
      </c>
      <c r="L2723" s="180">
        <v>100</v>
      </c>
      <c r="M2723" t="s">
        <v>7826</v>
      </c>
      <c r="N2723" t="str">
        <f t="shared" si="170"/>
        <v>Canes Central (0016)</v>
      </c>
      <c r="O2723" t="s">
        <v>45</v>
      </c>
      <c r="P2723" t="str">
        <f t="shared" si="171"/>
        <v>42000_0016</v>
      </c>
      <c r="Q2723" s="180">
        <v>0</v>
      </c>
    </row>
    <row r="2724" spans="1:17">
      <c r="A2724" t="str">
        <f t="shared" si="168"/>
        <v>GSW_0017</v>
      </c>
      <c r="B2724" t="str">
        <f t="shared" si="169"/>
        <v>GSW_English</v>
      </c>
      <c r="C2724" t="s">
        <v>451</v>
      </c>
      <c r="D2724" s="180" t="s">
        <v>117</v>
      </c>
      <c r="E2724" t="s">
        <v>680</v>
      </c>
      <c r="F2724" t="s">
        <v>5565</v>
      </c>
      <c r="G2724" s="180">
        <v>22780</v>
      </c>
      <c r="H2724">
        <v>1968</v>
      </c>
      <c r="J2724" s="1334" t="s">
        <v>475</v>
      </c>
      <c r="K2724" s="1335" t="s">
        <v>475</v>
      </c>
      <c r="L2724" s="180">
        <v>100</v>
      </c>
      <c r="M2724" t="s">
        <v>7826</v>
      </c>
      <c r="N2724" t="str">
        <f t="shared" si="170"/>
        <v>English (0017)</v>
      </c>
      <c r="O2724" t="s">
        <v>45</v>
      </c>
      <c r="P2724" t="str">
        <f t="shared" si="171"/>
        <v>42000_0017</v>
      </c>
      <c r="Q2724" s="180">
        <v>0</v>
      </c>
    </row>
    <row r="2725" spans="1:17">
      <c r="A2725" t="str">
        <f t="shared" si="168"/>
        <v>GSW_0018</v>
      </c>
      <c r="B2725" t="str">
        <f t="shared" si="169"/>
        <v>GSW_Bus Hist Pol Sci</v>
      </c>
      <c r="C2725" t="s">
        <v>451</v>
      </c>
      <c r="D2725" s="180" t="s">
        <v>117</v>
      </c>
      <c r="E2725" t="s">
        <v>757</v>
      </c>
      <c r="F2725" t="s">
        <v>5574</v>
      </c>
      <c r="G2725" s="180">
        <v>36670</v>
      </c>
      <c r="H2725">
        <v>1972</v>
      </c>
      <c r="J2725" s="1334" t="s">
        <v>475</v>
      </c>
      <c r="K2725" s="1335" t="s">
        <v>475</v>
      </c>
      <c r="L2725" s="180">
        <v>100</v>
      </c>
      <c r="M2725" t="s">
        <v>7826</v>
      </c>
      <c r="N2725" t="str">
        <f t="shared" si="170"/>
        <v>Bus Hist Pol Sci (0018)</v>
      </c>
      <c r="O2725" t="s">
        <v>45</v>
      </c>
      <c r="P2725" t="str">
        <f t="shared" si="171"/>
        <v>42000_0018</v>
      </c>
      <c r="Q2725" s="180">
        <v>0</v>
      </c>
    </row>
    <row r="2726" spans="1:17">
      <c r="A2726" t="str">
        <f t="shared" si="168"/>
        <v>GSW_0020</v>
      </c>
      <c r="B2726" t="str">
        <f t="shared" si="169"/>
        <v>GSW_Carter Library</v>
      </c>
      <c r="C2726" t="s">
        <v>451</v>
      </c>
      <c r="D2726" s="180" t="s">
        <v>117</v>
      </c>
      <c r="E2726" t="s">
        <v>529</v>
      </c>
      <c r="F2726" t="s">
        <v>5564</v>
      </c>
      <c r="G2726" s="180">
        <v>63270</v>
      </c>
      <c r="H2726">
        <v>1969</v>
      </c>
      <c r="J2726" s="1334" t="s">
        <v>475</v>
      </c>
      <c r="K2726" s="1335" t="s">
        <v>475</v>
      </c>
      <c r="L2726" s="180">
        <v>100</v>
      </c>
      <c r="M2726" t="s">
        <v>7826</v>
      </c>
      <c r="N2726" t="str">
        <f t="shared" si="170"/>
        <v>Carter Library (0020)</v>
      </c>
      <c r="O2726" t="s">
        <v>45</v>
      </c>
      <c r="P2726" t="str">
        <f t="shared" si="171"/>
        <v>42000_0020</v>
      </c>
      <c r="Q2726" s="180">
        <v>0</v>
      </c>
    </row>
    <row r="2727" spans="1:17">
      <c r="A2727" t="str">
        <f t="shared" si="168"/>
        <v>GSW_0021</v>
      </c>
      <c r="B2727" t="str">
        <f t="shared" si="169"/>
        <v>GSW_Marshall/Bus and Finace Center</v>
      </c>
      <c r="C2727" t="s">
        <v>451</v>
      </c>
      <c r="D2727" s="180" t="s">
        <v>117</v>
      </c>
      <c r="E2727" t="s">
        <v>930</v>
      </c>
      <c r="F2727" t="s">
        <v>5569</v>
      </c>
      <c r="G2727" s="180">
        <v>32604</v>
      </c>
      <c r="H2727">
        <v>1967</v>
      </c>
      <c r="J2727" s="1334" t="s">
        <v>475</v>
      </c>
      <c r="K2727" s="1335" t="s">
        <v>475</v>
      </c>
      <c r="L2727" s="180">
        <v>25</v>
      </c>
      <c r="M2727" t="s">
        <v>7826</v>
      </c>
      <c r="N2727" t="str">
        <f t="shared" si="170"/>
        <v>Marshall/Bus and Finace Center (0021)</v>
      </c>
      <c r="O2727" t="s">
        <v>45</v>
      </c>
      <c r="P2727" t="str">
        <f t="shared" si="171"/>
        <v>42000_0021</v>
      </c>
      <c r="Q2727" s="180">
        <v>0</v>
      </c>
    </row>
    <row r="2728" spans="1:17">
      <c r="A2728" t="str">
        <f t="shared" si="168"/>
        <v>GSW_0022</v>
      </c>
      <c r="B2728" t="str">
        <f t="shared" si="169"/>
        <v>GSW_Jordan Hall</v>
      </c>
      <c r="C2728" t="s">
        <v>451</v>
      </c>
      <c r="D2728" s="180" t="s">
        <v>117</v>
      </c>
      <c r="E2728" t="s">
        <v>531</v>
      </c>
      <c r="F2728" t="s">
        <v>4642</v>
      </c>
      <c r="G2728" s="180">
        <v>20814</v>
      </c>
      <c r="H2728">
        <v>1967</v>
      </c>
      <c r="J2728" s="1334" t="s">
        <v>475</v>
      </c>
      <c r="K2728" s="1335" t="s">
        <v>475</v>
      </c>
      <c r="L2728" s="180">
        <v>100</v>
      </c>
      <c r="M2728" t="s">
        <v>7826</v>
      </c>
      <c r="N2728" t="str">
        <f t="shared" si="170"/>
        <v>Jordan Hall (0022)</v>
      </c>
      <c r="O2728" t="s">
        <v>45</v>
      </c>
      <c r="P2728" t="str">
        <f t="shared" si="171"/>
        <v>42000_0022</v>
      </c>
      <c r="Q2728" s="180">
        <v>0</v>
      </c>
    </row>
    <row r="2729" spans="1:17">
      <c r="A2729" t="str">
        <f t="shared" si="168"/>
        <v>GSW_0023</v>
      </c>
      <c r="B2729" t="str">
        <f t="shared" si="169"/>
        <v>GSW_Sanford Off Bldg</v>
      </c>
      <c r="C2729" t="s">
        <v>451</v>
      </c>
      <c r="D2729" s="180" t="s">
        <v>117</v>
      </c>
      <c r="E2729" t="s">
        <v>4343</v>
      </c>
      <c r="F2729" t="s">
        <v>5598</v>
      </c>
      <c r="G2729" s="180">
        <v>19104</v>
      </c>
      <c r="H2729">
        <v>1939</v>
      </c>
      <c r="I2729">
        <v>2012</v>
      </c>
      <c r="J2729" s="1334" t="s">
        <v>475</v>
      </c>
      <c r="K2729" s="1335" t="s">
        <v>475</v>
      </c>
      <c r="L2729" s="180">
        <v>100</v>
      </c>
      <c r="M2729" t="s">
        <v>7826</v>
      </c>
      <c r="N2729" t="str">
        <f t="shared" si="170"/>
        <v>Sanford Off Bldg (0023)</v>
      </c>
      <c r="O2729" t="s">
        <v>45</v>
      </c>
      <c r="P2729" t="str">
        <f t="shared" si="171"/>
        <v>42000_0023</v>
      </c>
      <c r="Q2729" s="180">
        <v>0</v>
      </c>
    </row>
    <row r="2730" spans="1:17">
      <c r="A2730" t="str">
        <f t="shared" si="168"/>
        <v>GSW_0024</v>
      </c>
      <c r="B2730" t="str">
        <f t="shared" si="169"/>
        <v>GSW_Morgan Hall</v>
      </c>
      <c r="C2730" t="s">
        <v>451</v>
      </c>
      <c r="D2730" s="180" t="s">
        <v>117</v>
      </c>
      <c r="E2730" t="s">
        <v>548</v>
      </c>
      <c r="F2730" t="s">
        <v>5583</v>
      </c>
      <c r="G2730" s="180">
        <v>10208</v>
      </c>
      <c r="H2730">
        <v>1937</v>
      </c>
      <c r="J2730" s="1334" t="s">
        <v>475</v>
      </c>
      <c r="K2730" s="1335" t="s">
        <v>475</v>
      </c>
      <c r="L2730" s="180">
        <v>100</v>
      </c>
      <c r="M2730" t="s">
        <v>7826</v>
      </c>
      <c r="N2730" t="str">
        <f t="shared" si="170"/>
        <v>Morgan Hall (0024)</v>
      </c>
      <c r="O2730" t="s">
        <v>45</v>
      </c>
      <c r="P2730" t="str">
        <f t="shared" si="171"/>
        <v>42000_0024</v>
      </c>
      <c r="Q2730" s="180">
        <v>0</v>
      </c>
    </row>
    <row r="2731" spans="1:17">
      <c r="A2731" t="str">
        <f t="shared" si="168"/>
        <v>GSW_0027</v>
      </c>
      <c r="B2731" t="str">
        <f t="shared" si="169"/>
        <v>GSW_N Smarr &amp; J Smith Memorial BLG</v>
      </c>
      <c r="C2731" t="s">
        <v>451</v>
      </c>
      <c r="D2731" s="180" t="s">
        <v>117</v>
      </c>
      <c r="E2731" t="s">
        <v>4571</v>
      </c>
      <c r="F2731" t="s">
        <v>5586</v>
      </c>
      <c r="G2731" s="180">
        <v>4893</v>
      </c>
      <c r="H2731">
        <v>1966</v>
      </c>
      <c r="J2731" s="1334" t="s">
        <v>475</v>
      </c>
      <c r="K2731" s="1335" t="s">
        <v>475</v>
      </c>
      <c r="L2731" s="180">
        <v>23</v>
      </c>
      <c r="M2731" t="s">
        <v>7826</v>
      </c>
      <c r="N2731" t="str">
        <f t="shared" si="170"/>
        <v>N Smarr &amp; J Smith Memorial BLG (0027)</v>
      </c>
      <c r="O2731" t="s">
        <v>45</v>
      </c>
      <c r="P2731" t="str">
        <f t="shared" si="171"/>
        <v>42000_0027</v>
      </c>
      <c r="Q2731" s="180">
        <v>0</v>
      </c>
    </row>
    <row r="2732" spans="1:17">
      <c r="A2732" t="str">
        <f t="shared" si="168"/>
        <v>GSW_0028</v>
      </c>
      <c r="B2732" t="str">
        <f t="shared" si="169"/>
        <v>GSW_Duncan Hall</v>
      </c>
      <c r="C2732" t="s">
        <v>451</v>
      </c>
      <c r="D2732" s="180" t="s">
        <v>117</v>
      </c>
      <c r="E2732" t="s">
        <v>5575</v>
      </c>
      <c r="F2732" t="s">
        <v>5576</v>
      </c>
      <c r="G2732" s="180">
        <v>57100</v>
      </c>
      <c r="H2732">
        <v>1969</v>
      </c>
      <c r="J2732" s="1334" t="s">
        <v>475</v>
      </c>
      <c r="K2732" s="1335" t="s">
        <v>1520</v>
      </c>
      <c r="L2732" s="180">
        <v>0</v>
      </c>
      <c r="M2732" t="s">
        <v>7826</v>
      </c>
      <c r="N2732" t="str">
        <f t="shared" si="170"/>
        <v>Duncan Hall (0028)</v>
      </c>
      <c r="O2732" t="s">
        <v>45</v>
      </c>
      <c r="P2732" t="str">
        <f t="shared" si="171"/>
        <v>42000_0028</v>
      </c>
      <c r="Q2732" s="180">
        <v>0</v>
      </c>
    </row>
    <row r="2733" spans="1:17">
      <c r="A2733" t="str">
        <f t="shared" si="168"/>
        <v>GSW_0030</v>
      </c>
      <c r="B2733" t="str">
        <f t="shared" si="169"/>
        <v>GSW_Lake House</v>
      </c>
      <c r="C2733" t="s">
        <v>451</v>
      </c>
      <c r="D2733" s="180" t="s">
        <v>117</v>
      </c>
      <c r="E2733" t="s">
        <v>561</v>
      </c>
      <c r="F2733" t="s">
        <v>5584</v>
      </c>
      <c r="G2733" s="180">
        <v>3000</v>
      </c>
      <c r="H2733">
        <v>1942</v>
      </c>
      <c r="J2733" s="1334" t="s">
        <v>475</v>
      </c>
      <c r="K2733" s="1335" t="s">
        <v>475</v>
      </c>
      <c r="L2733" s="180">
        <v>100</v>
      </c>
      <c r="M2733" t="s">
        <v>7826</v>
      </c>
      <c r="N2733" t="str">
        <f t="shared" si="170"/>
        <v>Lake House (0030)</v>
      </c>
      <c r="O2733" t="s">
        <v>45</v>
      </c>
      <c r="P2733" t="str">
        <f t="shared" si="171"/>
        <v>42000_0030</v>
      </c>
      <c r="Q2733" s="180">
        <v>0</v>
      </c>
    </row>
    <row r="2734" spans="1:17">
      <c r="A2734" t="str">
        <f t="shared" si="168"/>
        <v>GSW_0031</v>
      </c>
      <c r="B2734" t="str">
        <f t="shared" si="169"/>
        <v>GSW_Fine Arts</v>
      </c>
      <c r="C2734" t="s">
        <v>451</v>
      </c>
      <c r="D2734" s="180" t="s">
        <v>117</v>
      </c>
      <c r="E2734" t="s">
        <v>892</v>
      </c>
      <c r="F2734" t="s">
        <v>5587</v>
      </c>
      <c r="G2734" s="180">
        <v>46347</v>
      </c>
      <c r="H2734">
        <v>1981</v>
      </c>
      <c r="J2734" s="1334" t="s">
        <v>475</v>
      </c>
      <c r="K2734" s="1335" t="s">
        <v>475</v>
      </c>
      <c r="L2734" s="180">
        <v>100</v>
      </c>
      <c r="M2734" t="s">
        <v>7826</v>
      </c>
      <c r="N2734" t="str">
        <f t="shared" si="170"/>
        <v>Fine Arts (0031)</v>
      </c>
      <c r="O2734" t="s">
        <v>45</v>
      </c>
      <c r="P2734" t="str">
        <f t="shared" si="171"/>
        <v>42000_0031</v>
      </c>
      <c r="Q2734" s="180">
        <v>0</v>
      </c>
    </row>
    <row r="2735" spans="1:17">
      <c r="A2735" t="str">
        <f t="shared" si="168"/>
        <v>GSW_0032</v>
      </c>
      <c r="B2735" t="str">
        <f t="shared" si="169"/>
        <v>GSW_Education Center</v>
      </c>
      <c r="C2735" t="s">
        <v>451</v>
      </c>
      <c r="D2735" s="180" t="s">
        <v>117</v>
      </c>
      <c r="E2735" t="s">
        <v>864</v>
      </c>
      <c r="F2735" t="s">
        <v>4981</v>
      </c>
      <c r="G2735" s="180">
        <v>44591</v>
      </c>
      <c r="H2735">
        <v>1990</v>
      </c>
      <c r="J2735" s="1334" t="s">
        <v>475</v>
      </c>
      <c r="K2735" s="1335" t="s">
        <v>475</v>
      </c>
      <c r="L2735" s="180">
        <v>100</v>
      </c>
      <c r="M2735" t="s">
        <v>7826</v>
      </c>
      <c r="N2735" t="str">
        <f t="shared" si="170"/>
        <v>Education Center (0032)</v>
      </c>
      <c r="O2735" t="s">
        <v>45</v>
      </c>
      <c r="P2735" t="str">
        <f t="shared" si="171"/>
        <v>42000_0032</v>
      </c>
      <c r="Q2735" s="180">
        <v>0</v>
      </c>
    </row>
    <row r="2736" spans="1:17">
      <c r="A2736" t="str">
        <f t="shared" si="168"/>
        <v>GSW_0035</v>
      </c>
      <c r="B2736" t="str">
        <f t="shared" si="169"/>
        <v>GSW_Bell Tower</v>
      </c>
      <c r="C2736" t="s">
        <v>451</v>
      </c>
      <c r="D2736" s="180" t="s">
        <v>117</v>
      </c>
      <c r="E2736" t="s">
        <v>830</v>
      </c>
      <c r="F2736" t="s">
        <v>5577</v>
      </c>
      <c r="G2736" s="180">
        <v>63</v>
      </c>
      <c r="H2736">
        <v>1991</v>
      </c>
      <c r="J2736" s="1334" t="s">
        <v>475</v>
      </c>
      <c r="K2736" s="1335" t="s">
        <v>475</v>
      </c>
      <c r="L2736" s="180">
        <v>100</v>
      </c>
      <c r="M2736" t="s">
        <v>7826</v>
      </c>
      <c r="N2736" t="str">
        <f t="shared" si="170"/>
        <v>Bell Tower (0035)</v>
      </c>
      <c r="O2736" t="s">
        <v>45</v>
      </c>
      <c r="P2736" t="str">
        <f t="shared" si="171"/>
        <v>42000_0035</v>
      </c>
      <c r="Q2736" s="180">
        <v>0</v>
      </c>
    </row>
    <row r="2737" spans="1:17">
      <c r="A2737" t="str">
        <f t="shared" si="168"/>
        <v>GSW_0036</v>
      </c>
      <c r="B2737" t="str">
        <f t="shared" si="169"/>
        <v>GSW_Science</v>
      </c>
      <c r="C2737" t="s">
        <v>451</v>
      </c>
      <c r="D2737" s="180" t="s">
        <v>117</v>
      </c>
      <c r="E2737" t="s">
        <v>817</v>
      </c>
      <c r="F2737" t="s">
        <v>5582</v>
      </c>
      <c r="G2737" s="180">
        <v>591</v>
      </c>
      <c r="H2737">
        <v>1968</v>
      </c>
      <c r="J2737" s="1334" t="s">
        <v>475</v>
      </c>
      <c r="K2737" s="1335" t="s">
        <v>475</v>
      </c>
      <c r="L2737" s="180">
        <v>100</v>
      </c>
      <c r="M2737" t="s">
        <v>7826</v>
      </c>
      <c r="N2737" t="str">
        <f t="shared" si="170"/>
        <v>Science (0036)</v>
      </c>
      <c r="O2737" t="s">
        <v>45</v>
      </c>
      <c r="P2737" t="str">
        <f t="shared" si="171"/>
        <v>42000_0036</v>
      </c>
      <c r="Q2737" s="180">
        <v>0</v>
      </c>
    </row>
    <row r="2738" spans="1:17">
      <c r="A2738" t="str">
        <f t="shared" si="168"/>
        <v>GSW_0040</v>
      </c>
      <c r="B2738" t="str">
        <f t="shared" si="169"/>
        <v>GSW_HPE Student Success Center</v>
      </c>
      <c r="C2738" t="s">
        <v>451</v>
      </c>
      <c r="D2738" s="180" t="s">
        <v>117</v>
      </c>
      <c r="E2738" t="s">
        <v>724</v>
      </c>
      <c r="F2738" t="s">
        <v>5567</v>
      </c>
      <c r="G2738" s="180">
        <v>97798</v>
      </c>
      <c r="H2738">
        <v>2002</v>
      </c>
      <c r="J2738" s="1334" t="s">
        <v>520</v>
      </c>
      <c r="K2738" s="1335" t="s">
        <v>475</v>
      </c>
      <c r="L2738" s="180">
        <v>100</v>
      </c>
      <c r="M2738" t="s">
        <v>7826</v>
      </c>
      <c r="N2738" t="str">
        <f t="shared" si="170"/>
        <v>HPE Student Success Center (0040)</v>
      </c>
      <c r="O2738" t="s">
        <v>45</v>
      </c>
      <c r="P2738" t="str">
        <f t="shared" si="171"/>
        <v>42000_0040</v>
      </c>
      <c r="Q2738" s="180">
        <v>0</v>
      </c>
    </row>
    <row r="2739" spans="1:17">
      <c r="A2739" t="str">
        <f t="shared" si="168"/>
        <v>GSW_0041</v>
      </c>
      <c r="B2739" t="str">
        <f t="shared" si="169"/>
        <v>GSW_Southwestern Oaks I</v>
      </c>
      <c r="C2739" t="s">
        <v>451</v>
      </c>
      <c r="D2739" s="180" t="s">
        <v>117</v>
      </c>
      <c r="E2739" t="s">
        <v>554</v>
      </c>
      <c r="F2739" t="s">
        <v>5570</v>
      </c>
      <c r="G2739" s="180">
        <v>54713</v>
      </c>
      <c r="H2739">
        <v>2006</v>
      </c>
      <c r="J2739" s="1334" t="s">
        <v>486</v>
      </c>
      <c r="K2739" s="1335" t="s">
        <v>920</v>
      </c>
      <c r="L2739" s="180">
        <v>0</v>
      </c>
      <c r="M2739" t="s">
        <v>7826</v>
      </c>
      <c r="N2739" t="str">
        <f t="shared" si="170"/>
        <v>Southwestern Oaks I (0041)</v>
      </c>
      <c r="O2739" t="s">
        <v>45</v>
      </c>
      <c r="P2739" t="str">
        <f t="shared" si="171"/>
        <v>42000_0041</v>
      </c>
      <c r="Q2739" s="180">
        <v>0</v>
      </c>
    </row>
    <row r="2740" spans="1:17">
      <c r="A2740" t="str">
        <f t="shared" si="168"/>
        <v>GSW_0042</v>
      </c>
      <c r="B2740" t="str">
        <f t="shared" si="169"/>
        <v>GSW_Southwestern Oaks II</v>
      </c>
      <c r="C2740" t="s">
        <v>451</v>
      </c>
      <c r="D2740" s="180" t="s">
        <v>117</v>
      </c>
      <c r="E2740" t="s">
        <v>2583</v>
      </c>
      <c r="F2740" t="s">
        <v>5589</v>
      </c>
      <c r="G2740" s="180">
        <v>53212</v>
      </c>
      <c r="H2740">
        <v>2005</v>
      </c>
      <c r="J2740" s="1334" t="s">
        <v>486</v>
      </c>
      <c r="K2740" s="1335" t="s">
        <v>920</v>
      </c>
      <c r="L2740" s="180">
        <v>0</v>
      </c>
      <c r="M2740" t="s">
        <v>7826</v>
      </c>
      <c r="N2740" t="str">
        <f t="shared" si="170"/>
        <v>Southwestern Oaks II (0042)</v>
      </c>
      <c r="O2740" t="s">
        <v>45</v>
      </c>
      <c r="P2740" t="str">
        <f t="shared" si="171"/>
        <v>42000_0042</v>
      </c>
      <c r="Q2740" s="180">
        <v>0</v>
      </c>
    </row>
    <row r="2741" spans="1:17">
      <c r="A2741" t="str">
        <f t="shared" si="168"/>
        <v>GSW_0043</v>
      </c>
      <c r="B2741" t="str">
        <f t="shared" si="169"/>
        <v>GSW_Southwestern Pines</v>
      </c>
      <c r="C2741" t="s">
        <v>451</v>
      </c>
      <c r="D2741" s="180" t="s">
        <v>117</v>
      </c>
      <c r="E2741" t="s">
        <v>3774</v>
      </c>
      <c r="F2741" t="s">
        <v>5595</v>
      </c>
      <c r="G2741" s="180">
        <v>55744</v>
      </c>
      <c r="H2741">
        <v>2006</v>
      </c>
      <c r="J2741" s="1334" t="s">
        <v>486</v>
      </c>
      <c r="K2741" s="1335" t="s">
        <v>475</v>
      </c>
      <c r="L2741" s="180">
        <v>0</v>
      </c>
      <c r="M2741" t="s">
        <v>7826</v>
      </c>
      <c r="N2741" t="str">
        <f t="shared" si="170"/>
        <v>Southwestern Pines (0043)</v>
      </c>
      <c r="O2741" t="s">
        <v>45</v>
      </c>
      <c r="P2741" t="str">
        <f t="shared" si="171"/>
        <v>42000_0043</v>
      </c>
      <c r="Q2741" s="180">
        <v>0</v>
      </c>
    </row>
    <row r="2742" spans="1:17">
      <c r="A2742" t="str">
        <f t="shared" si="168"/>
        <v>GSW_0044</v>
      </c>
      <c r="B2742" t="str">
        <f t="shared" si="169"/>
        <v>GSW_Golf And Conference Center</v>
      </c>
      <c r="C2742" t="s">
        <v>451</v>
      </c>
      <c r="D2742" s="180" t="s">
        <v>117</v>
      </c>
      <c r="E2742" t="s">
        <v>1707</v>
      </c>
      <c r="F2742" t="s">
        <v>5596</v>
      </c>
      <c r="G2742" s="180">
        <v>14489</v>
      </c>
      <c r="H2742">
        <v>1967</v>
      </c>
      <c r="J2742" s="1334" t="s">
        <v>475</v>
      </c>
      <c r="K2742" s="1335" t="s">
        <v>475</v>
      </c>
      <c r="L2742" s="180">
        <v>100</v>
      </c>
      <c r="M2742" t="s">
        <v>7826</v>
      </c>
      <c r="N2742" t="str">
        <f t="shared" si="170"/>
        <v>Golf And Conference Center (0044)</v>
      </c>
      <c r="O2742" t="s">
        <v>45</v>
      </c>
      <c r="P2742" t="str">
        <f t="shared" si="171"/>
        <v>42000_0044</v>
      </c>
      <c r="Q2742" s="180">
        <v>0</v>
      </c>
    </row>
    <row r="2743" spans="1:17">
      <c r="A2743" t="str">
        <f t="shared" si="168"/>
        <v>GSW_0046</v>
      </c>
      <c r="B2743" t="str">
        <f t="shared" si="169"/>
        <v>GSW_Southwestern Magnolia I</v>
      </c>
      <c r="C2743" t="s">
        <v>451</v>
      </c>
      <c r="D2743" s="180" t="s">
        <v>117</v>
      </c>
      <c r="E2743" t="s">
        <v>3952</v>
      </c>
      <c r="F2743" t="s">
        <v>5585</v>
      </c>
      <c r="G2743" s="180">
        <v>44114</v>
      </c>
      <c r="H2743">
        <v>2009</v>
      </c>
      <c r="J2743" s="1334" t="s">
        <v>486</v>
      </c>
      <c r="K2743" s="1335" t="s">
        <v>475</v>
      </c>
      <c r="L2743" s="180">
        <v>0</v>
      </c>
      <c r="M2743" t="s">
        <v>7826</v>
      </c>
      <c r="N2743" t="str">
        <f t="shared" si="170"/>
        <v>Southwestern Magnolia I (0046)</v>
      </c>
      <c r="O2743" t="s">
        <v>45</v>
      </c>
      <c r="P2743" t="str">
        <f t="shared" si="171"/>
        <v>42000_0046</v>
      </c>
      <c r="Q2743" s="180">
        <v>0</v>
      </c>
    </row>
    <row r="2744" spans="1:17">
      <c r="A2744" t="str">
        <f t="shared" si="168"/>
        <v>GSW_0047</v>
      </c>
      <c r="B2744" t="str">
        <f t="shared" si="169"/>
        <v>GSW_Southwestern Magnolia II</v>
      </c>
      <c r="C2744" t="s">
        <v>451</v>
      </c>
      <c r="D2744" s="180" t="s">
        <v>117</v>
      </c>
      <c r="E2744" t="s">
        <v>598</v>
      </c>
      <c r="F2744" t="s">
        <v>5590</v>
      </c>
      <c r="G2744" s="180">
        <v>44114</v>
      </c>
      <c r="H2744">
        <v>2009</v>
      </c>
      <c r="J2744" s="1334" t="s">
        <v>486</v>
      </c>
      <c r="K2744" s="1335" t="s">
        <v>475</v>
      </c>
      <c r="L2744" s="180">
        <v>0</v>
      </c>
      <c r="M2744" t="s">
        <v>7826</v>
      </c>
      <c r="N2744" t="str">
        <f t="shared" si="170"/>
        <v>Southwestern Magnolia II (0047)</v>
      </c>
      <c r="O2744" t="s">
        <v>45</v>
      </c>
      <c r="P2744" t="str">
        <f t="shared" si="171"/>
        <v>42000_0047</v>
      </c>
      <c r="Q2744" s="180">
        <v>0</v>
      </c>
    </row>
    <row r="2745" spans="1:17">
      <c r="A2745" t="str">
        <f t="shared" si="168"/>
        <v>GSW_0048</v>
      </c>
      <c r="B2745" t="str">
        <f t="shared" si="169"/>
        <v>GSW_Carter I (HHS I)</v>
      </c>
      <c r="C2745" t="s">
        <v>451</v>
      </c>
      <c r="D2745" s="180" t="s">
        <v>117</v>
      </c>
      <c r="E2745" t="s">
        <v>1105</v>
      </c>
      <c r="F2745" t="s">
        <v>5599</v>
      </c>
      <c r="G2745" s="180">
        <v>46091</v>
      </c>
      <c r="H2745">
        <v>2012</v>
      </c>
      <c r="J2745" s="1334" t="s">
        <v>520</v>
      </c>
      <c r="K2745" s="1335" t="s">
        <v>475</v>
      </c>
      <c r="L2745" s="180">
        <v>100</v>
      </c>
      <c r="M2745" t="s">
        <v>7826</v>
      </c>
      <c r="N2745" t="str">
        <f t="shared" si="170"/>
        <v>Carter I (HHS I) (0048)</v>
      </c>
      <c r="O2745" t="s">
        <v>45</v>
      </c>
      <c r="P2745" t="str">
        <f t="shared" si="171"/>
        <v>42000_0048</v>
      </c>
      <c r="Q2745" s="180">
        <v>0</v>
      </c>
    </row>
    <row r="2746" spans="1:17">
      <c r="A2746" t="str">
        <f t="shared" si="168"/>
        <v>GSW_0049</v>
      </c>
      <c r="B2746" t="str">
        <f t="shared" si="169"/>
        <v>GSW_Carter II (HHS II)</v>
      </c>
      <c r="C2746" t="s">
        <v>451</v>
      </c>
      <c r="D2746" s="180" t="s">
        <v>117</v>
      </c>
      <c r="E2746" t="s">
        <v>4269</v>
      </c>
      <c r="F2746" t="s">
        <v>5592</v>
      </c>
      <c r="G2746" s="180">
        <v>36000</v>
      </c>
      <c r="H2746">
        <v>2012</v>
      </c>
      <c r="J2746" s="1334" t="s">
        <v>520</v>
      </c>
      <c r="K2746" s="1335" t="s">
        <v>475</v>
      </c>
      <c r="L2746" s="180">
        <v>100</v>
      </c>
      <c r="M2746" t="s">
        <v>7826</v>
      </c>
      <c r="N2746" t="str">
        <f t="shared" si="170"/>
        <v>Carter II (HHS II) (0049)</v>
      </c>
      <c r="O2746" t="s">
        <v>45</v>
      </c>
      <c r="P2746" t="str">
        <f t="shared" si="171"/>
        <v>42000_0049</v>
      </c>
      <c r="Q2746" s="180">
        <v>0</v>
      </c>
    </row>
    <row r="2747" spans="1:17">
      <c r="A2747" t="str">
        <f t="shared" si="168"/>
        <v>GSW_0050</v>
      </c>
      <c r="B2747" t="str">
        <f t="shared" si="169"/>
        <v>GSW_Softball Concession Stand</v>
      </c>
      <c r="C2747" t="s">
        <v>451</v>
      </c>
      <c r="D2747" s="180" t="s">
        <v>117</v>
      </c>
      <c r="E2747" t="s">
        <v>906</v>
      </c>
      <c r="F2747" t="s">
        <v>5591</v>
      </c>
      <c r="G2747" s="180">
        <v>2790</v>
      </c>
      <c r="H2747">
        <v>2013</v>
      </c>
      <c r="J2747" s="1334" t="s">
        <v>475</v>
      </c>
      <c r="K2747" s="1335" t="s">
        <v>475</v>
      </c>
      <c r="L2747" s="180">
        <v>0</v>
      </c>
      <c r="M2747" t="s">
        <v>7826</v>
      </c>
      <c r="N2747" t="str">
        <f t="shared" si="170"/>
        <v>Softball Concession Stand (0050)</v>
      </c>
      <c r="O2747" t="s">
        <v>45</v>
      </c>
      <c r="P2747" t="str">
        <f t="shared" si="171"/>
        <v>42000_0050</v>
      </c>
      <c r="Q2747" s="180">
        <v>0</v>
      </c>
    </row>
    <row r="2748" spans="1:17">
      <c r="A2748" t="str">
        <f t="shared" si="168"/>
        <v>GSW_019A</v>
      </c>
      <c r="B2748" t="str">
        <f t="shared" si="169"/>
        <v>GSW_Maintenance</v>
      </c>
      <c r="C2748" t="s">
        <v>451</v>
      </c>
      <c r="D2748" s="180" t="s">
        <v>117</v>
      </c>
      <c r="E2748" t="s">
        <v>5580</v>
      </c>
      <c r="F2748" t="s">
        <v>5581</v>
      </c>
      <c r="G2748" s="180">
        <v>14373</v>
      </c>
      <c r="H2748">
        <v>1966</v>
      </c>
      <c r="J2748" s="1334" t="s">
        <v>475</v>
      </c>
      <c r="K2748" s="1335" t="s">
        <v>475</v>
      </c>
      <c r="L2748" s="180">
        <v>100</v>
      </c>
      <c r="M2748" t="s">
        <v>7826</v>
      </c>
      <c r="N2748" t="str">
        <f t="shared" si="170"/>
        <v>Maintenance (019A)</v>
      </c>
      <c r="O2748" t="s">
        <v>45</v>
      </c>
      <c r="P2748" t="str">
        <f t="shared" si="171"/>
        <v>42000_019A</v>
      </c>
      <c r="Q2748" s="180">
        <v>0</v>
      </c>
    </row>
    <row r="2749" spans="1:17">
      <c r="A2749" t="str">
        <f t="shared" si="168"/>
        <v>GSW_019B</v>
      </c>
      <c r="B2749" t="str">
        <f t="shared" si="169"/>
        <v>GSW_Physical Plant Annex</v>
      </c>
      <c r="C2749" t="s">
        <v>451</v>
      </c>
      <c r="D2749" s="180" t="s">
        <v>117</v>
      </c>
      <c r="E2749" t="s">
        <v>5578</v>
      </c>
      <c r="F2749" t="s">
        <v>5579</v>
      </c>
      <c r="G2749" s="180">
        <v>7677</v>
      </c>
      <c r="H2749">
        <v>1970</v>
      </c>
      <c r="J2749" s="1334" t="s">
        <v>475</v>
      </c>
      <c r="K2749" s="1335" t="s">
        <v>475</v>
      </c>
      <c r="L2749" s="180">
        <v>100</v>
      </c>
      <c r="M2749" t="s">
        <v>7826</v>
      </c>
      <c r="N2749" t="str">
        <f t="shared" si="170"/>
        <v>Physical Plant Annex (019B)</v>
      </c>
      <c r="O2749" t="s">
        <v>45</v>
      </c>
      <c r="P2749" t="str">
        <f t="shared" si="171"/>
        <v>42000_019B</v>
      </c>
      <c r="Q2749" s="180">
        <v>0</v>
      </c>
    </row>
    <row r="2750" spans="1:17">
      <c r="A2750" t="str">
        <f t="shared" si="168"/>
        <v>GSW_019C</v>
      </c>
      <c r="B2750" t="str">
        <f t="shared" si="169"/>
        <v>GSW_Physical Plant Shed</v>
      </c>
      <c r="C2750" t="s">
        <v>451</v>
      </c>
      <c r="D2750" s="180" t="s">
        <v>117</v>
      </c>
      <c r="E2750" t="s">
        <v>5593</v>
      </c>
      <c r="F2750" t="s">
        <v>5594</v>
      </c>
      <c r="G2750" s="180">
        <v>8945</v>
      </c>
      <c r="H2750">
        <v>2006</v>
      </c>
      <c r="J2750" s="1334" t="s">
        <v>475</v>
      </c>
      <c r="K2750" s="1335" t="s">
        <v>475</v>
      </c>
      <c r="L2750" s="180">
        <v>100</v>
      </c>
      <c r="M2750" t="s">
        <v>7826</v>
      </c>
      <c r="N2750" t="str">
        <f t="shared" si="170"/>
        <v>Physical Plant Shed (019C)</v>
      </c>
      <c r="O2750" t="s">
        <v>45</v>
      </c>
      <c r="P2750" t="str">
        <f t="shared" si="171"/>
        <v>42000_019C</v>
      </c>
      <c r="Q2750" s="180">
        <v>0</v>
      </c>
    </row>
    <row r="2751" spans="1:17">
      <c r="A2751" t="str">
        <f t="shared" si="168"/>
        <v>KSU_000A</v>
      </c>
      <c r="B2751" t="str">
        <f t="shared" si="169"/>
        <v>KSU_Joe Mack Wilson Student Center</v>
      </c>
      <c r="C2751" t="s">
        <v>452</v>
      </c>
      <c r="D2751" s="180" t="s">
        <v>31</v>
      </c>
      <c r="E2751" t="s">
        <v>5632</v>
      </c>
      <c r="F2751" t="s">
        <v>5633</v>
      </c>
      <c r="G2751" s="180">
        <v>86243</v>
      </c>
      <c r="H2751">
        <v>1977</v>
      </c>
      <c r="I2751">
        <v>1993</v>
      </c>
      <c r="J2751" s="1334" t="s">
        <v>475</v>
      </c>
      <c r="K2751" s="1335" t="s">
        <v>475</v>
      </c>
      <c r="L2751" s="180">
        <v>70</v>
      </c>
      <c r="M2751" t="s">
        <v>95</v>
      </c>
      <c r="N2751" t="str">
        <f t="shared" si="170"/>
        <v>Joe Mack Wilson Student Center (000A)</v>
      </c>
      <c r="O2751" t="s">
        <v>47</v>
      </c>
      <c r="P2751" t="str">
        <f t="shared" si="171"/>
        <v>43000_000A</v>
      </c>
      <c r="Q2751" s="180">
        <v>0</v>
      </c>
    </row>
    <row r="2752" spans="1:17">
      <c r="A2752" t="str">
        <f t="shared" si="168"/>
        <v>KSU_000B</v>
      </c>
      <c r="B2752" t="str">
        <f t="shared" si="169"/>
        <v>KSU_Administration</v>
      </c>
      <c r="C2752" t="s">
        <v>452</v>
      </c>
      <c r="D2752" s="180" t="s">
        <v>31</v>
      </c>
      <c r="E2752" t="s">
        <v>5757</v>
      </c>
      <c r="F2752" t="s">
        <v>831</v>
      </c>
      <c r="G2752" s="180">
        <v>16620</v>
      </c>
      <c r="H2752">
        <v>1962</v>
      </c>
      <c r="I2752">
        <v>1987</v>
      </c>
      <c r="J2752" s="1334" t="s">
        <v>475</v>
      </c>
      <c r="K2752" s="1335" t="s">
        <v>475</v>
      </c>
      <c r="L2752" s="180">
        <v>100</v>
      </c>
      <c r="M2752" t="s">
        <v>95</v>
      </c>
      <c r="N2752" t="str">
        <f t="shared" si="170"/>
        <v>Administration (000B)</v>
      </c>
      <c r="O2752" t="s">
        <v>47</v>
      </c>
      <c r="P2752" t="str">
        <f t="shared" si="171"/>
        <v>43000_000B</v>
      </c>
      <c r="Q2752" s="180">
        <v>0</v>
      </c>
    </row>
    <row r="2753" spans="1:17">
      <c r="A2753" t="str">
        <f t="shared" si="168"/>
        <v>KSU_000C</v>
      </c>
      <c r="B2753" t="str">
        <f t="shared" si="169"/>
        <v>KSU_Lawrence V. Johnson Library</v>
      </c>
      <c r="C2753" t="s">
        <v>452</v>
      </c>
      <c r="D2753" s="180" t="s">
        <v>31</v>
      </c>
      <c r="E2753" t="s">
        <v>5650</v>
      </c>
      <c r="F2753" t="s">
        <v>5651</v>
      </c>
      <c r="G2753" s="180">
        <v>58175</v>
      </c>
      <c r="H2753">
        <v>1968</v>
      </c>
      <c r="I2753">
        <v>2021</v>
      </c>
      <c r="J2753" s="1334" t="s">
        <v>475</v>
      </c>
      <c r="K2753" s="1335" t="s">
        <v>475</v>
      </c>
      <c r="L2753" s="180">
        <v>100</v>
      </c>
      <c r="M2753" t="s">
        <v>95</v>
      </c>
      <c r="N2753" t="str">
        <f t="shared" si="170"/>
        <v>Lawrence V. Johnson Library (000C)</v>
      </c>
      <c r="O2753" t="s">
        <v>47</v>
      </c>
      <c r="P2753" t="str">
        <f t="shared" si="171"/>
        <v>43000_000C</v>
      </c>
      <c r="Q2753" s="180">
        <v>0</v>
      </c>
    </row>
    <row r="2754" spans="1:17">
      <c r="A2754" t="str">
        <f t="shared" si="168"/>
        <v>KSU_000D</v>
      </c>
      <c r="B2754" t="str">
        <f t="shared" si="169"/>
        <v>KSU_Mathematics</v>
      </c>
      <c r="C2754" t="s">
        <v>452</v>
      </c>
      <c r="D2754" s="180" t="s">
        <v>31</v>
      </c>
      <c r="E2754" t="s">
        <v>5666</v>
      </c>
      <c r="F2754" t="s">
        <v>5667</v>
      </c>
      <c r="G2754" s="180">
        <v>28595</v>
      </c>
      <c r="H2754">
        <v>1962</v>
      </c>
      <c r="I2754">
        <v>2015</v>
      </c>
      <c r="J2754" s="1334" t="s">
        <v>520</v>
      </c>
      <c r="K2754" s="1335" t="s">
        <v>475</v>
      </c>
      <c r="L2754" s="180">
        <v>100</v>
      </c>
      <c r="M2754" t="s">
        <v>95</v>
      </c>
      <c r="N2754" t="str">
        <f t="shared" si="170"/>
        <v>Mathematics (000D)</v>
      </c>
      <c r="O2754" t="s">
        <v>47</v>
      </c>
      <c r="P2754" t="str">
        <f t="shared" si="171"/>
        <v>43000_000D</v>
      </c>
      <c r="Q2754" s="180">
        <v>0</v>
      </c>
    </row>
    <row r="2755" spans="1:17">
      <c r="A2755" t="str">
        <f t="shared" ref="A2755:A2818" si="172">_xlfn.CONCAT(D2755,"_",E2755)</f>
        <v>KSU_000E</v>
      </c>
      <c r="B2755" t="str">
        <f t="shared" ref="B2755:B2818" si="173">_xlfn.CONCAT(D2755,"_",F2755)</f>
        <v>KSU_Crawford Lab</v>
      </c>
      <c r="C2755" t="s">
        <v>452</v>
      </c>
      <c r="D2755" s="180" t="s">
        <v>31</v>
      </c>
      <c r="E2755" t="s">
        <v>4756</v>
      </c>
      <c r="F2755" t="s">
        <v>5689</v>
      </c>
      <c r="G2755" s="180">
        <v>31158</v>
      </c>
      <c r="H2755">
        <v>1962</v>
      </c>
      <c r="I2755">
        <v>1990</v>
      </c>
      <c r="J2755" s="1334" t="s">
        <v>475</v>
      </c>
      <c r="K2755" s="1335" t="s">
        <v>475</v>
      </c>
      <c r="L2755" s="180">
        <v>100</v>
      </c>
      <c r="M2755" t="s">
        <v>95</v>
      </c>
      <c r="N2755" t="str">
        <f t="shared" ref="N2755:N2818" si="174">_xlfn.CONCAT(F2755," (",E2755,")")</f>
        <v>Crawford Lab (000E)</v>
      </c>
      <c r="O2755" t="s">
        <v>47</v>
      </c>
      <c r="P2755" t="str">
        <f t="shared" ref="P2755:P2818" si="175">_xlfn.CONCAT(C2755,"_",E2755)</f>
        <v>43000_000E</v>
      </c>
      <c r="Q2755" s="180">
        <v>0</v>
      </c>
    </row>
    <row r="2756" spans="1:17">
      <c r="A2756" t="str">
        <f t="shared" si="172"/>
        <v>KSU_000G</v>
      </c>
      <c r="B2756" t="str">
        <f t="shared" si="173"/>
        <v>KSU_Engineering Lab</v>
      </c>
      <c r="C2756" t="s">
        <v>452</v>
      </c>
      <c r="D2756" s="180" t="s">
        <v>31</v>
      </c>
      <c r="E2756" t="s">
        <v>5617</v>
      </c>
      <c r="F2756" t="s">
        <v>5618</v>
      </c>
      <c r="G2756" s="180">
        <v>35036</v>
      </c>
      <c r="H2756">
        <v>1962</v>
      </c>
      <c r="I2756">
        <v>2020</v>
      </c>
      <c r="J2756" s="1334" t="s">
        <v>520</v>
      </c>
      <c r="K2756" s="1335" t="s">
        <v>475</v>
      </c>
      <c r="L2756" s="180">
        <v>100</v>
      </c>
      <c r="M2756" t="s">
        <v>95</v>
      </c>
      <c r="N2756" t="str">
        <f t="shared" si="174"/>
        <v>Engineering Lab (000G)</v>
      </c>
      <c r="O2756" t="s">
        <v>47</v>
      </c>
      <c r="P2756" t="str">
        <f t="shared" si="175"/>
        <v>43000_000G</v>
      </c>
      <c r="Q2756" s="180">
        <v>0</v>
      </c>
    </row>
    <row r="2757" spans="1:17">
      <c r="A2757" t="str">
        <f t="shared" si="172"/>
        <v>KSU_000H</v>
      </c>
      <c r="B2757" t="str">
        <f t="shared" si="173"/>
        <v>KSU_Academic Building</v>
      </c>
      <c r="C2757" t="s">
        <v>452</v>
      </c>
      <c r="D2757" s="180" t="s">
        <v>31</v>
      </c>
      <c r="E2757" t="s">
        <v>5713</v>
      </c>
      <c r="F2757" t="s">
        <v>5714</v>
      </c>
      <c r="G2757" s="180">
        <v>50500</v>
      </c>
      <c r="H2757">
        <v>1986</v>
      </c>
      <c r="J2757" s="1334" t="s">
        <v>475</v>
      </c>
      <c r="K2757" s="1335" t="s">
        <v>475</v>
      </c>
      <c r="L2757" s="180">
        <v>100</v>
      </c>
      <c r="M2757" t="s">
        <v>95</v>
      </c>
      <c r="N2757" t="str">
        <f t="shared" si="174"/>
        <v>Academic Building (000H)</v>
      </c>
      <c r="O2757" t="s">
        <v>47</v>
      </c>
      <c r="P2757" t="str">
        <f t="shared" si="175"/>
        <v>43000_000H</v>
      </c>
      <c r="Q2757" s="180">
        <v>0</v>
      </c>
    </row>
    <row r="2758" spans="1:17">
      <c r="A2758" t="str">
        <f t="shared" si="172"/>
        <v>KSU_000I</v>
      </c>
      <c r="B2758" t="str">
        <f t="shared" si="173"/>
        <v>KSU_Design 1</v>
      </c>
      <c r="C2758" t="s">
        <v>452</v>
      </c>
      <c r="D2758" s="180" t="s">
        <v>31</v>
      </c>
      <c r="E2758" t="s">
        <v>5612</v>
      </c>
      <c r="F2758" t="s">
        <v>5613</v>
      </c>
      <c r="G2758" s="180">
        <v>35027</v>
      </c>
      <c r="H2758">
        <v>1961</v>
      </c>
      <c r="I2758">
        <v>2012</v>
      </c>
      <c r="J2758" s="1334" t="s">
        <v>520</v>
      </c>
      <c r="K2758" s="1335" t="s">
        <v>475</v>
      </c>
      <c r="L2758" s="180">
        <v>100</v>
      </c>
      <c r="M2758" t="s">
        <v>95</v>
      </c>
      <c r="N2758" t="str">
        <f t="shared" si="174"/>
        <v>Design 1 (000I)</v>
      </c>
      <c r="O2758" t="s">
        <v>47</v>
      </c>
      <c r="P2758" t="str">
        <f t="shared" si="175"/>
        <v>43000_000I</v>
      </c>
      <c r="Q2758" s="180">
        <v>0</v>
      </c>
    </row>
    <row r="2759" spans="1:17">
      <c r="A2759" t="str">
        <f t="shared" si="172"/>
        <v>KSU_000J</v>
      </c>
      <c r="B2759" t="str">
        <f t="shared" si="173"/>
        <v>KSU_Atrium Building</v>
      </c>
      <c r="C2759" t="s">
        <v>452</v>
      </c>
      <c r="D2759" s="180" t="s">
        <v>31</v>
      </c>
      <c r="E2759" t="s">
        <v>5678</v>
      </c>
      <c r="F2759" t="s">
        <v>5679</v>
      </c>
      <c r="G2759" s="180">
        <v>103608</v>
      </c>
      <c r="H2759">
        <v>1998</v>
      </c>
      <c r="J2759" s="1334" t="s">
        <v>475</v>
      </c>
      <c r="K2759" s="1335" t="s">
        <v>475</v>
      </c>
      <c r="L2759" s="180">
        <v>100</v>
      </c>
      <c r="M2759" t="s">
        <v>95</v>
      </c>
      <c r="N2759" t="str">
        <f t="shared" si="174"/>
        <v>Atrium Building (000J)</v>
      </c>
      <c r="O2759" t="s">
        <v>47</v>
      </c>
      <c r="P2759" t="str">
        <f t="shared" si="175"/>
        <v>43000_000J</v>
      </c>
      <c r="Q2759" s="180">
        <v>0</v>
      </c>
    </row>
    <row r="2760" spans="1:17">
      <c r="A2760" t="str">
        <f t="shared" si="172"/>
        <v>KSU_000M</v>
      </c>
      <c r="B2760" t="str">
        <f t="shared" si="173"/>
        <v>KSU_W.Clair Harris Textiles</v>
      </c>
      <c r="C2760" t="s">
        <v>452</v>
      </c>
      <c r="D2760" s="180" t="s">
        <v>31</v>
      </c>
      <c r="E2760" t="s">
        <v>5624</v>
      </c>
      <c r="F2760" t="s">
        <v>5625</v>
      </c>
      <c r="G2760" s="180">
        <v>31673</v>
      </c>
      <c r="H2760">
        <v>1988</v>
      </c>
      <c r="J2760" s="1334" t="s">
        <v>475</v>
      </c>
      <c r="K2760" s="1335" t="s">
        <v>475</v>
      </c>
      <c r="L2760" s="180">
        <v>100</v>
      </c>
      <c r="M2760" t="s">
        <v>95</v>
      </c>
      <c r="N2760" t="str">
        <f t="shared" si="174"/>
        <v>W.Clair Harris Textiles (000M)</v>
      </c>
      <c r="O2760" t="s">
        <v>47</v>
      </c>
      <c r="P2760" t="str">
        <f t="shared" si="175"/>
        <v>43000_000M</v>
      </c>
      <c r="Q2760" s="180">
        <v>0</v>
      </c>
    </row>
    <row r="2761" spans="1:17">
      <c r="A2761" t="str">
        <f t="shared" si="172"/>
        <v>KSU_000N</v>
      </c>
      <c r="B2761" t="str">
        <f t="shared" si="173"/>
        <v>KSU_Architecture</v>
      </c>
      <c r="C2761" t="s">
        <v>452</v>
      </c>
      <c r="D2761" s="180" t="s">
        <v>31</v>
      </c>
      <c r="E2761" t="s">
        <v>5708</v>
      </c>
      <c r="F2761" t="s">
        <v>5709</v>
      </c>
      <c r="G2761" s="180">
        <v>101793</v>
      </c>
      <c r="H2761">
        <v>2001</v>
      </c>
      <c r="J2761" s="1334" t="s">
        <v>520</v>
      </c>
      <c r="K2761" s="1335" t="s">
        <v>475</v>
      </c>
      <c r="L2761" s="180">
        <v>100</v>
      </c>
      <c r="M2761" t="s">
        <v>95</v>
      </c>
      <c r="N2761" t="str">
        <f t="shared" si="174"/>
        <v>Architecture (000N)</v>
      </c>
      <c r="O2761" t="s">
        <v>47</v>
      </c>
      <c r="P2761" t="str">
        <f t="shared" si="175"/>
        <v>43000_000N</v>
      </c>
      <c r="Q2761" s="180">
        <v>0</v>
      </c>
    </row>
    <row r="2762" spans="1:17">
      <c r="A2762" t="str">
        <f t="shared" si="172"/>
        <v>KSU_000S</v>
      </c>
      <c r="B2762" t="str">
        <f t="shared" si="173"/>
        <v>KSU_Howell Residence Hall</v>
      </c>
      <c r="C2762" t="s">
        <v>452</v>
      </c>
      <c r="D2762" s="180" t="s">
        <v>31</v>
      </c>
      <c r="E2762" t="s">
        <v>5675</v>
      </c>
      <c r="F2762" t="s">
        <v>5676</v>
      </c>
      <c r="G2762" s="180">
        <v>57722</v>
      </c>
      <c r="H2762">
        <v>1966</v>
      </c>
      <c r="I2762">
        <v>2021</v>
      </c>
      <c r="J2762" s="1334" t="s">
        <v>475</v>
      </c>
      <c r="K2762" s="1335" t="s">
        <v>475</v>
      </c>
      <c r="L2762" s="180">
        <v>0</v>
      </c>
      <c r="M2762" t="s">
        <v>95</v>
      </c>
      <c r="N2762" t="str">
        <f t="shared" si="174"/>
        <v>Howell Residence Hall (000S)</v>
      </c>
      <c r="O2762" t="s">
        <v>47</v>
      </c>
      <c r="P2762" t="str">
        <f t="shared" si="175"/>
        <v>43000_000S</v>
      </c>
      <c r="Q2762" s="180">
        <v>0</v>
      </c>
    </row>
    <row r="2763" spans="1:17">
      <c r="A2763" t="str">
        <f t="shared" si="172"/>
        <v>KSU_000V</v>
      </c>
      <c r="B2763" t="str">
        <f t="shared" si="173"/>
        <v>KSU_Norton Hall</v>
      </c>
      <c r="C2763" t="s">
        <v>452</v>
      </c>
      <c r="D2763" s="180" t="s">
        <v>31</v>
      </c>
      <c r="E2763" t="s">
        <v>5722</v>
      </c>
      <c r="F2763" t="s">
        <v>5723</v>
      </c>
      <c r="G2763" s="180">
        <v>47156</v>
      </c>
      <c r="H2763">
        <v>1965</v>
      </c>
      <c r="I2763">
        <v>1995</v>
      </c>
      <c r="J2763" s="1334" t="s">
        <v>475</v>
      </c>
      <c r="K2763" s="1335" t="s">
        <v>475</v>
      </c>
      <c r="L2763" s="180">
        <v>100</v>
      </c>
      <c r="M2763" t="s">
        <v>95</v>
      </c>
      <c r="N2763" t="str">
        <f t="shared" si="174"/>
        <v>Norton Hall (000V)</v>
      </c>
      <c r="O2763" t="s">
        <v>47</v>
      </c>
      <c r="P2763" t="str">
        <f t="shared" si="175"/>
        <v>43000_000V</v>
      </c>
      <c r="Q2763" s="180">
        <v>0</v>
      </c>
    </row>
    <row r="2764" spans="1:17">
      <c r="A2764" t="str">
        <f t="shared" si="172"/>
        <v>KSU_0010</v>
      </c>
      <c r="B2764" t="str">
        <f t="shared" si="173"/>
        <v>KSU_Public Safety</v>
      </c>
      <c r="C2764" t="s">
        <v>452</v>
      </c>
      <c r="D2764" s="180" t="s">
        <v>31</v>
      </c>
      <c r="E2764" t="s">
        <v>815</v>
      </c>
      <c r="F2764" t="s">
        <v>1350</v>
      </c>
      <c r="G2764" s="180">
        <v>9365</v>
      </c>
      <c r="H2764">
        <v>1967</v>
      </c>
      <c r="I2764">
        <v>2006</v>
      </c>
      <c r="J2764" s="1334" t="s">
        <v>475</v>
      </c>
      <c r="K2764" s="1335" t="s">
        <v>475</v>
      </c>
      <c r="L2764" s="180">
        <v>100</v>
      </c>
      <c r="M2764" t="s">
        <v>94</v>
      </c>
      <c r="N2764" t="str">
        <f t="shared" si="174"/>
        <v>Public Safety (0010)</v>
      </c>
      <c r="O2764" t="s">
        <v>47</v>
      </c>
      <c r="P2764" t="str">
        <f t="shared" si="175"/>
        <v>43000_0010</v>
      </c>
      <c r="Q2764" s="180">
        <v>0</v>
      </c>
    </row>
    <row r="2765" spans="1:17">
      <c r="A2765" t="str">
        <f t="shared" si="172"/>
        <v>KSU_0012</v>
      </c>
      <c r="B2765" t="str">
        <f t="shared" si="173"/>
        <v>KSU_Technology Services</v>
      </c>
      <c r="C2765" t="s">
        <v>452</v>
      </c>
      <c r="D2765" s="180" t="s">
        <v>31</v>
      </c>
      <c r="E2765" t="s">
        <v>698</v>
      </c>
      <c r="F2765" t="s">
        <v>5623</v>
      </c>
      <c r="G2765" s="180">
        <v>20758</v>
      </c>
      <c r="H2765">
        <v>1998</v>
      </c>
      <c r="I2765">
        <v>2009</v>
      </c>
      <c r="J2765" s="1334" t="s">
        <v>520</v>
      </c>
      <c r="K2765" s="1335" t="s">
        <v>475</v>
      </c>
      <c r="L2765" s="180">
        <v>100</v>
      </c>
      <c r="M2765" t="s">
        <v>94</v>
      </c>
      <c r="N2765" t="str">
        <f t="shared" si="174"/>
        <v>Technology Services (0012)</v>
      </c>
      <c r="O2765" t="s">
        <v>47</v>
      </c>
      <c r="P2765" t="str">
        <f t="shared" si="175"/>
        <v>43000_0012</v>
      </c>
      <c r="Q2765" s="180">
        <v>0</v>
      </c>
    </row>
    <row r="2766" spans="1:17">
      <c r="A2766" t="str">
        <f t="shared" si="172"/>
        <v>KSU_0013</v>
      </c>
      <c r="B2766" t="str">
        <f t="shared" si="173"/>
        <v>KSU_Science Laboratory Building</v>
      </c>
      <c r="C2766" t="s">
        <v>452</v>
      </c>
      <c r="D2766" s="180" t="s">
        <v>31</v>
      </c>
      <c r="E2766" t="s">
        <v>490</v>
      </c>
      <c r="F2766" t="s">
        <v>5725</v>
      </c>
      <c r="G2766" s="180">
        <v>74203</v>
      </c>
      <c r="H2766">
        <v>2010</v>
      </c>
      <c r="J2766" s="1334" t="s">
        <v>520</v>
      </c>
      <c r="K2766" s="1335" t="s">
        <v>475</v>
      </c>
      <c r="L2766" s="180">
        <v>100</v>
      </c>
      <c r="M2766" t="s">
        <v>94</v>
      </c>
      <c r="N2766" t="str">
        <f t="shared" si="174"/>
        <v>Science Laboratory Building (0013)</v>
      </c>
      <c r="O2766" t="s">
        <v>47</v>
      </c>
      <c r="P2766" t="str">
        <f t="shared" si="175"/>
        <v>43000_0013</v>
      </c>
      <c r="Q2766" s="180">
        <v>0</v>
      </c>
    </row>
    <row r="2767" spans="1:17">
      <c r="A2767" t="str">
        <f t="shared" si="172"/>
        <v>KSU_0015</v>
      </c>
      <c r="B2767" t="str">
        <f t="shared" si="173"/>
        <v>KSU_Technology Annex</v>
      </c>
      <c r="C2767" t="s">
        <v>452</v>
      </c>
      <c r="D2767" s="180" t="s">
        <v>31</v>
      </c>
      <c r="E2767" t="s">
        <v>624</v>
      </c>
      <c r="F2767" t="s">
        <v>5724</v>
      </c>
      <c r="G2767" s="180">
        <v>14316</v>
      </c>
      <c r="H2767">
        <v>1967</v>
      </c>
      <c r="I2767">
        <v>2013</v>
      </c>
      <c r="J2767" s="1334" t="s">
        <v>475</v>
      </c>
      <c r="K2767" s="1335" t="s">
        <v>475</v>
      </c>
      <c r="L2767" s="180">
        <v>100</v>
      </c>
      <c r="M2767" t="s">
        <v>94</v>
      </c>
      <c r="N2767" t="str">
        <f t="shared" si="174"/>
        <v>Technology Annex (0015)</v>
      </c>
      <c r="O2767" t="s">
        <v>47</v>
      </c>
      <c r="P2767" t="str">
        <f t="shared" si="175"/>
        <v>43000_0015</v>
      </c>
      <c r="Q2767" s="180">
        <v>0</v>
      </c>
    </row>
    <row r="2768" spans="1:17">
      <c r="A2768" t="str">
        <f t="shared" si="172"/>
        <v>KSU_0020</v>
      </c>
      <c r="B2768" t="str">
        <f t="shared" si="173"/>
        <v>KSU_Student Rec &amp; Wellness Center</v>
      </c>
      <c r="C2768" t="s">
        <v>452</v>
      </c>
      <c r="D2768" s="180" t="s">
        <v>31</v>
      </c>
      <c r="E2768" t="s">
        <v>529</v>
      </c>
      <c r="F2768" t="s">
        <v>5608</v>
      </c>
      <c r="G2768" s="180">
        <v>55991</v>
      </c>
      <c r="H2768">
        <v>1967</v>
      </c>
      <c r="I2768">
        <v>2014</v>
      </c>
      <c r="J2768" s="1334" t="s">
        <v>475</v>
      </c>
      <c r="K2768" s="1335" t="s">
        <v>475</v>
      </c>
      <c r="L2768" s="180">
        <v>100</v>
      </c>
      <c r="M2768" t="s">
        <v>94</v>
      </c>
      <c r="N2768" t="str">
        <f t="shared" si="174"/>
        <v>Student Rec &amp; Wellness Center (0020)</v>
      </c>
      <c r="O2768" t="s">
        <v>47</v>
      </c>
      <c r="P2768" t="str">
        <f t="shared" si="175"/>
        <v>43000_0020</v>
      </c>
      <c r="Q2768" s="180">
        <v>0</v>
      </c>
    </row>
    <row r="2769" spans="1:17">
      <c r="A2769" t="str">
        <f t="shared" si="172"/>
        <v>KSU_0021</v>
      </c>
      <c r="B2769" t="str">
        <f t="shared" si="173"/>
        <v>KSU_Siegel Student Rec &amp; Activ Cnt</v>
      </c>
      <c r="C2769" t="s">
        <v>452</v>
      </c>
      <c r="D2769" s="180" t="s">
        <v>31</v>
      </c>
      <c r="E2769" t="s">
        <v>930</v>
      </c>
      <c r="F2769" t="s">
        <v>5703</v>
      </c>
      <c r="G2769" s="180">
        <v>127202</v>
      </c>
      <c r="H2769">
        <v>2013</v>
      </c>
      <c r="J2769" s="1334" t="s">
        <v>486</v>
      </c>
      <c r="K2769" s="1335" t="s">
        <v>475</v>
      </c>
      <c r="L2769" s="180">
        <v>100</v>
      </c>
      <c r="M2769" t="s">
        <v>94</v>
      </c>
      <c r="N2769" t="str">
        <f t="shared" si="174"/>
        <v>Siegel Student Rec &amp; Activ Cnt (0021)</v>
      </c>
      <c r="O2769" t="s">
        <v>47</v>
      </c>
      <c r="P2769" t="str">
        <f t="shared" si="175"/>
        <v>43000_0021</v>
      </c>
      <c r="Q2769" s="180">
        <v>0</v>
      </c>
    </row>
    <row r="2770" spans="1:17">
      <c r="A2770" t="str">
        <f t="shared" si="172"/>
        <v>KSU_0023</v>
      </c>
      <c r="B2770" t="str">
        <f t="shared" si="173"/>
        <v>KSU_Softball Stadium</v>
      </c>
      <c r="C2770" t="s">
        <v>452</v>
      </c>
      <c r="D2770" s="180" t="s">
        <v>31</v>
      </c>
      <c r="E2770" t="s">
        <v>4343</v>
      </c>
      <c r="F2770" t="s">
        <v>746</v>
      </c>
      <c r="G2770" s="180">
        <v>1733</v>
      </c>
      <c r="H2770">
        <v>1993</v>
      </c>
      <c r="J2770" s="1334" t="s">
        <v>475</v>
      </c>
      <c r="K2770" s="1335" t="s">
        <v>475</v>
      </c>
      <c r="L2770" s="180">
        <v>100</v>
      </c>
      <c r="M2770" t="s">
        <v>94</v>
      </c>
      <c r="N2770" t="str">
        <f t="shared" si="174"/>
        <v>Softball Stadium (0023)</v>
      </c>
      <c r="O2770" t="s">
        <v>47</v>
      </c>
      <c r="P2770" t="str">
        <f t="shared" si="175"/>
        <v>43000_0023</v>
      </c>
      <c r="Q2770" s="180">
        <v>0</v>
      </c>
    </row>
    <row r="2771" spans="1:17">
      <c r="A2771" t="str">
        <f t="shared" si="172"/>
        <v>KSU_0024</v>
      </c>
      <c r="B2771" t="str">
        <f t="shared" si="173"/>
        <v>KSU_Baseball Stadium</v>
      </c>
      <c r="C2771" t="s">
        <v>452</v>
      </c>
      <c r="D2771" s="180" t="s">
        <v>31</v>
      </c>
      <c r="E2771" t="s">
        <v>548</v>
      </c>
      <c r="F2771" t="s">
        <v>5660</v>
      </c>
      <c r="G2771" s="180">
        <v>1850</v>
      </c>
      <c r="H2771">
        <v>1993</v>
      </c>
      <c r="J2771" s="1334" t="s">
        <v>475</v>
      </c>
      <c r="K2771" s="1335" t="s">
        <v>475</v>
      </c>
      <c r="L2771" s="180">
        <v>100</v>
      </c>
      <c r="M2771" t="s">
        <v>94</v>
      </c>
      <c r="N2771" t="str">
        <f t="shared" si="174"/>
        <v>Baseball Stadium (0024)</v>
      </c>
      <c r="O2771" t="s">
        <v>47</v>
      </c>
      <c r="P2771" t="str">
        <f t="shared" si="175"/>
        <v>43000_0024</v>
      </c>
      <c r="Q2771" s="180">
        <v>0</v>
      </c>
    </row>
    <row r="2772" spans="1:17">
      <c r="A2772" t="str">
        <f t="shared" si="172"/>
        <v>KSU_0025</v>
      </c>
      <c r="B2772" t="str">
        <f t="shared" si="173"/>
        <v>KSU_Convocation Center</v>
      </c>
      <c r="C2772" t="s">
        <v>452</v>
      </c>
      <c r="D2772" s="180" t="s">
        <v>31</v>
      </c>
      <c r="E2772" t="s">
        <v>682</v>
      </c>
      <c r="F2772" t="s">
        <v>361</v>
      </c>
      <c r="G2772" s="180">
        <v>130893</v>
      </c>
      <c r="H2772">
        <v>2002</v>
      </c>
      <c r="J2772" s="1334" t="s">
        <v>520</v>
      </c>
      <c r="K2772" s="1335" t="s">
        <v>475</v>
      </c>
      <c r="L2772" s="180">
        <v>100</v>
      </c>
      <c r="M2772" t="s">
        <v>94</v>
      </c>
      <c r="N2772" t="str">
        <f t="shared" si="174"/>
        <v>Convocation Center (0025)</v>
      </c>
      <c r="O2772" t="s">
        <v>47</v>
      </c>
      <c r="P2772" t="str">
        <f t="shared" si="175"/>
        <v>43000_0025</v>
      </c>
      <c r="Q2772" s="180">
        <v>0</v>
      </c>
    </row>
    <row r="2773" spans="1:17">
      <c r="A2773" t="str">
        <f t="shared" si="172"/>
        <v>KSU_0026</v>
      </c>
      <c r="B2773" t="str">
        <f t="shared" si="173"/>
        <v>KSU_Bailey Athletic Complex</v>
      </c>
      <c r="C2773" t="s">
        <v>452</v>
      </c>
      <c r="D2773" s="180" t="s">
        <v>31</v>
      </c>
      <c r="E2773" t="s">
        <v>692</v>
      </c>
      <c r="F2773" t="s">
        <v>5661</v>
      </c>
      <c r="G2773" s="180">
        <v>21377</v>
      </c>
      <c r="H2773">
        <v>2002</v>
      </c>
      <c r="J2773" s="1334" t="s">
        <v>475</v>
      </c>
      <c r="K2773" s="1335" t="s">
        <v>475</v>
      </c>
      <c r="L2773" s="180">
        <v>0</v>
      </c>
      <c r="M2773" t="s">
        <v>94</v>
      </c>
      <c r="N2773" t="str">
        <f t="shared" si="174"/>
        <v>Bailey Athletic Complex (0026)</v>
      </c>
      <c r="O2773" t="s">
        <v>47</v>
      </c>
      <c r="P2773" t="str">
        <f t="shared" si="175"/>
        <v>43000_0026</v>
      </c>
      <c r="Q2773" s="180">
        <v>0</v>
      </c>
    </row>
    <row r="2774" spans="1:17">
      <c r="A2774" t="str">
        <f t="shared" si="172"/>
        <v>KSU_0028</v>
      </c>
      <c r="B2774" t="str">
        <f t="shared" si="173"/>
        <v>KSU_Hitting And Pitching Building</v>
      </c>
      <c r="C2774" t="s">
        <v>452</v>
      </c>
      <c r="D2774" s="180" t="s">
        <v>31</v>
      </c>
      <c r="E2774" t="s">
        <v>5575</v>
      </c>
      <c r="F2774" t="s">
        <v>5677</v>
      </c>
      <c r="G2774" s="180">
        <v>4147</v>
      </c>
      <c r="H2774">
        <v>2009</v>
      </c>
      <c r="J2774" s="1334" t="s">
        <v>475</v>
      </c>
      <c r="K2774" s="1335" t="s">
        <v>475</v>
      </c>
      <c r="L2774" s="180">
        <v>100</v>
      </c>
      <c r="M2774" t="s">
        <v>94</v>
      </c>
      <c r="N2774" t="str">
        <f t="shared" si="174"/>
        <v>Hitting And Pitching Building (0028)</v>
      </c>
      <c r="O2774" t="s">
        <v>47</v>
      </c>
      <c r="P2774" t="str">
        <f t="shared" si="175"/>
        <v>43000_0028</v>
      </c>
      <c r="Q2774" s="180">
        <v>0</v>
      </c>
    </row>
    <row r="2775" spans="1:17">
      <c r="A2775" t="str">
        <f t="shared" si="172"/>
        <v>KSU_0030</v>
      </c>
      <c r="B2775" t="str">
        <f t="shared" si="173"/>
        <v>KSU_Willingham Hall</v>
      </c>
      <c r="C2775" t="s">
        <v>452</v>
      </c>
      <c r="D2775" s="180" t="s">
        <v>31</v>
      </c>
      <c r="E2775" t="s">
        <v>561</v>
      </c>
      <c r="F2775" t="s">
        <v>5691</v>
      </c>
      <c r="G2775" s="180">
        <v>21014</v>
      </c>
      <c r="H2775">
        <v>1967</v>
      </c>
      <c r="I2775">
        <v>2008</v>
      </c>
      <c r="J2775" s="1334" t="s">
        <v>475</v>
      </c>
      <c r="K2775" s="1335" t="s">
        <v>475</v>
      </c>
      <c r="L2775" s="180">
        <v>100</v>
      </c>
      <c r="M2775" t="s">
        <v>94</v>
      </c>
      <c r="N2775" t="str">
        <f t="shared" si="174"/>
        <v>Willingham Hall (0030)</v>
      </c>
      <c r="O2775" t="s">
        <v>47</v>
      </c>
      <c r="P2775" t="str">
        <f t="shared" si="175"/>
        <v>43000_0030</v>
      </c>
      <c r="Q2775" s="180">
        <v>0</v>
      </c>
    </row>
    <row r="2776" spans="1:17">
      <c r="A2776" t="str">
        <f t="shared" si="172"/>
        <v>KSU_0031</v>
      </c>
      <c r="B2776" t="str">
        <f t="shared" si="173"/>
        <v>KSU_English Building</v>
      </c>
      <c r="C2776" t="s">
        <v>452</v>
      </c>
      <c r="D2776" s="180" t="s">
        <v>31</v>
      </c>
      <c r="E2776" t="s">
        <v>892</v>
      </c>
      <c r="F2776" t="s">
        <v>5671</v>
      </c>
      <c r="G2776" s="180">
        <v>79767</v>
      </c>
      <c r="H2776">
        <v>2003</v>
      </c>
      <c r="I2776">
        <v>2017</v>
      </c>
      <c r="J2776" s="1334" t="s">
        <v>520</v>
      </c>
      <c r="K2776" s="1335" t="s">
        <v>475</v>
      </c>
      <c r="L2776" s="180">
        <v>100</v>
      </c>
      <c r="M2776" t="s">
        <v>94</v>
      </c>
      <c r="N2776" t="str">
        <f t="shared" si="174"/>
        <v>English Building (0031)</v>
      </c>
      <c r="O2776" t="s">
        <v>47</v>
      </c>
      <c r="P2776" t="str">
        <f t="shared" si="175"/>
        <v>43000_0031</v>
      </c>
      <c r="Q2776" s="180">
        <v>0</v>
      </c>
    </row>
    <row r="2777" spans="1:17">
      <c r="A2777" t="str">
        <f t="shared" si="172"/>
        <v>KSU_0032</v>
      </c>
      <c r="B2777" t="str">
        <f t="shared" si="173"/>
        <v>KSU_Bagwell Education Building</v>
      </c>
      <c r="C2777" t="s">
        <v>452</v>
      </c>
      <c r="D2777" s="180" t="s">
        <v>31</v>
      </c>
      <c r="E2777" t="s">
        <v>864</v>
      </c>
      <c r="F2777" t="s">
        <v>5716</v>
      </c>
      <c r="G2777" s="180">
        <v>78375</v>
      </c>
      <c r="H2777">
        <v>2013</v>
      </c>
      <c r="J2777" s="1334" t="s">
        <v>520</v>
      </c>
      <c r="K2777" s="1335" t="s">
        <v>475</v>
      </c>
      <c r="L2777" s="180">
        <v>100</v>
      </c>
      <c r="M2777" t="s">
        <v>94</v>
      </c>
      <c r="N2777" t="str">
        <f t="shared" si="174"/>
        <v>Bagwell Education Building (0032)</v>
      </c>
      <c r="O2777" t="s">
        <v>47</v>
      </c>
      <c r="P2777" t="str">
        <f t="shared" si="175"/>
        <v>43000_0032</v>
      </c>
      <c r="Q2777" s="180">
        <v>0</v>
      </c>
    </row>
    <row r="2778" spans="1:17">
      <c r="A2778" t="str">
        <f t="shared" si="172"/>
        <v>KSU_0033</v>
      </c>
      <c r="B2778" t="str">
        <f t="shared" si="173"/>
        <v>KSU_Burruss Building</v>
      </c>
      <c r="C2778" t="s">
        <v>452</v>
      </c>
      <c r="D2778" s="180" t="s">
        <v>31</v>
      </c>
      <c r="E2778" t="s">
        <v>717</v>
      </c>
      <c r="F2778" t="s">
        <v>5614</v>
      </c>
      <c r="G2778" s="180">
        <v>105385</v>
      </c>
      <c r="H2778">
        <v>1991</v>
      </c>
      <c r="J2778" s="1334" t="s">
        <v>475</v>
      </c>
      <c r="K2778" s="1335" t="s">
        <v>475</v>
      </c>
      <c r="L2778" s="180">
        <v>100</v>
      </c>
      <c r="M2778" t="s">
        <v>94</v>
      </c>
      <c r="N2778" t="str">
        <f t="shared" si="174"/>
        <v>Burruss Building (0033)</v>
      </c>
      <c r="O2778" t="s">
        <v>47</v>
      </c>
      <c r="P2778" t="str">
        <f t="shared" si="175"/>
        <v>43000_0033</v>
      </c>
      <c r="Q2778" s="180">
        <v>0</v>
      </c>
    </row>
    <row r="2779" spans="1:17">
      <c r="A2779" t="str">
        <f t="shared" si="172"/>
        <v>KSU_0034</v>
      </c>
      <c r="B2779" t="str">
        <f t="shared" si="173"/>
        <v>KSU_Kennesaw Hall</v>
      </c>
      <c r="C2779" t="s">
        <v>452</v>
      </c>
      <c r="D2779" s="180" t="s">
        <v>31</v>
      </c>
      <c r="E2779" t="s">
        <v>5637</v>
      </c>
      <c r="F2779" t="s">
        <v>5638</v>
      </c>
      <c r="G2779" s="180">
        <v>131182</v>
      </c>
      <c r="H2779">
        <v>1998</v>
      </c>
      <c r="J2779" s="1334" t="s">
        <v>520</v>
      </c>
      <c r="K2779" s="1335" t="s">
        <v>475</v>
      </c>
      <c r="L2779" s="180">
        <v>100</v>
      </c>
      <c r="M2779" t="s">
        <v>94</v>
      </c>
      <c r="N2779" t="str">
        <f t="shared" si="174"/>
        <v>Kennesaw Hall (0034)</v>
      </c>
      <c r="O2779" t="s">
        <v>47</v>
      </c>
      <c r="P2779" t="str">
        <f t="shared" si="175"/>
        <v>43000_0034</v>
      </c>
      <c r="Q2779" s="180">
        <v>0</v>
      </c>
    </row>
    <row r="2780" spans="1:17">
      <c r="A2780" t="str">
        <f t="shared" si="172"/>
        <v>KSU_0036</v>
      </c>
      <c r="B2780" t="str">
        <f t="shared" si="173"/>
        <v>KSU_Visual Arts</v>
      </c>
      <c r="C2780" t="s">
        <v>452</v>
      </c>
      <c r="D2780" s="180" t="s">
        <v>31</v>
      </c>
      <c r="E2780" t="s">
        <v>817</v>
      </c>
      <c r="F2780" t="s">
        <v>5729</v>
      </c>
      <c r="G2780" s="180">
        <v>32423</v>
      </c>
      <c r="H2780">
        <v>1999</v>
      </c>
      <c r="J2780" s="1334" t="s">
        <v>520</v>
      </c>
      <c r="K2780" s="1335" t="s">
        <v>475</v>
      </c>
      <c r="L2780" s="180">
        <v>100</v>
      </c>
      <c r="M2780" t="s">
        <v>94</v>
      </c>
      <c r="N2780" t="str">
        <f t="shared" si="174"/>
        <v>Visual Arts (0036)</v>
      </c>
      <c r="O2780" t="s">
        <v>47</v>
      </c>
      <c r="P2780" t="str">
        <f t="shared" si="175"/>
        <v>43000_0036</v>
      </c>
      <c r="Q2780" s="180">
        <v>0</v>
      </c>
    </row>
    <row r="2781" spans="1:17">
      <c r="A2781" t="str">
        <f t="shared" si="172"/>
        <v>KSU_0037</v>
      </c>
      <c r="B2781" t="str">
        <f t="shared" si="173"/>
        <v>KSU_Wilson Annex</v>
      </c>
      <c r="C2781" t="s">
        <v>452</v>
      </c>
      <c r="D2781" s="180" t="s">
        <v>31</v>
      </c>
      <c r="E2781" t="s">
        <v>998</v>
      </c>
      <c r="F2781" t="s">
        <v>5765</v>
      </c>
      <c r="G2781" s="180">
        <v>17933</v>
      </c>
      <c r="H2781">
        <v>2008</v>
      </c>
      <c r="J2781" s="1334" t="s">
        <v>520</v>
      </c>
      <c r="K2781" s="1335" t="s">
        <v>475</v>
      </c>
      <c r="L2781" s="180">
        <v>100</v>
      </c>
      <c r="M2781" t="s">
        <v>94</v>
      </c>
      <c r="N2781" t="str">
        <f t="shared" si="174"/>
        <v>Wilson Annex (0037)</v>
      </c>
      <c r="O2781" t="s">
        <v>47</v>
      </c>
      <c r="P2781" t="str">
        <f t="shared" si="175"/>
        <v>43000_0037</v>
      </c>
      <c r="Q2781" s="180">
        <v>0</v>
      </c>
    </row>
    <row r="2782" spans="1:17">
      <c r="A2782" t="str">
        <f t="shared" si="172"/>
        <v>KSU_0038</v>
      </c>
      <c r="B2782" t="str">
        <f t="shared" si="173"/>
        <v>KSU_J.M.Wilson Bldg.</v>
      </c>
      <c r="C2782" t="s">
        <v>452</v>
      </c>
      <c r="D2782" s="180" t="s">
        <v>31</v>
      </c>
      <c r="E2782" t="s">
        <v>866</v>
      </c>
      <c r="F2782" t="s">
        <v>5649</v>
      </c>
      <c r="G2782" s="180">
        <v>37949</v>
      </c>
      <c r="H2782">
        <v>1989</v>
      </c>
      <c r="J2782" s="1334" t="s">
        <v>475</v>
      </c>
      <c r="K2782" s="1335" t="s">
        <v>475</v>
      </c>
      <c r="L2782" s="180">
        <v>100</v>
      </c>
      <c r="M2782" t="s">
        <v>94</v>
      </c>
      <c r="N2782" t="str">
        <f t="shared" si="174"/>
        <v>J.M.Wilson Bldg. (0038)</v>
      </c>
      <c r="O2782" t="s">
        <v>47</v>
      </c>
      <c r="P2782" t="str">
        <f t="shared" si="175"/>
        <v>43000_0038</v>
      </c>
      <c r="Q2782" s="180">
        <v>0</v>
      </c>
    </row>
    <row r="2783" spans="1:17">
      <c r="A2783" t="str">
        <f t="shared" si="172"/>
        <v>KSU_0040</v>
      </c>
      <c r="B2783" t="str">
        <f t="shared" si="173"/>
        <v>KSU_Pilcher Public Service Bldg</v>
      </c>
      <c r="C2783" t="s">
        <v>452</v>
      </c>
      <c r="D2783" s="180" t="s">
        <v>31</v>
      </c>
      <c r="E2783" t="s">
        <v>724</v>
      </c>
      <c r="F2783" t="s">
        <v>5672</v>
      </c>
      <c r="G2783" s="180">
        <v>21014</v>
      </c>
      <c r="H2783">
        <v>1967</v>
      </c>
      <c r="I2783">
        <v>1986</v>
      </c>
      <c r="J2783" s="1334" t="s">
        <v>475</v>
      </c>
      <c r="K2783" s="1335" t="s">
        <v>475</v>
      </c>
      <c r="L2783" s="180">
        <v>100</v>
      </c>
      <c r="M2783" t="s">
        <v>94</v>
      </c>
      <c r="N2783" t="str">
        <f t="shared" si="174"/>
        <v>Pilcher Public Service Bldg (0040)</v>
      </c>
      <c r="O2783" t="s">
        <v>47</v>
      </c>
      <c r="P2783" t="str">
        <f t="shared" si="175"/>
        <v>43000_0040</v>
      </c>
      <c r="Q2783" s="180">
        <v>0</v>
      </c>
    </row>
    <row r="2784" spans="1:17">
      <c r="A2784" t="str">
        <f t="shared" si="172"/>
        <v>KSU_0045</v>
      </c>
      <c r="B2784" t="str">
        <f t="shared" si="173"/>
        <v>KSU_Library</v>
      </c>
      <c r="C2784" t="s">
        <v>452</v>
      </c>
      <c r="D2784" s="180" t="s">
        <v>31</v>
      </c>
      <c r="E2784" t="s">
        <v>594</v>
      </c>
      <c r="F2784" t="s">
        <v>4597</v>
      </c>
      <c r="G2784" s="180">
        <v>100617</v>
      </c>
      <c r="H2784">
        <v>1981</v>
      </c>
      <c r="I2784">
        <v>2014</v>
      </c>
      <c r="J2784" s="1334" t="s">
        <v>520</v>
      </c>
      <c r="K2784" s="1335" t="s">
        <v>475</v>
      </c>
      <c r="L2784" s="180">
        <v>100</v>
      </c>
      <c r="M2784" t="s">
        <v>94</v>
      </c>
      <c r="N2784" t="str">
        <f t="shared" si="174"/>
        <v>Library (0045)</v>
      </c>
      <c r="O2784" t="s">
        <v>47</v>
      </c>
      <c r="P2784" t="str">
        <f t="shared" si="175"/>
        <v>43000_0045</v>
      </c>
      <c r="Q2784" s="180">
        <v>0</v>
      </c>
    </row>
    <row r="2785" spans="1:17">
      <c r="A2785" t="str">
        <f t="shared" si="172"/>
        <v>KSU_0048</v>
      </c>
      <c r="B2785" t="str">
        <f t="shared" si="173"/>
        <v>KSU_Zuckerman Museum of Art</v>
      </c>
      <c r="C2785" t="s">
        <v>452</v>
      </c>
      <c r="D2785" s="180" t="s">
        <v>31</v>
      </c>
      <c r="E2785" t="s">
        <v>1105</v>
      </c>
      <c r="F2785" t="s">
        <v>5736</v>
      </c>
      <c r="G2785" s="180">
        <v>9793</v>
      </c>
      <c r="H2785">
        <v>2013</v>
      </c>
      <c r="J2785" s="1334" t="s">
        <v>475</v>
      </c>
      <c r="K2785" s="1335" t="s">
        <v>475</v>
      </c>
      <c r="L2785" s="180">
        <v>100</v>
      </c>
      <c r="M2785" t="s">
        <v>94</v>
      </c>
      <c r="N2785" t="str">
        <f t="shared" si="174"/>
        <v>Zuckerman Museum of Art (0048)</v>
      </c>
      <c r="O2785" t="s">
        <v>47</v>
      </c>
      <c r="P2785" t="str">
        <f t="shared" si="175"/>
        <v>43000_0048</v>
      </c>
      <c r="Q2785" s="180">
        <v>0</v>
      </c>
    </row>
    <row r="2786" spans="1:17">
      <c r="A2786" t="str">
        <f t="shared" si="172"/>
        <v>KSU_0049</v>
      </c>
      <c r="B2786" t="str">
        <f t="shared" si="173"/>
        <v>KSU_Bailey Performance Center</v>
      </c>
      <c r="C2786" t="s">
        <v>452</v>
      </c>
      <c r="D2786" s="180" t="s">
        <v>31</v>
      </c>
      <c r="E2786" t="s">
        <v>4269</v>
      </c>
      <c r="F2786" t="s">
        <v>5748</v>
      </c>
      <c r="G2786" s="180">
        <v>31970</v>
      </c>
      <c r="H2786">
        <v>2006</v>
      </c>
      <c r="J2786" s="1334" t="s">
        <v>520</v>
      </c>
      <c r="K2786" s="1335" t="s">
        <v>475</v>
      </c>
      <c r="L2786" s="180">
        <v>100</v>
      </c>
      <c r="M2786" t="s">
        <v>94</v>
      </c>
      <c r="N2786" t="str">
        <f t="shared" si="174"/>
        <v>Bailey Performance Center (0049)</v>
      </c>
      <c r="O2786" t="s">
        <v>47</v>
      </c>
      <c r="P2786" t="str">
        <f t="shared" si="175"/>
        <v>43000_0049</v>
      </c>
      <c r="Q2786" s="180">
        <v>0</v>
      </c>
    </row>
    <row r="2787" spans="1:17">
      <c r="A2787" t="str">
        <f t="shared" si="172"/>
        <v>KSU_0050</v>
      </c>
      <c r="B2787" t="str">
        <f t="shared" si="173"/>
        <v>KSU_Music Building</v>
      </c>
      <c r="C2787" t="s">
        <v>452</v>
      </c>
      <c r="D2787" s="180" t="s">
        <v>31</v>
      </c>
      <c r="E2787" t="s">
        <v>906</v>
      </c>
      <c r="F2787" t="s">
        <v>5737</v>
      </c>
      <c r="G2787" s="180">
        <v>8570</v>
      </c>
      <c r="H2787">
        <v>1967</v>
      </c>
      <c r="I2787">
        <v>1980</v>
      </c>
      <c r="J2787" s="1334" t="s">
        <v>475</v>
      </c>
      <c r="K2787" s="1335" t="s">
        <v>475</v>
      </c>
      <c r="L2787" s="180">
        <v>100</v>
      </c>
      <c r="M2787" t="s">
        <v>94</v>
      </c>
      <c r="N2787" t="str">
        <f t="shared" si="174"/>
        <v>Music Building (0050)</v>
      </c>
      <c r="O2787" t="s">
        <v>47</v>
      </c>
      <c r="P2787" t="str">
        <f t="shared" si="175"/>
        <v>43000_0050</v>
      </c>
      <c r="Q2787" s="180">
        <v>0</v>
      </c>
    </row>
    <row r="2788" spans="1:17">
      <c r="A2788" t="str">
        <f t="shared" si="172"/>
        <v>KSU_0051</v>
      </c>
      <c r="B2788" t="str">
        <f t="shared" si="173"/>
        <v>KSU_Chastain Pointe</v>
      </c>
      <c r="C2788" t="s">
        <v>452</v>
      </c>
      <c r="D2788" s="180" t="s">
        <v>31</v>
      </c>
      <c r="E2788" t="s">
        <v>600</v>
      </c>
      <c r="F2788" t="s">
        <v>5682</v>
      </c>
      <c r="G2788" s="180">
        <v>200305</v>
      </c>
      <c r="H2788">
        <v>1995</v>
      </c>
      <c r="J2788" s="1334" t="s">
        <v>475</v>
      </c>
      <c r="K2788" s="1335" t="s">
        <v>475</v>
      </c>
      <c r="L2788" s="180">
        <v>100</v>
      </c>
      <c r="M2788" t="s">
        <v>94</v>
      </c>
      <c r="N2788" t="str">
        <f t="shared" si="174"/>
        <v>Chastain Pointe (0051)</v>
      </c>
      <c r="O2788" t="s">
        <v>47</v>
      </c>
      <c r="P2788" t="str">
        <f t="shared" si="175"/>
        <v>43000_0051</v>
      </c>
      <c r="Q2788" s="180">
        <v>0</v>
      </c>
    </row>
    <row r="2789" spans="1:17">
      <c r="A2789" t="str">
        <f t="shared" si="172"/>
        <v>KSU_0060</v>
      </c>
      <c r="B2789" t="str">
        <f t="shared" si="173"/>
        <v>KSU_Mathematics &amp; Statistics</v>
      </c>
      <c r="C2789" t="s">
        <v>452</v>
      </c>
      <c r="D2789" s="180" t="s">
        <v>31</v>
      </c>
      <c r="E2789" t="s">
        <v>1113</v>
      </c>
      <c r="F2789" t="s">
        <v>5730</v>
      </c>
      <c r="G2789" s="180">
        <v>31615</v>
      </c>
      <c r="H2789">
        <v>1967</v>
      </c>
      <c r="I2789">
        <v>1998</v>
      </c>
      <c r="J2789" s="1334" t="s">
        <v>475</v>
      </c>
      <c r="K2789" s="1335" t="s">
        <v>475</v>
      </c>
      <c r="L2789" s="180">
        <v>100</v>
      </c>
      <c r="M2789" t="s">
        <v>94</v>
      </c>
      <c r="N2789" t="str">
        <f t="shared" si="174"/>
        <v>Mathematics &amp; Statistics (0060)</v>
      </c>
      <c r="O2789" t="s">
        <v>47</v>
      </c>
      <c r="P2789" t="str">
        <f t="shared" si="175"/>
        <v>43000_0060</v>
      </c>
      <c r="Q2789" s="180">
        <v>0</v>
      </c>
    </row>
    <row r="2790" spans="1:17">
      <c r="A2790" t="str">
        <f t="shared" si="172"/>
        <v>KSU_0061</v>
      </c>
      <c r="B2790" t="str">
        <f t="shared" si="173"/>
        <v>KSU_Science</v>
      </c>
      <c r="C2790" t="s">
        <v>452</v>
      </c>
      <c r="D2790" s="180" t="s">
        <v>31</v>
      </c>
      <c r="E2790" t="s">
        <v>694</v>
      </c>
      <c r="F2790" t="s">
        <v>5582</v>
      </c>
      <c r="G2790" s="180">
        <v>104336</v>
      </c>
      <c r="H2790">
        <v>1995</v>
      </c>
      <c r="J2790" s="1334" t="s">
        <v>475</v>
      </c>
      <c r="K2790" s="1335" t="s">
        <v>475</v>
      </c>
      <c r="L2790" s="180">
        <v>100</v>
      </c>
      <c r="M2790" t="s">
        <v>94</v>
      </c>
      <c r="N2790" t="str">
        <f t="shared" si="174"/>
        <v>Science (0061)</v>
      </c>
      <c r="O2790" t="s">
        <v>47</v>
      </c>
      <c r="P2790" t="str">
        <f t="shared" si="175"/>
        <v>43000_0061</v>
      </c>
      <c r="Q2790" s="180">
        <v>0</v>
      </c>
    </row>
    <row r="2791" spans="1:17">
      <c r="A2791" t="str">
        <f t="shared" si="172"/>
        <v>KSU_0062</v>
      </c>
      <c r="B2791" t="str">
        <f t="shared" si="173"/>
        <v>KSU_Clendenin Building</v>
      </c>
      <c r="C2791" t="s">
        <v>452</v>
      </c>
      <c r="D2791" s="180" t="s">
        <v>31</v>
      </c>
      <c r="E2791" t="s">
        <v>473</v>
      </c>
      <c r="F2791" t="s">
        <v>5704</v>
      </c>
      <c r="G2791" s="180">
        <v>37184</v>
      </c>
      <c r="H2791">
        <v>2002</v>
      </c>
      <c r="J2791" s="1334" t="s">
        <v>475</v>
      </c>
      <c r="K2791" s="1335" t="s">
        <v>475</v>
      </c>
      <c r="L2791" s="180">
        <v>100</v>
      </c>
      <c r="M2791" t="s">
        <v>94</v>
      </c>
      <c r="N2791" t="str">
        <f t="shared" si="174"/>
        <v>Clendenin Building (0062)</v>
      </c>
      <c r="O2791" t="s">
        <v>47</v>
      </c>
      <c r="P2791" t="str">
        <f t="shared" si="175"/>
        <v>43000_0062</v>
      </c>
      <c r="Q2791" s="180">
        <v>0</v>
      </c>
    </row>
    <row r="2792" spans="1:17">
      <c r="A2792" t="str">
        <f t="shared" si="172"/>
        <v>KSU_0065</v>
      </c>
      <c r="B2792" t="str">
        <f t="shared" si="173"/>
        <v>KSU_Social Science Lab Complex</v>
      </c>
      <c r="C2792" t="s">
        <v>452</v>
      </c>
      <c r="D2792" s="180" t="s">
        <v>31</v>
      </c>
      <c r="E2792" t="s">
        <v>832</v>
      </c>
      <c r="F2792" t="s">
        <v>7772</v>
      </c>
      <c r="G2792" s="180">
        <v>6903</v>
      </c>
      <c r="H2792">
        <v>1998</v>
      </c>
      <c r="J2792" s="1334" t="s">
        <v>475</v>
      </c>
      <c r="K2792" s="1335" t="s">
        <v>475</v>
      </c>
      <c r="L2792" s="180">
        <v>100</v>
      </c>
      <c r="M2792" t="s">
        <v>94</v>
      </c>
      <c r="N2792" t="str">
        <f t="shared" si="174"/>
        <v>Social Science Lab Complex (0065)</v>
      </c>
      <c r="O2792" t="s">
        <v>47</v>
      </c>
      <c r="P2792" t="str">
        <f t="shared" si="175"/>
        <v>43000_0065</v>
      </c>
      <c r="Q2792" s="180">
        <v>0</v>
      </c>
    </row>
    <row r="2793" spans="1:17">
      <c r="A2793" t="str">
        <f t="shared" si="172"/>
        <v>KSU_0070</v>
      </c>
      <c r="B2793" t="str">
        <f t="shared" si="173"/>
        <v>KSU_University Hall</v>
      </c>
      <c r="C2793" t="s">
        <v>452</v>
      </c>
      <c r="D2793" s="180" t="s">
        <v>31</v>
      </c>
      <c r="E2793" t="s">
        <v>4621</v>
      </c>
      <c r="F2793" t="s">
        <v>1253</v>
      </c>
      <c r="G2793" s="180">
        <v>21014</v>
      </c>
      <c r="H2793">
        <v>1967</v>
      </c>
      <c r="I2793">
        <v>2007</v>
      </c>
      <c r="J2793" s="1334" t="s">
        <v>475</v>
      </c>
      <c r="K2793" s="1335" t="s">
        <v>475</v>
      </c>
      <c r="L2793" s="180">
        <v>100</v>
      </c>
      <c r="M2793" t="s">
        <v>94</v>
      </c>
      <c r="N2793" t="str">
        <f t="shared" si="174"/>
        <v>University Hall (0070)</v>
      </c>
      <c r="O2793" t="s">
        <v>47</v>
      </c>
      <c r="P2793" t="str">
        <f t="shared" si="175"/>
        <v>43000_0070</v>
      </c>
      <c r="Q2793" s="180">
        <v>0</v>
      </c>
    </row>
    <row r="2794" spans="1:17">
      <c r="A2794" t="str">
        <f t="shared" si="172"/>
        <v>KSU_0071</v>
      </c>
      <c r="B2794" t="str">
        <f t="shared" si="173"/>
        <v>KSU_Social Sciences Bldg</v>
      </c>
      <c r="C2794" t="s">
        <v>452</v>
      </c>
      <c r="D2794" s="180" t="s">
        <v>31</v>
      </c>
      <c r="E2794" t="s">
        <v>739</v>
      </c>
      <c r="F2794" t="s">
        <v>5609</v>
      </c>
      <c r="G2794" s="180">
        <v>162595</v>
      </c>
      <c r="H2794">
        <v>2005</v>
      </c>
      <c r="J2794" s="1334" t="s">
        <v>520</v>
      </c>
      <c r="K2794" s="1335" t="s">
        <v>475</v>
      </c>
      <c r="L2794" s="180">
        <v>100</v>
      </c>
      <c r="M2794" t="s">
        <v>94</v>
      </c>
      <c r="N2794" t="str">
        <f t="shared" si="174"/>
        <v>Social Sciences Bldg (0071)</v>
      </c>
      <c r="O2794" t="s">
        <v>47</v>
      </c>
      <c r="P2794" t="str">
        <f t="shared" si="175"/>
        <v>43000_0071</v>
      </c>
      <c r="Q2794" s="180">
        <v>0</v>
      </c>
    </row>
    <row r="2795" spans="1:17">
      <c r="A2795" t="str">
        <f t="shared" si="172"/>
        <v>KSU_0072</v>
      </c>
      <c r="B2795" t="str">
        <f t="shared" si="173"/>
        <v>KSU_Prillaman Health Sciences</v>
      </c>
      <c r="C2795" t="s">
        <v>452</v>
      </c>
      <c r="D2795" s="180" t="s">
        <v>31</v>
      </c>
      <c r="E2795" t="s">
        <v>819</v>
      </c>
      <c r="F2795" t="s">
        <v>5652</v>
      </c>
      <c r="G2795" s="180">
        <v>191556</v>
      </c>
      <c r="H2795">
        <v>2008</v>
      </c>
      <c r="J2795" s="1334" t="s">
        <v>520</v>
      </c>
      <c r="K2795" s="1335" t="s">
        <v>475</v>
      </c>
      <c r="L2795" s="180">
        <v>100</v>
      </c>
      <c r="M2795" t="s">
        <v>94</v>
      </c>
      <c r="N2795" t="str">
        <f t="shared" si="174"/>
        <v>Prillaman Health Sciences (0072)</v>
      </c>
      <c r="O2795" t="s">
        <v>47</v>
      </c>
      <c r="P2795" t="str">
        <f t="shared" si="175"/>
        <v>43000_0072</v>
      </c>
      <c r="Q2795" s="180">
        <v>0</v>
      </c>
    </row>
    <row r="2796" spans="1:17">
      <c r="A2796" t="str">
        <f t="shared" si="172"/>
        <v>KSU_0077</v>
      </c>
      <c r="B2796" t="str">
        <f t="shared" si="173"/>
        <v>KSU_Sport &amp; Recreation Park</v>
      </c>
      <c r="C2796" t="s">
        <v>452</v>
      </c>
      <c r="D2796" s="180" t="s">
        <v>31</v>
      </c>
      <c r="E2796" t="s">
        <v>512</v>
      </c>
      <c r="F2796" t="s">
        <v>5710</v>
      </c>
      <c r="G2796" s="180">
        <v>9183</v>
      </c>
      <c r="H2796">
        <v>2012</v>
      </c>
      <c r="J2796" s="1334" t="s">
        <v>486</v>
      </c>
      <c r="K2796" s="1335" t="s">
        <v>475</v>
      </c>
      <c r="L2796" s="180">
        <v>25</v>
      </c>
      <c r="M2796" t="s">
        <v>94</v>
      </c>
      <c r="N2796" t="str">
        <f t="shared" si="174"/>
        <v>Sport &amp; Recreation Park (0077)</v>
      </c>
      <c r="O2796" t="s">
        <v>47</v>
      </c>
      <c r="P2796" t="str">
        <f t="shared" si="175"/>
        <v>43000_0077</v>
      </c>
      <c r="Q2796" s="180">
        <v>0</v>
      </c>
    </row>
    <row r="2797" spans="1:17">
      <c r="A2797" t="str">
        <f t="shared" si="172"/>
        <v>KSU_0078</v>
      </c>
      <c r="B2797" t="str">
        <f t="shared" si="173"/>
        <v>KSU_KSU Stadium</v>
      </c>
      <c r="C2797" t="s">
        <v>452</v>
      </c>
      <c r="D2797" s="180" t="s">
        <v>31</v>
      </c>
      <c r="E2797" t="s">
        <v>5766</v>
      </c>
      <c r="F2797" t="s">
        <v>5767</v>
      </c>
      <c r="G2797" s="180">
        <v>80187</v>
      </c>
      <c r="H2797">
        <v>2010</v>
      </c>
      <c r="J2797" s="1334" t="s">
        <v>486</v>
      </c>
      <c r="K2797" s="1335" t="s">
        <v>475</v>
      </c>
      <c r="L2797" s="180">
        <v>0</v>
      </c>
      <c r="M2797" t="s">
        <v>94</v>
      </c>
      <c r="N2797" t="str">
        <f t="shared" si="174"/>
        <v>KSU Stadium (0078)</v>
      </c>
      <c r="O2797" t="s">
        <v>47</v>
      </c>
      <c r="P2797" t="str">
        <f t="shared" si="175"/>
        <v>43000_0078</v>
      </c>
      <c r="Q2797" s="180">
        <v>0</v>
      </c>
    </row>
    <row r="2798" spans="1:17">
      <c r="A2798" t="str">
        <f t="shared" si="172"/>
        <v>KSU_0080</v>
      </c>
      <c r="B2798" t="str">
        <f t="shared" si="173"/>
        <v>KSU_Leo Delle &amp; Lex Jolley Lodge</v>
      </c>
      <c r="C2798" t="s">
        <v>452</v>
      </c>
      <c r="D2798" s="180" t="s">
        <v>31</v>
      </c>
      <c r="E2798" t="s">
        <v>1050</v>
      </c>
      <c r="F2798" t="s">
        <v>5639</v>
      </c>
      <c r="G2798" s="180">
        <v>6871</v>
      </c>
      <c r="H2798">
        <v>1993</v>
      </c>
      <c r="J2798" s="1334" t="s">
        <v>475</v>
      </c>
      <c r="K2798" s="1335" t="s">
        <v>475</v>
      </c>
      <c r="L2798" s="180">
        <v>100</v>
      </c>
      <c r="M2798" t="s">
        <v>94</v>
      </c>
      <c r="N2798" t="str">
        <f t="shared" si="174"/>
        <v>Leo Delle &amp; Lex Jolley Lodge (0080)</v>
      </c>
      <c r="O2798" t="s">
        <v>47</v>
      </c>
      <c r="P2798" t="str">
        <f t="shared" si="175"/>
        <v>43000_0080</v>
      </c>
      <c r="Q2798" s="180">
        <v>0</v>
      </c>
    </row>
    <row r="2799" spans="1:17">
      <c r="A2799" t="str">
        <f t="shared" si="172"/>
        <v>KSU_0090</v>
      </c>
      <c r="B2799" t="str">
        <f t="shared" si="173"/>
        <v>KSU_Student Center</v>
      </c>
      <c r="C2799" t="s">
        <v>452</v>
      </c>
      <c r="D2799" s="180" t="s">
        <v>31</v>
      </c>
      <c r="E2799" t="s">
        <v>656</v>
      </c>
      <c r="F2799" t="s">
        <v>4471</v>
      </c>
      <c r="G2799" s="180">
        <v>37106</v>
      </c>
      <c r="H2799">
        <v>1973</v>
      </c>
      <c r="I2799">
        <v>2011</v>
      </c>
      <c r="J2799" s="1334" t="s">
        <v>475</v>
      </c>
      <c r="K2799" s="1335" t="s">
        <v>475</v>
      </c>
      <c r="L2799" s="180">
        <v>75</v>
      </c>
      <c r="M2799" t="s">
        <v>94</v>
      </c>
      <c r="N2799" t="str">
        <f t="shared" si="174"/>
        <v>Student Center (0090)</v>
      </c>
      <c r="O2799" t="s">
        <v>47</v>
      </c>
      <c r="P2799" t="str">
        <f t="shared" si="175"/>
        <v>43000_0090</v>
      </c>
      <c r="Q2799" s="180">
        <v>0</v>
      </c>
    </row>
    <row r="2800" spans="1:17">
      <c r="A2800" t="str">
        <f t="shared" si="172"/>
        <v>KSU_0091</v>
      </c>
      <c r="B2800" t="str">
        <f t="shared" si="173"/>
        <v>KSU_Bookstore</v>
      </c>
      <c r="C2800" t="s">
        <v>452</v>
      </c>
      <c r="D2800" s="180" t="s">
        <v>31</v>
      </c>
      <c r="E2800" t="s">
        <v>628</v>
      </c>
      <c r="F2800" t="s">
        <v>5640</v>
      </c>
      <c r="G2800" s="180">
        <v>12896</v>
      </c>
      <c r="H2800">
        <v>1993</v>
      </c>
      <c r="I2800">
        <v>2021</v>
      </c>
      <c r="J2800" s="1334" t="s">
        <v>475</v>
      </c>
      <c r="K2800" s="1335" t="s">
        <v>475</v>
      </c>
      <c r="L2800" s="180">
        <v>50</v>
      </c>
      <c r="M2800" t="s">
        <v>94</v>
      </c>
      <c r="N2800" t="str">
        <f t="shared" si="174"/>
        <v>Bookstore (0091)</v>
      </c>
      <c r="O2800" t="s">
        <v>47</v>
      </c>
      <c r="P2800" t="str">
        <f t="shared" si="175"/>
        <v>43000_0091</v>
      </c>
      <c r="Q2800" s="180">
        <v>0</v>
      </c>
    </row>
    <row r="2801" spans="1:17">
      <c r="A2801" t="str">
        <f t="shared" si="172"/>
        <v>KSU_0095</v>
      </c>
      <c r="B2801" t="str">
        <f t="shared" si="173"/>
        <v>KSU_Solarium</v>
      </c>
      <c r="C2801" t="s">
        <v>452</v>
      </c>
      <c r="D2801" s="180" t="s">
        <v>31</v>
      </c>
      <c r="E2801" t="s">
        <v>675</v>
      </c>
      <c r="F2801" t="s">
        <v>5760</v>
      </c>
      <c r="G2801" s="180">
        <v>1500</v>
      </c>
      <c r="H2801">
        <v>1992</v>
      </c>
      <c r="J2801" s="1334" t="s">
        <v>475</v>
      </c>
      <c r="K2801" s="1335" t="s">
        <v>475</v>
      </c>
      <c r="L2801" s="180">
        <v>100</v>
      </c>
      <c r="M2801" t="s">
        <v>94</v>
      </c>
      <c r="N2801" t="str">
        <f t="shared" si="174"/>
        <v>Solarium (0095)</v>
      </c>
      <c r="O2801" t="s">
        <v>47</v>
      </c>
      <c r="P2801" t="str">
        <f t="shared" si="175"/>
        <v>43000_0095</v>
      </c>
      <c r="Q2801" s="180">
        <v>0</v>
      </c>
    </row>
    <row r="2802" spans="1:17">
      <c r="A2802" t="str">
        <f t="shared" si="172"/>
        <v>KSU_0096</v>
      </c>
      <c r="B2802" t="str">
        <f t="shared" si="173"/>
        <v>KSU_Student Ctr Addition</v>
      </c>
      <c r="C2802" t="s">
        <v>452</v>
      </c>
      <c r="D2802" s="180" t="s">
        <v>31</v>
      </c>
      <c r="E2802" t="s">
        <v>1111</v>
      </c>
      <c r="F2802" t="s">
        <v>5715</v>
      </c>
      <c r="G2802" s="180">
        <v>68469</v>
      </c>
      <c r="H2802">
        <v>1998</v>
      </c>
      <c r="J2802" s="1334" t="s">
        <v>520</v>
      </c>
      <c r="K2802" s="1335" t="s">
        <v>475</v>
      </c>
      <c r="L2802" s="180">
        <v>100</v>
      </c>
      <c r="M2802" t="s">
        <v>94</v>
      </c>
      <c r="N2802" t="str">
        <f t="shared" si="174"/>
        <v>Student Ctr Addition (0096)</v>
      </c>
      <c r="O2802" t="s">
        <v>47</v>
      </c>
      <c r="P2802" t="str">
        <f t="shared" si="175"/>
        <v>43000_0096</v>
      </c>
      <c r="Q2802" s="180">
        <v>0</v>
      </c>
    </row>
    <row r="2803" spans="1:17">
      <c r="A2803" t="str">
        <f t="shared" si="172"/>
        <v>KSU_00EE</v>
      </c>
      <c r="B2803" t="str">
        <f t="shared" si="173"/>
        <v>KSU_The Market</v>
      </c>
      <c r="C2803" t="s">
        <v>452</v>
      </c>
      <c r="D2803" s="180" t="s">
        <v>31</v>
      </c>
      <c r="E2803" t="s">
        <v>5717</v>
      </c>
      <c r="F2803" t="s">
        <v>7109</v>
      </c>
      <c r="G2803" s="180">
        <v>2320</v>
      </c>
      <c r="H2803">
        <v>2004</v>
      </c>
      <c r="J2803" s="1334" t="s">
        <v>475</v>
      </c>
      <c r="K2803" s="1335" t="s">
        <v>475</v>
      </c>
      <c r="L2803" s="180">
        <v>0</v>
      </c>
      <c r="M2803" t="s">
        <v>95</v>
      </c>
      <c r="N2803" t="str">
        <f t="shared" si="174"/>
        <v>The Market (00EE)</v>
      </c>
      <c r="O2803" t="s">
        <v>47</v>
      </c>
      <c r="P2803" t="str">
        <f t="shared" si="175"/>
        <v>43000_00EE</v>
      </c>
      <c r="Q2803" s="180">
        <v>0</v>
      </c>
    </row>
    <row r="2804" spans="1:17">
      <c r="A2804" t="str">
        <f t="shared" si="172"/>
        <v>KSU_00EF</v>
      </c>
      <c r="B2804" t="str">
        <f t="shared" si="173"/>
        <v>KSU_Housing Office</v>
      </c>
      <c r="C2804" t="s">
        <v>452</v>
      </c>
      <c r="D2804" s="180" t="s">
        <v>31</v>
      </c>
      <c r="E2804" t="s">
        <v>5602</v>
      </c>
      <c r="F2804" t="s">
        <v>5603</v>
      </c>
      <c r="G2804" s="180">
        <v>4007</v>
      </c>
      <c r="H2804">
        <v>2004</v>
      </c>
      <c r="J2804" s="1334" t="s">
        <v>475</v>
      </c>
      <c r="K2804" s="1335" t="s">
        <v>475</v>
      </c>
      <c r="L2804" s="180">
        <v>0</v>
      </c>
      <c r="M2804" t="s">
        <v>95</v>
      </c>
      <c r="N2804" t="str">
        <f t="shared" si="174"/>
        <v>Housing Office (00EF)</v>
      </c>
      <c r="O2804" t="s">
        <v>47</v>
      </c>
      <c r="P2804" t="str">
        <f t="shared" si="175"/>
        <v>43000_00EF</v>
      </c>
      <c r="Q2804" s="180">
        <v>0</v>
      </c>
    </row>
    <row r="2805" spans="1:17">
      <c r="A2805" t="str">
        <f t="shared" si="172"/>
        <v>KSU_00EG</v>
      </c>
      <c r="B2805" t="str">
        <f t="shared" si="173"/>
        <v>KSU_The Study</v>
      </c>
      <c r="C2805" t="s">
        <v>452</v>
      </c>
      <c r="D2805" s="180" t="s">
        <v>31</v>
      </c>
      <c r="E2805" t="s">
        <v>5698</v>
      </c>
      <c r="F2805" t="s">
        <v>7110</v>
      </c>
      <c r="G2805" s="180">
        <v>1266</v>
      </c>
      <c r="H2805">
        <v>2004</v>
      </c>
      <c r="I2805">
        <v>2010</v>
      </c>
      <c r="J2805" s="1334" t="s">
        <v>475</v>
      </c>
      <c r="K2805" s="1335" t="s">
        <v>475</v>
      </c>
      <c r="L2805" s="180">
        <v>0</v>
      </c>
      <c r="M2805" t="s">
        <v>95</v>
      </c>
      <c r="N2805" t="str">
        <f t="shared" si="174"/>
        <v>The Study (00EG)</v>
      </c>
      <c r="O2805" t="s">
        <v>47</v>
      </c>
      <c r="P2805" t="str">
        <f t="shared" si="175"/>
        <v>43000_00EG</v>
      </c>
      <c r="Q2805" s="180">
        <v>0</v>
      </c>
    </row>
    <row r="2806" spans="1:17">
      <c r="A2806" t="str">
        <f t="shared" si="172"/>
        <v>KSU_00EP</v>
      </c>
      <c r="B2806" t="str">
        <f t="shared" si="173"/>
        <v>KSU_Facilities-Administration</v>
      </c>
      <c r="C2806" t="s">
        <v>452</v>
      </c>
      <c r="D2806" s="180" t="s">
        <v>31</v>
      </c>
      <c r="E2806" t="s">
        <v>5761</v>
      </c>
      <c r="F2806" t="s">
        <v>5762</v>
      </c>
      <c r="G2806" s="180">
        <v>5626</v>
      </c>
      <c r="H2806">
        <v>2001</v>
      </c>
      <c r="J2806" s="1334" t="s">
        <v>520</v>
      </c>
      <c r="K2806" s="1335" t="s">
        <v>475</v>
      </c>
      <c r="L2806" s="180">
        <v>100</v>
      </c>
      <c r="M2806" t="s">
        <v>95</v>
      </c>
      <c r="N2806" t="str">
        <f t="shared" si="174"/>
        <v>Facilities-Administration (00EP)</v>
      </c>
      <c r="O2806" t="s">
        <v>47</v>
      </c>
      <c r="P2806" t="str">
        <f t="shared" si="175"/>
        <v>43000_00EP</v>
      </c>
      <c r="Q2806" s="180">
        <v>0</v>
      </c>
    </row>
    <row r="2807" spans="1:17">
      <c r="A2807" t="str">
        <f t="shared" si="172"/>
        <v>KSU_00EQ</v>
      </c>
      <c r="B2807" t="str">
        <f t="shared" si="173"/>
        <v>KSU_Facilities-Cart &amp; Archive File</v>
      </c>
      <c r="C2807" t="s">
        <v>452</v>
      </c>
      <c r="D2807" s="180" t="s">
        <v>31</v>
      </c>
      <c r="E2807" t="s">
        <v>5738</v>
      </c>
      <c r="F2807" t="s">
        <v>5739</v>
      </c>
      <c r="G2807" s="180">
        <v>1267</v>
      </c>
      <c r="H2807">
        <v>2001</v>
      </c>
      <c r="J2807" s="1334" t="s">
        <v>475</v>
      </c>
      <c r="K2807" s="1335" t="s">
        <v>475</v>
      </c>
      <c r="L2807" s="180">
        <v>100</v>
      </c>
      <c r="M2807" t="s">
        <v>95</v>
      </c>
      <c r="N2807" t="str">
        <f t="shared" si="174"/>
        <v>Facilities-Cart &amp; Archive File (00EQ)</v>
      </c>
      <c r="O2807" t="s">
        <v>47</v>
      </c>
      <c r="P2807" t="str">
        <f t="shared" si="175"/>
        <v>43000_00EQ</v>
      </c>
      <c r="Q2807" s="180">
        <v>0</v>
      </c>
    </row>
    <row r="2808" spans="1:17">
      <c r="A2808" t="str">
        <f t="shared" si="172"/>
        <v>KSU_00ER</v>
      </c>
      <c r="B2808" t="str">
        <f t="shared" si="173"/>
        <v>KSU_Facilities-Small Vehicle Stor.</v>
      </c>
      <c r="C2808" t="s">
        <v>452</v>
      </c>
      <c r="D2808" s="180" t="s">
        <v>31</v>
      </c>
      <c r="E2808" t="s">
        <v>5731</v>
      </c>
      <c r="F2808" t="s">
        <v>5732</v>
      </c>
      <c r="G2808" s="180">
        <v>3000</v>
      </c>
      <c r="H2808">
        <v>2000</v>
      </c>
      <c r="J2808" s="1334" t="s">
        <v>520</v>
      </c>
      <c r="K2808" s="1335" t="s">
        <v>475</v>
      </c>
      <c r="L2808" s="180">
        <v>100</v>
      </c>
      <c r="M2808" t="s">
        <v>95</v>
      </c>
      <c r="N2808" t="str">
        <f t="shared" si="174"/>
        <v>Facilities-Small Vehicle Stor. (00ER)</v>
      </c>
      <c r="O2808" t="s">
        <v>47</v>
      </c>
      <c r="P2808" t="str">
        <f t="shared" si="175"/>
        <v>43000_00ER</v>
      </c>
      <c r="Q2808" s="180">
        <v>0</v>
      </c>
    </row>
    <row r="2809" spans="1:17">
      <c r="A2809" t="str">
        <f t="shared" si="172"/>
        <v>KSU_00ES</v>
      </c>
      <c r="B2809" t="str">
        <f t="shared" si="173"/>
        <v>KSU_Facilities-Ground/Vehicle Shop</v>
      </c>
      <c r="C2809" t="s">
        <v>452</v>
      </c>
      <c r="D2809" s="180" t="s">
        <v>31</v>
      </c>
      <c r="E2809" t="s">
        <v>5749</v>
      </c>
      <c r="F2809" t="s">
        <v>5750</v>
      </c>
      <c r="G2809" s="180">
        <v>2520</v>
      </c>
      <c r="H2809">
        <v>2001</v>
      </c>
      <c r="J2809" s="1334" t="s">
        <v>520</v>
      </c>
      <c r="K2809" s="1335" t="s">
        <v>475</v>
      </c>
      <c r="L2809" s="180">
        <v>100</v>
      </c>
      <c r="M2809" t="s">
        <v>95</v>
      </c>
      <c r="N2809" t="str">
        <f t="shared" si="174"/>
        <v>Facilities-Ground/Vehicle Shop (00ES)</v>
      </c>
      <c r="O2809" t="s">
        <v>47</v>
      </c>
      <c r="P2809" t="str">
        <f t="shared" si="175"/>
        <v>43000_00ES</v>
      </c>
      <c r="Q2809" s="180">
        <v>0</v>
      </c>
    </row>
    <row r="2810" spans="1:17">
      <c r="A2810" t="str">
        <f t="shared" si="172"/>
        <v>KSU_00ET</v>
      </c>
      <c r="B2810" t="str">
        <f t="shared" si="173"/>
        <v>KSU_ET-HAZMAT STORAGE</v>
      </c>
      <c r="C2810" t="s">
        <v>452</v>
      </c>
      <c r="D2810" s="180" t="s">
        <v>31</v>
      </c>
      <c r="E2810" t="s">
        <v>5683</v>
      </c>
      <c r="F2810" t="s">
        <v>5684</v>
      </c>
      <c r="G2810" s="180">
        <v>236</v>
      </c>
      <c r="H2810">
        <v>2000</v>
      </c>
      <c r="J2810" s="1334" t="s">
        <v>475</v>
      </c>
      <c r="K2810" s="1335" t="s">
        <v>475</v>
      </c>
      <c r="L2810" s="180">
        <v>100</v>
      </c>
      <c r="M2810" t="s">
        <v>95</v>
      </c>
      <c r="N2810" t="str">
        <f t="shared" si="174"/>
        <v>ET-HAZMAT STORAGE (00ET)</v>
      </c>
      <c r="O2810" t="s">
        <v>47</v>
      </c>
      <c r="P2810" t="str">
        <f t="shared" si="175"/>
        <v>43000_00ET</v>
      </c>
      <c r="Q2810" s="180">
        <v>0</v>
      </c>
    </row>
    <row r="2811" spans="1:17">
      <c r="A2811" t="str">
        <f t="shared" si="172"/>
        <v>KSU_00EU</v>
      </c>
      <c r="B2811" t="str">
        <f t="shared" si="173"/>
        <v>KSU_Facilities-Large Vehicle Stor.</v>
      </c>
      <c r="C2811" t="s">
        <v>452</v>
      </c>
      <c r="D2811" s="180" t="s">
        <v>31</v>
      </c>
      <c r="E2811" t="s">
        <v>5653</v>
      </c>
      <c r="F2811" t="s">
        <v>5654</v>
      </c>
      <c r="G2811" s="180">
        <v>2014</v>
      </c>
      <c r="H2811">
        <v>2002</v>
      </c>
      <c r="J2811" s="1334" t="s">
        <v>520</v>
      </c>
      <c r="K2811" s="1335" t="s">
        <v>475</v>
      </c>
      <c r="L2811" s="180">
        <v>100</v>
      </c>
      <c r="M2811" t="s">
        <v>95</v>
      </c>
      <c r="N2811" t="str">
        <f t="shared" si="174"/>
        <v>Facilities-Large Vehicle Stor. (00EU)</v>
      </c>
      <c r="O2811" t="s">
        <v>47</v>
      </c>
      <c r="P2811" t="str">
        <f t="shared" si="175"/>
        <v>43000_00EU</v>
      </c>
      <c r="Q2811" s="180">
        <v>0</v>
      </c>
    </row>
    <row r="2812" spans="1:17">
      <c r="A2812" t="str">
        <f t="shared" si="172"/>
        <v>KSU_00EV</v>
      </c>
      <c r="B2812" t="str">
        <f t="shared" si="173"/>
        <v>KSU_Facilities-Maintenance Shop</v>
      </c>
      <c r="C2812" t="s">
        <v>452</v>
      </c>
      <c r="D2812" s="180" t="s">
        <v>31</v>
      </c>
      <c r="E2812" t="s">
        <v>5692</v>
      </c>
      <c r="F2812" t="s">
        <v>5693</v>
      </c>
      <c r="G2812" s="180">
        <v>12156</v>
      </c>
      <c r="H2812">
        <v>2001</v>
      </c>
      <c r="J2812" s="1334" t="s">
        <v>520</v>
      </c>
      <c r="K2812" s="1335" t="s">
        <v>475</v>
      </c>
      <c r="L2812" s="180">
        <v>100</v>
      </c>
      <c r="M2812" t="s">
        <v>95</v>
      </c>
      <c r="N2812" t="str">
        <f t="shared" si="174"/>
        <v>Facilities-Maintenance Shop (00EV)</v>
      </c>
      <c r="O2812" t="s">
        <v>47</v>
      </c>
      <c r="P2812" t="str">
        <f t="shared" si="175"/>
        <v>43000_00EV</v>
      </c>
      <c r="Q2812" s="180">
        <v>0</v>
      </c>
    </row>
    <row r="2813" spans="1:17">
      <c r="A2813" t="str">
        <f t="shared" si="172"/>
        <v>KSU_00EX</v>
      </c>
      <c r="B2813" t="str">
        <f t="shared" si="173"/>
        <v>KSU_Facilities-Central Receiving</v>
      </c>
      <c r="C2813" t="s">
        <v>452</v>
      </c>
      <c r="D2813" s="180" t="s">
        <v>31</v>
      </c>
      <c r="E2813" t="s">
        <v>5718</v>
      </c>
      <c r="F2813" t="s">
        <v>5719</v>
      </c>
      <c r="G2813" s="180">
        <v>7200</v>
      </c>
      <c r="H2813">
        <v>1985</v>
      </c>
      <c r="I2813">
        <v>1987</v>
      </c>
      <c r="J2813" s="1334" t="s">
        <v>475</v>
      </c>
      <c r="K2813" s="1335" t="s">
        <v>475</v>
      </c>
      <c r="L2813" s="180">
        <v>100</v>
      </c>
      <c r="M2813" t="s">
        <v>95</v>
      </c>
      <c r="N2813" t="str">
        <f t="shared" si="174"/>
        <v>Facilities-Central Receiving (00EX)</v>
      </c>
      <c r="O2813" t="s">
        <v>47</v>
      </c>
      <c r="P2813" t="str">
        <f t="shared" si="175"/>
        <v>43000_00EX</v>
      </c>
      <c r="Q2813" s="180">
        <v>0</v>
      </c>
    </row>
    <row r="2814" spans="1:17">
      <c r="A2814" t="str">
        <f t="shared" si="172"/>
        <v>KSU_00NC</v>
      </c>
      <c r="B2814" t="str">
        <f t="shared" si="173"/>
        <v>KSU_Recreation and Wellness Center</v>
      </c>
      <c r="C2814" t="s">
        <v>452</v>
      </c>
      <c r="D2814" s="180" t="s">
        <v>31</v>
      </c>
      <c r="E2814" t="s">
        <v>5694</v>
      </c>
      <c r="F2814" t="s">
        <v>5695</v>
      </c>
      <c r="G2814" s="180">
        <v>35948</v>
      </c>
      <c r="H2814">
        <v>1996</v>
      </c>
      <c r="I2814">
        <v>2023</v>
      </c>
      <c r="J2814" s="1334" t="s">
        <v>475</v>
      </c>
      <c r="K2814" s="1335" t="s">
        <v>475</v>
      </c>
      <c r="L2814" s="180">
        <v>100</v>
      </c>
      <c r="M2814" t="s">
        <v>95</v>
      </c>
      <c r="N2814" t="str">
        <f t="shared" si="174"/>
        <v>Recreation and Wellness Center (00NC)</v>
      </c>
      <c r="O2814" t="s">
        <v>47</v>
      </c>
      <c r="P2814" t="str">
        <f t="shared" si="175"/>
        <v>43000_00NC</v>
      </c>
      <c r="Q2814" s="180">
        <v>0</v>
      </c>
    </row>
    <row r="2815" spans="1:17">
      <c r="A2815" t="str">
        <f t="shared" si="172"/>
        <v>KSU_00SL</v>
      </c>
      <c r="B2815" t="str">
        <f t="shared" si="173"/>
        <v>KSU_Student Competitions Team</v>
      </c>
      <c r="C2815" t="s">
        <v>452</v>
      </c>
      <c r="D2815" s="180" t="s">
        <v>31</v>
      </c>
      <c r="E2815" t="s">
        <v>5615</v>
      </c>
      <c r="F2815" t="s">
        <v>5616</v>
      </c>
      <c r="G2815" s="180">
        <v>7891</v>
      </c>
      <c r="H2815">
        <v>1983</v>
      </c>
      <c r="J2815" s="1334" t="s">
        <v>475</v>
      </c>
      <c r="K2815" s="1335" t="s">
        <v>475</v>
      </c>
      <c r="L2815" s="180">
        <v>5</v>
      </c>
      <c r="M2815" t="s">
        <v>95</v>
      </c>
      <c r="N2815" t="str">
        <f t="shared" si="174"/>
        <v>Student Competitions Team (00SL)</v>
      </c>
      <c r="O2815" t="s">
        <v>47</v>
      </c>
      <c r="P2815" t="str">
        <f t="shared" si="175"/>
        <v>43000_00SL</v>
      </c>
      <c r="Q2815" s="180">
        <v>0</v>
      </c>
    </row>
    <row r="2816" spans="1:17">
      <c r="A2816" t="str">
        <f t="shared" si="172"/>
        <v>KSU_00SM</v>
      </c>
      <c r="B2816" t="str">
        <f t="shared" si="173"/>
        <v>KSU_Wilder Communications Center</v>
      </c>
      <c r="C2816" t="s">
        <v>452</v>
      </c>
      <c r="D2816" s="180" t="s">
        <v>31</v>
      </c>
      <c r="E2816" t="s">
        <v>5696</v>
      </c>
      <c r="F2816" t="s">
        <v>5697</v>
      </c>
      <c r="G2816" s="180">
        <v>4010</v>
      </c>
      <c r="H2816">
        <v>1985</v>
      </c>
      <c r="J2816" s="1334" t="s">
        <v>475</v>
      </c>
      <c r="K2816" s="1335" t="s">
        <v>475</v>
      </c>
      <c r="L2816" s="180">
        <v>100</v>
      </c>
      <c r="M2816" t="s">
        <v>95</v>
      </c>
      <c r="N2816" t="str">
        <f t="shared" si="174"/>
        <v>Wilder Communications Center (00SM)</v>
      </c>
      <c r="O2816" t="s">
        <v>47</v>
      </c>
      <c r="P2816" t="str">
        <f t="shared" si="175"/>
        <v>43000_00SM</v>
      </c>
      <c r="Q2816" s="180">
        <v>0</v>
      </c>
    </row>
    <row r="2817" spans="1:17">
      <c r="A2817" t="str">
        <f t="shared" si="172"/>
        <v>KSU_00SP</v>
      </c>
      <c r="B2817" t="str">
        <f t="shared" si="173"/>
        <v>KSU_Gymnasium</v>
      </c>
      <c r="C2817" t="s">
        <v>452</v>
      </c>
      <c r="D2817" s="180" t="s">
        <v>31</v>
      </c>
      <c r="E2817" t="s">
        <v>5726</v>
      </c>
      <c r="F2817" t="s">
        <v>5727</v>
      </c>
      <c r="G2817" s="180">
        <v>29182</v>
      </c>
      <c r="H2817">
        <v>1966</v>
      </c>
      <c r="J2817" s="1334" t="s">
        <v>475</v>
      </c>
      <c r="K2817" s="1335" t="s">
        <v>475</v>
      </c>
      <c r="L2817" s="180">
        <v>100</v>
      </c>
      <c r="M2817" t="s">
        <v>95</v>
      </c>
      <c r="N2817" t="str">
        <f t="shared" si="174"/>
        <v>Gymnasium (00SP)</v>
      </c>
      <c r="O2817" t="s">
        <v>47</v>
      </c>
      <c r="P2817" t="str">
        <f t="shared" si="175"/>
        <v>43000_00SP</v>
      </c>
      <c r="Q2817" s="180">
        <v>0</v>
      </c>
    </row>
    <row r="2818" spans="1:17">
      <c r="A2818" t="str">
        <f t="shared" si="172"/>
        <v>KSU_00WB</v>
      </c>
      <c r="B2818" t="str">
        <f t="shared" si="173"/>
        <v>KSU_Concessions/Restrooms</v>
      </c>
      <c r="C2818" t="s">
        <v>452</v>
      </c>
      <c r="D2818" s="180" t="s">
        <v>31</v>
      </c>
      <c r="E2818" t="s">
        <v>5604</v>
      </c>
      <c r="F2818" t="s">
        <v>5605</v>
      </c>
      <c r="G2818" s="180">
        <v>864</v>
      </c>
      <c r="H2818">
        <v>1995</v>
      </c>
      <c r="J2818" s="1334" t="s">
        <v>475</v>
      </c>
      <c r="K2818" s="1335" t="s">
        <v>475</v>
      </c>
      <c r="L2818" s="180">
        <v>100</v>
      </c>
      <c r="M2818" t="s">
        <v>95</v>
      </c>
      <c r="N2818" t="str">
        <f t="shared" si="174"/>
        <v>Concessions/Restrooms (00WB)</v>
      </c>
      <c r="O2818" t="s">
        <v>47</v>
      </c>
      <c r="P2818" t="str">
        <f t="shared" si="175"/>
        <v>43000_00WB</v>
      </c>
      <c r="Q2818" s="180">
        <v>0</v>
      </c>
    </row>
    <row r="2819" spans="1:17">
      <c r="A2819" t="str">
        <f t="shared" ref="A2819:A2882" si="176">_xlfn.CONCAT(D2819,"_",E2819)</f>
        <v>KSU_0100</v>
      </c>
      <c r="B2819" t="str">
        <f t="shared" ref="B2819:B2882" si="177">_xlfn.CONCAT(D2819,"_",F2819)</f>
        <v>KSU_KSU Center</v>
      </c>
      <c r="C2819" t="s">
        <v>452</v>
      </c>
      <c r="D2819" s="180" t="s">
        <v>31</v>
      </c>
      <c r="E2819" t="s">
        <v>684</v>
      </c>
      <c r="F2819" t="s">
        <v>5664</v>
      </c>
      <c r="G2819" s="180">
        <v>162577</v>
      </c>
      <c r="H2819">
        <v>1984</v>
      </c>
      <c r="J2819" s="1334" t="s">
        <v>475</v>
      </c>
      <c r="K2819" s="1335" t="s">
        <v>475</v>
      </c>
      <c r="L2819" s="180">
        <v>100</v>
      </c>
      <c r="M2819" t="s">
        <v>94</v>
      </c>
      <c r="N2819" t="str">
        <f t="shared" ref="N2819:N2882" si="178">_xlfn.CONCAT(F2819," (",E2819,")")</f>
        <v>KSU Center (0100)</v>
      </c>
      <c r="O2819" t="s">
        <v>47</v>
      </c>
      <c r="P2819" t="str">
        <f t="shared" ref="P2819:P2882" si="179">_xlfn.CONCAT(C2819,"_",E2819)</f>
        <v>43000_0100</v>
      </c>
      <c r="Q2819" s="180">
        <v>0</v>
      </c>
    </row>
    <row r="2820" spans="1:17">
      <c r="A2820" t="str">
        <f t="shared" si="176"/>
        <v>KSU_0148</v>
      </c>
      <c r="B2820" t="str">
        <f t="shared" si="177"/>
        <v>KSU_3499 Campus Loop Road</v>
      </c>
      <c r="C2820" t="s">
        <v>452</v>
      </c>
      <c r="D2820" s="180" t="s">
        <v>31</v>
      </c>
      <c r="E2820" t="s">
        <v>896</v>
      </c>
      <c r="F2820" t="s">
        <v>5641</v>
      </c>
      <c r="G2820" s="180">
        <v>4330</v>
      </c>
      <c r="H2820">
        <v>2003</v>
      </c>
      <c r="J2820" s="1334" t="s">
        <v>475</v>
      </c>
      <c r="K2820" s="1335" t="s">
        <v>475</v>
      </c>
      <c r="L2820" s="180">
        <v>100</v>
      </c>
      <c r="M2820" t="s">
        <v>94</v>
      </c>
      <c r="N2820" t="str">
        <f t="shared" si="178"/>
        <v>3499 Campus Loop Road (0148)</v>
      </c>
      <c r="O2820" t="s">
        <v>47</v>
      </c>
      <c r="P2820" t="str">
        <f t="shared" si="179"/>
        <v>43000_0148</v>
      </c>
      <c r="Q2820" s="180">
        <v>0</v>
      </c>
    </row>
    <row r="2821" spans="1:17">
      <c r="A2821" t="str">
        <f t="shared" si="176"/>
        <v>KSU_0149</v>
      </c>
      <c r="B2821" t="str">
        <f t="shared" si="177"/>
        <v>KSU_3495 Campus Loop Road</v>
      </c>
      <c r="C2821" t="s">
        <v>452</v>
      </c>
      <c r="D2821" s="180" t="s">
        <v>31</v>
      </c>
      <c r="E2821" t="s">
        <v>888</v>
      </c>
      <c r="F2821" t="s">
        <v>7773</v>
      </c>
      <c r="G2821" s="180">
        <v>3508</v>
      </c>
      <c r="H2821">
        <v>2002</v>
      </c>
      <c r="J2821" s="1334" t="s">
        <v>475</v>
      </c>
      <c r="K2821" s="1335" t="s">
        <v>475</v>
      </c>
      <c r="L2821" s="180">
        <v>100</v>
      </c>
      <c r="M2821" t="s">
        <v>94</v>
      </c>
      <c r="N2821" t="str">
        <f t="shared" si="178"/>
        <v>3495 Campus Loop Road (0149)</v>
      </c>
      <c r="O2821" t="s">
        <v>47</v>
      </c>
      <c r="P2821" t="str">
        <f t="shared" si="179"/>
        <v>43000_0149</v>
      </c>
      <c r="Q2821" s="180">
        <v>0</v>
      </c>
    </row>
    <row r="2822" spans="1:17">
      <c r="A2822" t="str">
        <f t="shared" si="176"/>
        <v>KSU_0151</v>
      </c>
      <c r="B2822" t="str">
        <f t="shared" si="177"/>
        <v>KSU_3217 Campus Loop Road</v>
      </c>
      <c r="C2822" t="s">
        <v>452</v>
      </c>
      <c r="D2822" s="180" t="s">
        <v>31</v>
      </c>
      <c r="E2822" t="s">
        <v>606</v>
      </c>
      <c r="F2822" t="s">
        <v>7774</v>
      </c>
      <c r="G2822" s="180">
        <v>5836</v>
      </c>
      <c r="H2822">
        <v>1986</v>
      </c>
      <c r="I2822">
        <v>2002</v>
      </c>
      <c r="J2822" s="1334" t="s">
        <v>475</v>
      </c>
      <c r="K2822" s="1335" t="s">
        <v>475</v>
      </c>
      <c r="L2822" s="180">
        <v>100</v>
      </c>
      <c r="M2822" t="s">
        <v>94</v>
      </c>
      <c r="N2822" t="str">
        <f t="shared" si="178"/>
        <v>3217 Campus Loop Road (0151)</v>
      </c>
      <c r="O2822" t="s">
        <v>47</v>
      </c>
      <c r="P2822" t="str">
        <f t="shared" si="179"/>
        <v>43000_0151</v>
      </c>
      <c r="Q2822" s="180">
        <v>0</v>
      </c>
    </row>
    <row r="2823" spans="1:17">
      <c r="A2823" t="str">
        <f t="shared" si="176"/>
        <v>KSU_0152</v>
      </c>
      <c r="B2823" t="str">
        <f t="shared" si="177"/>
        <v>KSU_Student Health Services Clinic</v>
      </c>
      <c r="C2823" t="s">
        <v>452</v>
      </c>
      <c r="D2823" s="180" t="s">
        <v>31</v>
      </c>
      <c r="E2823" t="s">
        <v>660</v>
      </c>
      <c r="F2823" t="s">
        <v>5728</v>
      </c>
      <c r="G2823" s="180">
        <v>5408</v>
      </c>
      <c r="H2823">
        <v>1986</v>
      </c>
      <c r="I2823">
        <v>2002</v>
      </c>
      <c r="J2823" s="1334" t="s">
        <v>475</v>
      </c>
      <c r="K2823" s="1335" t="s">
        <v>475</v>
      </c>
      <c r="L2823" s="180">
        <v>0</v>
      </c>
      <c r="M2823" t="s">
        <v>94</v>
      </c>
      <c r="N2823" t="str">
        <f t="shared" si="178"/>
        <v>Student Health Services Clinic (0152)</v>
      </c>
      <c r="O2823" t="s">
        <v>47</v>
      </c>
      <c r="P2823" t="str">
        <f t="shared" si="179"/>
        <v>43000_0152</v>
      </c>
      <c r="Q2823" s="180">
        <v>0</v>
      </c>
    </row>
    <row r="2824" spans="1:17">
      <c r="A2824" t="str">
        <f t="shared" si="176"/>
        <v>KSU_0153</v>
      </c>
      <c r="B2824" t="str">
        <f t="shared" si="177"/>
        <v>KSU_Event &amp; Venue Management</v>
      </c>
      <c r="C2824" t="s">
        <v>452</v>
      </c>
      <c r="D2824" s="180" t="s">
        <v>31</v>
      </c>
      <c r="E2824" t="s">
        <v>797</v>
      </c>
      <c r="F2824" t="s">
        <v>5644</v>
      </c>
      <c r="G2824" s="180">
        <v>5785</v>
      </c>
      <c r="H2824">
        <v>1986</v>
      </c>
      <c r="I2824">
        <v>2002</v>
      </c>
      <c r="J2824" s="1334" t="s">
        <v>475</v>
      </c>
      <c r="K2824" s="1335" t="s">
        <v>475</v>
      </c>
      <c r="L2824" s="180">
        <v>100</v>
      </c>
      <c r="M2824" t="s">
        <v>94</v>
      </c>
      <c r="N2824" t="str">
        <f t="shared" si="178"/>
        <v>Event &amp; Venue Management (0153)</v>
      </c>
      <c r="O2824" t="s">
        <v>47</v>
      </c>
      <c r="P2824" t="str">
        <f t="shared" si="179"/>
        <v>43000_0153</v>
      </c>
      <c r="Q2824" s="180">
        <v>0</v>
      </c>
    </row>
    <row r="2825" spans="1:17">
      <c r="A2825" t="str">
        <f t="shared" si="176"/>
        <v>KSU_0154</v>
      </c>
      <c r="B2825" t="str">
        <f t="shared" si="177"/>
        <v>KSU_Cntr for Excel Teach Learning</v>
      </c>
      <c r="C2825" t="s">
        <v>452</v>
      </c>
      <c r="D2825" s="180" t="s">
        <v>31</v>
      </c>
      <c r="E2825" t="s">
        <v>5705</v>
      </c>
      <c r="F2825" t="s">
        <v>5706</v>
      </c>
      <c r="G2825" s="180">
        <v>7119</v>
      </c>
      <c r="H2825">
        <v>1986</v>
      </c>
      <c r="I2825">
        <v>2002</v>
      </c>
      <c r="J2825" s="1334" t="s">
        <v>475</v>
      </c>
      <c r="K2825" s="1335" t="s">
        <v>475</v>
      </c>
      <c r="L2825" s="180">
        <v>100</v>
      </c>
      <c r="M2825" t="s">
        <v>94</v>
      </c>
      <c r="N2825" t="str">
        <f t="shared" si="178"/>
        <v>Cntr for Excel Teach Learning (0154)</v>
      </c>
      <c r="O2825" t="s">
        <v>47</v>
      </c>
      <c r="P2825" t="str">
        <f t="shared" si="179"/>
        <v>43000_0154</v>
      </c>
      <c r="Q2825" s="180">
        <v>0</v>
      </c>
    </row>
    <row r="2826" spans="1:17">
      <c r="A2826" t="str">
        <f t="shared" si="176"/>
        <v>KSU_0155</v>
      </c>
      <c r="B2826" t="str">
        <f t="shared" si="177"/>
        <v>KSU_House55-Music&amp;Ent Business</v>
      </c>
      <c r="C2826" t="s">
        <v>452</v>
      </c>
      <c r="D2826" s="180" t="s">
        <v>31</v>
      </c>
      <c r="E2826" t="s">
        <v>476</v>
      </c>
      <c r="F2826" t="s">
        <v>5670</v>
      </c>
      <c r="G2826" s="180">
        <v>7106</v>
      </c>
      <c r="H2826">
        <v>1986</v>
      </c>
      <c r="I2826">
        <v>2002</v>
      </c>
      <c r="J2826" s="1334" t="s">
        <v>475</v>
      </c>
      <c r="K2826" s="1335" t="s">
        <v>475</v>
      </c>
      <c r="L2826" s="180">
        <v>100</v>
      </c>
      <c r="M2826" t="s">
        <v>94</v>
      </c>
      <c r="N2826" t="str">
        <f t="shared" si="178"/>
        <v>House55-Music&amp;Ent Business (0155)</v>
      </c>
      <c r="O2826" t="s">
        <v>47</v>
      </c>
      <c r="P2826" t="str">
        <f t="shared" si="179"/>
        <v>43000_0155</v>
      </c>
      <c r="Q2826" s="180">
        <v>0</v>
      </c>
    </row>
    <row r="2827" spans="1:17">
      <c r="A2827" t="str">
        <f t="shared" si="176"/>
        <v>KSU_0156</v>
      </c>
      <c r="B2827" t="str">
        <f t="shared" si="177"/>
        <v>KSU_3207 Campus Loop Road</v>
      </c>
      <c r="C2827" t="s">
        <v>452</v>
      </c>
      <c r="D2827" s="180" t="s">
        <v>31</v>
      </c>
      <c r="E2827" t="s">
        <v>799</v>
      </c>
      <c r="F2827" t="s">
        <v>7775</v>
      </c>
      <c r="G2827" s="180">
        <v>8848</v>
      </c>
      <c r="H2827">
        <v>1986</v>
      </c>
      <c r="I2827">
        <v>2002</v>
      </c>
      <c r="J2827" s="1334" t="s">
        <v>475</v>
      </c>
      <c r="K2827" s="1335" t="s">
        <v>475</v>
      </c>
      <c r="L2827" s="180">
        <v>100</v>
      </c>
      <c r="M2827" t="s">
        <v>94</v>
      </c>
      <c r="N2827" t="str">
        <f t="shared" si="178"/>
        <v>3207 Campus Loop Road (0156)</v>
      </c>
      <c r="O2827" t="s">
        <v>47</v>
      </c>
      <c r="P2827" t="str">
        <f t="shared" si="179"/>
        <v>43000_0156</v>
      </c>
      <c r="Q2827" s="180">
        <v>0</v>
      </c>
    </row>
    <row r="2828" spans="1:17">
      <c r="A2828" t="str">
        <f t="shared" si="176"/>
        <v>KSU_0157</v>
      </c>
      <c r="B2828" t="str">
        <f t="shared" si="177"/>
        <v>KSU_Campus Services</v>
      </c>
      <c r="C2828" t="s">
        <v>452</v>
      </c>
      <c r="D2828" s="180" t="s">
        <v>31</v>
      </c>
      <c r="E2828" t="s">
        <v>5699</v>
      </c>
      <c r="F2828" t="s">
        <v>5700</v>
      </c>
      <c r="G2828" s="180">
        <v>7945</v>
      </c>
      <c r="H2828">
        <v>1986</v>
      </c>
      <c r="I2828">
        <v>2002</v>
      </c>
      <c r="J2828" s="1334" t="s">
        <v>475</v>
      </c>
      <c r="K2828" s="1335" t="s">
        <v>475</v>
      </c>
      <c r="L2828" s="180">
        <v>0</v>
      </c>
      <c r="M2828" t="s">
        <v>94</v>
      </c>
      <c r="N2828" t="str">
        <f t="shared" si="178"/>
        <v>Campus Services (0157)</v>
      </c>
      <c r="O2828" t="s">
        <v>47</v>
      </c>
      <c r="P2828" t="str">
        <f t="shared" si="179"/>
        <v>43000_0157</v>
      </c>
      <c r="Q2828" s="180">
        <v>0</v>
      </c>
    </row>
    <row r="2829" spans="1:17">
      <c r="A2829" t="str">
        <f t="shared" si="176"/>
        <v>KSU_0158</v>
      </c>
      <c r="B2829" t="str">
        <f t="shared" si="177"/>
        <v>KSU_Distance Learning Center</v>
      </c>
      <c r="C2829" t="s">
        <v>452</v>
      </c>
      <c r="D2829" s="180" t="s">
        <v>31</v>
      </c>
      <c r="E2829" t="s">
        <v>580</v>
      </c>
      <c r="F2829" t="s">
        <v>5763</v>
      </c>
      <c r="G2829" s="180">
        <v>8440</v>
      </c>
      <c r="H2829">
        <v>1986</v>
      </c>
      <c r="I2829">
        <v>2002</v>
      </c>
      <c r="J2829" s="1334" t="s">
        <v>475</v>
      </c>
      <c r="K2829" s="1335" t="s">
        <v>475</v>
      </c>
      <c r="L2829" s="180">
        <v>100</v>
      </c>
      <c r="M2829" t="s">
        <v>94</v>
      </c>
      <c r="N2829" t="str">
        <f t="shared" si="178"/>
        <v>Distance Learning Center (0158)</v>
      </c>
      <c r="O2829" t="s">
        <v>47</v>
      </c>
      <c r="P2829" t="str">
        <f t="shared" si="179"/>
        <v>43000_0158</v>
      </c>
      <c r="Q2829" s="180">
        <v>0</v>
      </c>
    </row>
    <row r="2830" spans="1:17">
      <c r="A2830" t="str">
        <f t="shared" si="176"/>
        <v>KSU_0159</v>
      </c>
      <c r="B2830" t="str">
        <f t="shared" si="177"/>
        <v>KSU_School of Conflict Management</v>
      </c>
      <c r="C2830" t="s">
        <v>452</v>
      </c>
      <c r="D2830" s="180" t="s">
        <v>31</v>
      </c>
      <c r="E2830" t="s">
        <v>859</v>
      </c>
      <c r="F2830" t="s">
        <v>5707</v>
      </c>
      <c r="G2830" s="180">
        <v>8395</v>
      </c>
      <c r="H2830">
        <v>1986</v>
      </c>
      <c r="I2830">
        <v>2002</v>
      </c>
      <c r="J2830" s="1334" t="s">
        <v>475</v>
      </c>
      <c r="K2830" s="1335" t="s">
        <v>475</v>
      </c>
      <c r="L2830" s="180">
        <v>100</v>
      </c>
      <c r="M2830" t="s">
        <v>94</v>
      </c>
      <c r="N2830" t="str">
        <f t="shared" si="178"/>
        <v>School of Conflict Management (0159)</v>
      </c>
      <c r="O2830" t="s">
        <v>47</v>
      </c>
      <c r="P2830" t="str">
        <f t="shared" si="179"/>
        <v>43000_0159</v>
      </c>
      <c r="Q2830" s="180">
        <v>0</v>
      </c>
    </row>
    <row r="2831" spans="1:17">
      <c r="A2831" t="str">
        <f t="shared" si="176"/>
        <v>KSU_0200</v>
      </c>
      <c r="B2831" t="str">
        <f t="shared" si="177"/>
        <v>KSU_East Parking Deck</v>
      </c>
      <c r="C2831" t="s">
        <v>452</v>
      </c>
      <c r="D2831" s="180" t="s">
        <v>31</v>
      </c>
      <c r="E2831" t="s">
        <v>500</v>
      </c>
      <c r="F2831" t="s">
        <v>5733</v>
      </c>
      <c r="G2831" s="180">
        <v>460089</v>
      </c>
      <c r="H2831">
        <v>2003</v>
      </c>
      <c r="J2831" s="1334" t="s">
        <v>475</v>
      </c>
      <c r="K2831" s="1335" t="s">
        <v>475</v>
      </c>
      <c r="L2831" s="180">
        <v>0</v>
      </c>
      <c r="M2831" t="s">
        <v>94</v>
      </c>
      <c r="N2831" t="str">
        <f t="shared" si="178"/>
        <v>East Parking Deck (0200)</v>
      </c>
      <c r="O2831" t="s">
        <v>47</v>
      </c>
      <c r="P2831" t="str">
        <f t="shared" si="179"/>
        <v>43000_0200</v>
      </c>
      <c r="Q2831" s="180">
        <v>0</v>
      </c>
    </row>
    <row r="2832" spans="1:17">
      <c r="A2832" t="str">
        <f t="shared" si="176"/>
        <v>KSU_0201</v>
      </c>
      <c r="B2832" t="str">
        <f t="shared" si="177"/>
        <v>KSU_West Parking Deck</v>
      </c>
      <c r="C2832" t="s">
        <v>452</v>
      </c>
      <c r="D2832" s="180" t="s">
        <v>31</v>
      </c>
      <c r="E2832" t="s">
        <v>714</v>
      </c>
      <c r="F2832" t="s">
        <v>5740</v>
      </c>
      <c r="G2832" s="180">
        <v>202684</v>
      </c>
      <c r="H2832">
        <v>2003</v>
      </c>
      <c r="J2832" s="1334" t="s">
        <v>475</v>
      </c>
      <c r="K2832" s="1335" t="s">
        <v>475</v>
      </c>
      <c r="L2832" s="180">
        <v>0</v>
      </c>
      <c r="M2832" t="s">
        <v>94</v>
      </c>
      <c r="N2832" t="str">
        <f t="shared" si="178"/>
        <v>West Parking Deck (0201)</v>
      </c>
      <c r="O2832" t="s">
        <v>47</v>
      </c>
      <c r="P2832" t="str">
        <f t="shared" si="179"/>
        <v>43000_0201</v>
      </c>
      <c r="Q2832" s="180">
        <v>0</v>
      </c>
    </row>
    <row r="2833" spans="1:17">
      <c r="A2833" t="str">
        <f t="shared" si="176"/>
        <v>KSU_0202</v>
      </c>
      <c r="B2833" t="str">
        <f t="shared" si="177"/>
        <v>KSU_North Parking Deck</v>
      </c>
      <c r="C2833" t="s">
        <v>452</v>
      </c>
      <c r="D2833" s="180" t="s">
        <v>31</v>
      </c>
      <c r="E2833" t="s">
        <v>5488</v>
      </c>
      <c r="F2833" t="s">
        <v>5626</v>
      </c>
      <c r="G2833" s="180">
        <v>557911</v>
      </c>
      <c r="H2833">
        <v>2004</v>
      </c>
      <c r="J2833" s="1334" t="s">
        <v>475</v>
      </c>
      <c r="K2833" s="1335" t="s">
        <v>475</v>
      </c>
      <c r="L2833" s="180">
        <v>0</v>
      </c>
      <c r="M2833" t="s">
        <v>94</v>
      </c>
      <c r="N2833" t="str">
        <f t="shared" si="178"/>
        <v>North Parking Deck (0202)</v>
      </c>
      <c r="O2833" t="s">
        <v>47</v>
      </c>
      <c r="P2833" t="str">
        <f t="shared" si="179"/>
        <v>43000_0202</v>
      </c>
      <c r="Q2833" s="180">
        <v>0</v>
      </c>
    </row>
    <row r="2834" spans="1:17">
      <c r="A2834" t="str">
        <f t="shared" si="176"/>
        <v>KSU_0204</v>
      </c>
      <c r="B2834" t="str">
        <f t="shared" si="177"/>
        <v>KSU_Central Parking Deck</v>
      </c>
      <c r="C2834" t="s">
        <v>452</v>
      </c>
      <c r="D2834" s="180" t="s">
        <v>31</v>
      </c>
      <c r="E2834" t="s">
        <v>640</v>
      </c>
      <c r="F2834" t="s">
        <v>5741</v>
      </c>
      <c r="G2834" s="180">
        <v>868994</v>
      </c>
      <c r="H2834">
        <v>2007</v>
      </c>
      <c r="J2834" s="1334" t="s">
        <v>486</v>
      </c>
      <c r="K2834" s="1335" t="s">
        <v>475</v>
      </c>
      <c r="L2834" s="180">
        <v>0</v>
      </c>
      <c r="M2834" t="s">
        <v>94</v>
      </c>
      <c r="N2834" t="str">
        <f t="shared" si="178"/>
        <v>Central Parking Deck (0204)</v>
      </c>
      <c r="O2834" t="s">
        <v>47</v>
      </c>
      <c r="P2834" t="str">
        <f t="shared" si="179"/>
        <v>43000_0204</v>
      </c>
      <c r="Q2834" s="180">
        <v>0</v>
      </c>
    </row>
    <row r="2835" spans="1:17">
      <c r="A2835" t="str">
        <f t="shared" si="176"/>
        <v>KSU_0300</v>
      </c>
      <c r="B2835" t="str">
        <f t="shared" si="177"/>
        <v>KSU_Austin Residence Complex I</v>
      </c>
      <c r="C2835" t="s">
        <v>452</v>
      </c>
      <c r="D2835" s="180" t="s">
        <v>31</v>
      </c>
      <c r="E2835" t="s">
        <v>4862</v>
      </c>
      <c r="F2835" t="s">
        <v>5665</v>
      </c>
      <c r="G2835" s="180">
        <v>303071</v>
      </c>
      <c r="H2835">
        <v>2002</v>
      </c>
      <c r="J2835" s="1334" t="s">
        <v>486</v>
      </c>
      <c r="K2835" s="1335" t="s">
        <v>475</v>
      </c>
      <c r="L2835" s="180">
        <v>0</v>
      </c>
      <c r="M2835" t="s">
        <v>94</v>
      </c>
      <c r="N2835" t="str">
        <f t="shared" si="178"/>
        <v>Austin Residence Complex I (0300)</v>
      </c>
      <c r="O2835" t="s">
        <v>47</v>
      </c>
      <c r="P2835" t="str">
        <f t="shared" si="179"/>
        <v>43000_0300</v>
      </c>
      <c r="Q2835" s="180">
        <v>0</v>
      </c>
    </row>
    <row r="2836" spans="1:17">
      <c r="A2836" t="str">
        <f t="shared" si="176"/>
        <v>KSU_0301</v>
      </c>
      <c r="B2836" t="str">
        <f t="shared" si="177"/>
        <v>KSU_KSU Place Apartments</v>
      </c>
      <c r="C2836" t="s">
        <v>452</v>
      </c>
      <c r="D2836" s="180" t="s">
        <v>31</v>
      </c>
      <c r="E2836" t="s">
        <v>5673</v>
      </c>
      <c r="F2836" t="s">
        <v>5674</v>
      </c>
      <c r="G2836" s="180">
        <v>154063</v>
      </c>
      <c r="H2836">
        <v>1984</v>
      </c>
      <c r="J2836" s="1334" t="s">
        <v>486</v>
      </c>
      <c r="K2836" s="1335" t="s">
        <v>475</v>
      </c>
      <c r="L2836" s="180">
        <v>0</v>
      </c>
      <c r="M2836" t="s">
        <v>94</v>
      </c>
      <c r="N2836" t="str">
        <f t="shared" si="178"/>
        <v>KSU Place Apartments (0301)</v>
      </c>
      <c r="O2836" t="s">
        <v>47</v>
      </c>
      <c r="P2836" t="str">
        <f t="shared" si="179"/>
        <v>43000_0301</v>
      </c>
      <c r="Q2836" s="180">
        <v>0</v>
      </c>
    </row>
    <row r="2837" spans="1:17">
      <c r="A2837" t="str">
        <f t="shared" si="176"/>
        <v>KSU_0302</v>
      </c>
      <c r="B2837" t="str">
        <f t="shared" si="177"/>
        <v>KSU_University Village Apartments</v>
      </c>
      <c r="C2837" t="s">
        <v>452</v>
      </c>
      <c r="D2837" s="180" t="s">
        <v>31</v>
      </c>
      <c r="E2837" t="s">
        <v>4905</v>
      </c>
      <c r="F2837" t="s">
        <v>5634</v>
      </c>
      <c r="G2837" s="180">
        <v>445145</v>
      </c>
      <c r="H2837">
        <v>2003</v>
      </c>
      <c r="J2837" s="1334" t="s">
        <v>486</v>
      </c>
      <c r="K2837" s="1335" t="s">
        <v>475</v>
      </c>
      <c r="L2837" s="180">
        <v>0</v>
      </c>
      <c r="M2837" t="s">
        <v>94</v>
      </c>
      <c r="N2837" t="str">
        <f t="shared" si="178"/>
        <v>University Village Apartments (0302)</v>
      </c>
      <c r="O2837" t="s">
        <v>47</v>
      </c>
      <c r="P2837" t="str">
        <f t="shared" si="179"/>
        <v>43000_0302</v>
      </c>
      <c r="Q2837" s="180">
        <v>0</v>
      </c>
    </row>
    <row r="2838" spans="1:17">
      <c r="A2838" t="str">
        <f t="shared" si="176"/>
        <v>KSU_0303</v>
      </c>
      <c r="B2838" t="str">
        <f t="shared" si="177"/>
        <v>KSU_University Village Suite Apart</v>
      </c>
      <c r="C2838" t="s">
        <v>452</v>
      </c>
      <c r="D2838" s="180" t="s">
        <v>31</v>
      </c>
      <c r="E2838" t="s">
        <v>5400</v>
      </c>
      <c r="F2838" t="s">
        <v>5622</v>
      </c>
      <c r="G2838" s="180">
        <v>321367</v>
      </c>
      <c r="H2838">
        <v>2007</v>
      </c>
      <c r="J2838" s="1334" t="s">
        <v>486</v>
      </c>
      <c r="K2838" s="1335" t="s">
        <v>475</v>
      </c>
      <c r="L2838" s="180">
        <v>0</v>
      </c>
      <c r="M2838" t="s">
        <v>94</v>
      </c>
      <c r="N2838" t="str">
        <f t="shared" si="178"/>
        <v>University Village Suite Apart (0303)</v>
      </c>
      <c r="O2838" t="s">
        <v>47</v>
      </c>
      <c r="P2838" t="str">
        <f t="shared" si="179"/>
        <v>43000_0303</v>
      </c>
      <c r="Q2838" s="180">
        <v>0</v>
      </c>
    </row>
    <row r="2839" spans="1:17">
      <c r="A2839" t="str">
        <f t="shared" si="176"/>
        <v>KSU_0304</v>
      </c>
      <c r="B2839" t="str">
        <f t="shared" si="177"/>
        <v>KSU_Austin Residence Complex II</v>
      </c>
      <c r="C2839" t="s">
        <v>452</v>
      </c>
      <c r="D2839" s="180" t="s">
        <v>31</v>
      </c>
      <c r="E2839" t="s">
        <v>5340</v>
      </c>
      <c r="F2839" t="s">
        <v>5764</v>
      </c>
      <c r="G2839" s="180">
        <v>200674</v>
      </c>
      <c r="H2839">
        <v>2011</v>
      </c>
      <c r="J2839" s="1334" t="s">
        <v>486</v>
      </c>
      <c r="K2839" s="1335" t="s">
        <v>475</v>
      </c>
      <c r="L2839" s="180">
        <v>0</v>
      </c>
      <c r="M2839" t="s">
        <v>94</v>
      </c>
      <c r="N2839" t="str">
        <f t="shared" si="178"/>
        <v>Austin Residence Complex II (0304)</v>
      </c>
      <c r="O2839" t="s">
        <v>47</v>
      </c>
      <c r="P2839" t="str">
        <f t="shared" si="179"/>
        <v>43000_0304</v>
      </c>
      <c r="Q2839" s="180">
        <v>0</v>
      </c>
    </row>
    <row r="2840" spans="1:17">
      <c r="A2840" t="str">
        <f t="shared" si="176"/>
        <v>KSU_0305</v>
      </c>
      <c r="B2840" t="str">
        <f t="shared" si="177"/>
        <v>KSU_The Summit</v>
      </c>
      <c r="C2840" t="s">
        <v>452</v>
      </c>
      <c r="D2840" s="180" t="s">
        <v>31</v>
      </c>
      <c r="E2840" t="s">
        <v>4792</v>
      </c>
      <c r="F2840" t="s">
        <v>7776</v>
      </c>
      <c r="G2840" s="180">
        <v>105202</v>
      </c>
      <c r="H2840">
        <v>2021</v>
      </c>
      <c r="J2840" s="1334" t="s">
        <v>486</v>
      </c>
      <c r="K2840" s="1335" t="s">
        <v>920</v>
      </c>
      <c r="L2840" s="180">
        <v>0</v>
      </c>
      <c r="M2840" t="s">
        <v>94</v>
      </c>
      <c r="N2840" t="str">
        <f t="shared" si="178"/>
        <v>The Summit (0305)</v>
      </c>
      <c r="O2840" t="s">
        <v>47</v>
      </c>
      <c r="P2840" t="str">
        <f t="shared" si="179"/>
        <v>43000_0305</v>
      </c>
      <c r="Q2840" s="180">
        <v>0</v>
      </c>
    </row>
    <row r="2841" spans="1:17">
      <c r="A2841" t="str">
        <f t="shared" si="176"/>
        <v>KSU_0624</v>
      </c>
      <c r="B2841" t="str">
        <f t="shared" si="177"/>
        <v>KSU_Public Safety-UniversityPolice</v>
      </c>
      <c r="C2841" t="s">
        <v>452</v>
      </c>
      <c r="D2841" s="180" t="s">
        <v>31</v>
      </c>
      <c r="E2841" t="s">
        <v>5492</v>
      </c>
      <c r="F2841" t="s">
        <v>5655</v>
      </c>
      <c r="G2841" s="180">
        <v>13445</v>
      </c>
      <c r="H2841">
        <v>1994</v>
      </c>
      <c r="J2841" s="1334" t="s">
        <v>475</v>
      </c>
      <c r="K2841" s="1335" t="s">
        <v>475</v>
      </c>
      <c r="L2841" s="180">
        <v>100</v>
      </c>
      <c r="M2841" t="s">
        <v>94</v>
      </c>
      <c r="N2841" t="str">
        <f t="shared" si="178"/>
        <v>Public Safety-UniversityPolice (0624)</v>
      </c>
      <c r="O2841" t="s">
        <v>47</v>
      </c>
      <c r="P2841" t="str">
        <f t="shared" si="179"/>
        <v>43000_0624</v>
      </c>
      <c r="Q2841" s="180">
        <v>0</v>
      </c>
    </row>
    <row r="2842" spans="1:17">
      <c r="A2842" t="str">
        <f t="shared" si="176"/>
        <v>KSU_1040</v>
      </c>
      <c r="B2842" t="str">
        <f t="shared" si="177"/>
        <v>KSU_The Commons</v>
      </c>
      <c r="C2842" t="s">
        <v>452</v>
      </c>
      <c r="D2842" s="180" t="s">
        <v>31</v>
      </c>
      <c r="E2842" t="s">
        <v>3205</v>
      </c>
      <c r="F2842" t="s">
        <v>5768</v>
      </c>
      <c r="G2842" s="180">
        <v>51767</v>
      </c>
      <c r="H2842">
        <v>2008</v>
      </c>
      <c r="J2842" s="1334" t="s">
        <v>486</v>
      </c>
      <c r="K2842" s="1335" t="s">
        <v>475</v>
      </c>
      <c r="L2842" s="180">
        <v>0</v>
      </c>
      <c r="M2842" t="s">
        <v>94</v>
      </c>
      <c r="N2842" t="str">
        <f t="shared" si="178"/>
        <v>The Commons (1040)</v>
      </c>
      <c r="O2842" t="s">
        <v>47</v>
      </c>
      <c r="P2842" t="str">
        <f t="shared" si="179"/>
        <v>43000_1040</v>
      </c>
      <c r="Q2842" s="180">
        <v>0</v>
      </c>
    </row>
    <row r="2843" spans="1:17">
      <c r="A2843" t="str">
        <f t="shared" si="176"/>
        <v>KSU_1111</v>
      </c>
      <c r="B2843" t="str">
        <f t="shared" si="177"/>
        <v>KSU_1111 Chastain Road</v>
      </c>
      <c r="C2843" t="s">
        <v>452</v>
      </c>
      <c r="D2843" s="180" t="s">
        <v>31</v>
      </c>
      <c r="E2843" t="s">
        <v>3669</v>
      </c>
      <c r="F2843" t="s">
        <v>7777</v>
      </c>
      <c r="G2843" s="180">
        <v>6000</v>
      </c>
      <c r="H2843">
        <v>2001</v>
      </c>
      <c r="J2843" s="1334" t="s">
        <v>475</v>
      </c>
      <c r="K2843" s="1335" t="s">
        <v>475</v>
      </c>
      <c r="L2843" s="180">
        <v>100</v>
      </c>
      <c r="M2843" t="s">
        <v>94</v>
      </c>
      <c r="N2843" t="str">
        <f t="shared" si="178"/>
        <v>1111 Chastain Road (1111)</v>
      </c>
      <c r="O2843" t="s">
        <v>47</v>
      </c>
      <c r="P2843" t="str">
        <f t="shared" si="179"/>
        <v>43000_1111</v>
      </c>
      <c r="Q2843" s="180">
        <v>0</v>
      </c>
    </row>
    <row r="2844" spans="1:17">
      <c r="A2844" t="str">
        <f t="shared" si="176"/>
        <v>KSU_3305</v>
      </c>
      <c r="B2844" t="str">
        <f t="shared" si="177"/>
        <v>KSU_3305 Busbee Drive</v>
      </c>
      <c r="C2844" t="s">
        <v>452</v>
      </c>
      <c r="D2844" s="180" t="s">
        <v>31</v>
      </c>
      <c r="E2844" t="s">
        <v>5769</v>
      </c>
      <c r="F2844" t="s">
        <v>5770</v>
      </c>
      <c r="G2844" s="180">
        <v>146919</v>
      </c>
      <c r="H2844">
        <v>2004</v>
      </c>
      <c r="J2844" s="1334" t="s">
        <v>520</v>
      </c>
      <c r="K2844" s="1335" t="s">
        <v>475</v>
      </c>
      <c r="L2844" s="180">
        <v>66</v>
      </c>
      <c r="M2844" t="s">
        <v>94</v>
      </c>
      <c r="N2844" t="str">
        <f t="shared" si="178"/>
        <v>3305 Busbee Drive (3305)</v>
      </c>
      <c r="O2844" t="s">
        <v>47</v>
      </c>
      <c r="P2844" t="str">
        <f t="shared" si="179"/>
        <v>43000_3305</v>
      </c>
      <c r="Q2844" s="180">
        <v>0</v>
      </c>
    </row>
    <row r="2845" spans="1:17">
      <c r="A2845" t="str">
        <f t="shared" si="176"/>
        <v>KSU_480</v>
      </c>
      <c r="B2845" t="str">
        <f t="shared" si="177"/>
        <v>KSU_Academic Learning Center</v>
      </c>
      <c r="C2845" t="s">
        <v>452</v>
      </c>
      <c r="D2845" s="180" t="s">
        <v>31</v>
      </c>
      <c r="E2845" t="s">
        <v>7033</v>
      </c>
      <c r="F2845" t="s">
        <v>7111</v>
      </c>
      <c r="G2845" s="180">
        <v>143300</v>
      </c>
      <c r="H2845">
        <v>2020</v>
      </c>
      <c r="J2845" s="1334" t="s">
        <v>520</v>
      </c>
      <c r="K2845" s="1335" t="s">
        <v>475</v>
      </c>
      <c r="L2845" s="180">
        <v>100</v>
      </c>
      <c r="M2845" t="s">
        <v>94</v>
      </c>
      <c r="N2845" t="str">
        <f t="shared" si="178"/>
        <v>Academic Learning Center (480)</v>
      </c>
      <c r="O2845" t="s">
        <v>47</v>
      </c>
      <c r="P2845" t="str">
        <f t="shared" si="179"/>
        <v>43000_480</v>
      </c>
      <c r="Q2845" s="180">
        <v>0</v>
      </c>
    </row>
    <row r="2846" spans="1:17">
      <c r="A2846" t="str">
        <f t="shared" si="176"/>
        <v>KSU_9100</v>
      </c>
      <c r="B2846" t="str">
        <f t="shared" si="177"/>
        <v>KSU_Town Point</v>
      </c>
      <c r="C2846" t="s">
        <v>452</v>
      </c>
      <c r="D2846" s="180" t="s">
        <v>31</v>
      </c>
      <c r="E2846" t="s">
        <v>4984</v>
      </c>
      <c r="F2846" t="s">
        <v>5771</v>
      </c>
      <c r="G2846" s="180">
        <v>92608</v>
      </c>
      <c r="H2846">
        <v>1999</v>
      </c>
      <c r="J2846" s="1334" t="s">
        <v>475</v>
      </c>
      <c r="K2846" s="1335" t="s">
        <v>475</v>
      </c>
      <c r="L2846" s="180">
        <v>100</v>
      </c>
      <c r="M2846" t="s">
        <v>94</v>
      </c>
      <c r="N2846" t="str">
        <f t="shared" si="178"/>
        <v>Town Point (9100)</v>
      </c>
      <c r="O2846" t="s">
        <v>47</v>
      </c>
      <c r="P2846" t="str">
        <f t="shared" si="179"/>
        <v>43000_9100</v>
      </c>
      <c r="Q2846" s="180">
        <v>0</v>
      </c>
    </row>
    <row r="2847" spans="1:17">
      <c r="A2847" t="str">
        <f t="shared" si="176"/>
        <v>KSU_CL01</v>
      </c>
      <c r="B2847" t="str">
        <f t="shared" si="177"/>
        <v>KSU_University Columns 1</v>
      </c>
      <c r="C2847" t="s">
        <v>452</v>
      </c>
      <c r="D2847" s="180" t="s">
        <v>31</v>
      </c>
      <c r="E2847" t="s">
        <v>5751</v>
      </c>
      <c r="F2847" t="s">
        <v>5752</v>
      </c>
      <c r="G2847" s="180">
        <v>4036</v>
      </c>
      <c r="H2847">
        <v>2010</v>
      </c>
      <c r="J2847" s="1334" t="s">
        <v>486</v>
      </c>
      <c r="K2847" s="1335" t="s">
        <v>475</v>
      </c>
      <c r="L2847" s="180">
        <v>0</v>
      </c>
      <c r="M2847" t="s">
        <v>95</v>
      </c>
      <c r="N2847" t="str">
        <f t="shared" si="178"/>
        <v>University Columns 1 (CL01)</v>
      </c>
      <c r="O2847" t="s">
        <v>47</v>
      </c>
      <c r="P2847" t="str">
        <f t="shared" si="179"/>
        <v>43000_CL01</v>
      </c>
      <c r="Q2847" s="180">
        <v>0</v>
      </c>
    </row>
    <row r="2848" spans="1:17">
      <c r="A2848" t="str">
        <f t="shared" si="176"/>
        <v>KSU_CL02</v>
      </c>
      <c r="B2848" t="str">
        <f t="shared" si="177"/>
        <v>KSU_University Columns 2</v>
      </c>
      <c r="C2848" t="s">
        <v>452</v>
      </c>
      <c r="D2848" s="180" t="s">
        <v>31</v>
      </c>
      <c r="E2848" t="s">
        <v>5720</v>
      </c>
      <c r="F2848" t="s">
        <v>5721</v>
      </c>
      <c r="G2848" s="180">
        <v>4036</v>
      </c>
      <c r="H2848">
        <v>2010</v>
      </c>
      <c r="J2848" s="1334" t="s">
        <v>486</v>
      </c>
      <c r="K2848" s="1335" t="s">
        <v>475</v>
      </c>
      <c r="L2848" s="180">
        <v>0</v>
      </c>
      <c r="M2848" t="s">
        <v>95</v>
      </c>
      <c r="N2848" t="str">
        <f t="shared" si="178"/>
        <v>University Columns 2 (CL02)</v>
      </c>
      <c r="O2848" t="s">
        <v>47</v>
      </c>
      <c r="P2848" t="str">
        <f t="shared" si="179"/>
        <v>43000_CL02</v>
      </c>
      <c r="Q2848" s="180">
        <v>0</v>
      </c>
    </row>
    <row r="2849" spans="1:17">
      <c r="A2849" t="str">
        <f t="shared" si="176"/>
        <v>KSU_CL03</v>
      </c>
      <c r="B2849" t="str">
        <f t="shared" si="177"/>
        <v>KSU_University Columns 3</v>
      </c>
      <c r="C2849" t="s">
        <v>452</v>
      </c>
      <c r="D2849" s="180" t="s">
        <v>31</v>
      </c>
      <c r="E2849" t="s">
        <v>5685</v>
      </c>
      <c r="F2849" t="s">
        <v>5686</v>
      </c>
      <c r="G2849" s="180">
        <v>4036</v>
      </c>
      <c r="H2849">
        <v>2010</v>
      </c>
      <c r="J2849" s="1334" t="s">
        <v>486</v>
      </c>
      <c r="K2849" s="1335" t="s">
        <v>475</v>
      </c>
      <c r="L2849" s="180">
        <v>0</v>
      </c>
      <c r="M2849" t="s">
        <v>95</v>
      </c>
      <c r="N2849" t="str">
        <f t="shared" si="178"/>
        <v>University Columns 3 (CL03)</v>
      </c>
      <c r="O2849" t="s">
        <v>47</v>
      </c>
      <c r="P2849" t="str">
        <f t="shared" si="179"/>
        <v>43000_CL03</v>
      </c>
      <c r="Q2849" s="180">
        <v>0</v>
      </c>
    </row>
    <row r="2850" spans="1:17">
      <c r="A2850" t="str">
        <f t="shared" si="176"/>
        <v>KSU_CL04</v>
      </c>
      <c r="B2850" t="str">
        <f t="shared" si="177"/>
        <v>KSU_University Columns 4</v>
      </c>
      <c r="C2850" t="s">
        <v>452</v>
      </c>
      <c r="D2850" s="180" t="s">
        <v>31</v>
      </c>
      <c r="E2850" t="s">
        <v>5656</v>
      </c>
      <c r="F2850" t="s">
        <v>5657</v>
      </c>
      <c r="G2850" s="180">
        <v>4036</v>
      </c>
      <c r="H2850">
        <v>2010</v>
      </c>
      <c r="J2850" s="1334" t="s">
        <v>486</v>
      </c>
      <c r="K2850" s="1335" t="s">
        <v>475</v>
      </c>
      <c r="L2850" s="180">
        <v>0</v>
      </c>
      <c r="M2850" t="s">
        <v>95</v>
      </c>
      <c r="N2850" t="str">
        <f t="shared" si="178"/>
        <v>University Columns 4 (CL04)</v>
      </c>
      <c r="O2850" t="s">
        <v>47</v>
      </c>
      <c r="P2850" t="str">
        <f t="shared" si="179"/>
        <v>43000_CL04</v>
      </c>
      <c r="Q2850" s="180">
        <v>0</v>
      </c>
    </row>
    <row r="2851" spans="1:17">
      <c r="A2851" t="str">
        <f t="shared" si="176"/>
        <v>KSU_CL05</v>
      </c>
      <c r="B2851" t="str">
        <f t="shared" si="177"/>
        <v>KSU_University Columns 5</v>
      </c>
      <c r="C2851" t="s">
        <v>452</v>
      </c>
      <c r="D2851" s="180" t="s">
        <v>31</v>
      </c>
      <c r="E2851" t="s">
        <v>5642</v>
      </c>
      <c r="F2851" t="s">
        <v>5643</v>
      </c>
      <c r="G2851" s="180">
        <v>4036</v>
      </c>
      <c r="H2851">
        <v>2010</v>
      </c>
      <c r="J2851" s="1334" t="s">
        <v>486</v>
      </c>
      <c r="K2851" s="1335" t="s">
        <v>475</v>
      </c>
      <c r="L2851" s="180">
        <v>0</v>
      </c>
      <c r="M2851" t="s">
        <v>95</v>
      </c>
      <c r="N2851" t="str">
        <f t="shared" si="178"/>
        <v>University Columns 5 (CL05)</v>
      </c>
      <c r="O2851" t="s">
        <v>47</v>
      </c>
      <c r="P2851" t="str">
        <f t="shared" si="179"/>
        <v>43000_CL05</v>
      </c>
      <c r="Q2851" s="180">
        <v>0</v>
      </c>
    </row>
    <row r="2852" spans="1:17">
      <c r="A2852" t="str">
        <f t="shared" si="176"/>
        <v>KSU_CL06</v>
      </c>
      <c r="B2852" t="str">
        <f t="shared" si="177"/>
        <v>KSU_University Columns 6</v>
      </c>
      <c r="C2852" t="s">
        <v>452</v>
      </c>
      <c r="D2852" s="180" t="s">
        <v>31</v>
      </c>
      <c r="E2852" t="s">
        <v>5610</v>
      </c>
      <c r="F2852" t="s">
        <v>5611</v>
      </c>
      <c r="G2852" s="180">
        <v>4036</v>
      </c>
      <c r="H2852">
        <v>2010</v>
      </c>
      <c r="J2852" s="1334" t="s">
        <v>486</v>
      </c>
      <c r="K2852" s="1335" t="s">
        <v>475</v>
      </c>
      <c r="L2852" s="180">
        <v>0</v>
      </c>
      <c r="M2852" t="s">
        <v>95</v>
      </c>
      <c r="N2852" t="str">
        <f t="shared" si="178"/>
        <v>University Columns 6 (CL06)</v>
      </c>
      <c r="O2852" t="s">
        <v>47</v>
      </c>
      <c r="P2852" t="str">
        <f t="shared" si="179"/>
        <v>43000_CL06</v>
      </c>
      <c r="Q2852" s="180">
        <v>0</v>
      </c>
    </row>
    <row r="2853" spans="1:17">
      <c r="A2853" t="str">
        <f t="shared" si="176"/>
        <v>KSU_CL07</v>
      </c>
      <c r="B2853" t="str">
        <f t="shared" si="177"/>
        <v>KSU_University Columns 7</v>
      </c>
      <c r="C2853" t="s">
        <v>452</v>
      </c>
      <c r="D2853" s="180" t="s">
        <v>31</v>
      </c>
      <c r="E2853" t="s">
        <v>5744</v>
      </c>
      <c r="F2853" t="s">
        <v>5745</v>
      </c>
      <c r="G2853" s="180">
        <v>4036</v>
      </c>
      <c r="H2853">
        <v>2010</v>
      </c>
      <c r="J2853" s="1334" t="s">
        <v>486</v>
      </c>
      <c r="K2853" s="1335" t="s">
        <v>475</v>
      </c>
      <c r="L2853" s="180">
        <v>0</v>
      </c>
      <c r="M2853" t="s">
        <v>95</v>
      </c>
      <c r="N2853" t="str">
        <f t="shared" si="178"/>
        <v>University Columns 7 (CL07)</v>
      </c>
      <c r="O2853" t="s">
        <v>47</v>
      </c>
      <c r="P2853" t="str">
        <f t="shared" si="179"/>
        <v>43000_CL07</v>
      </c>
      <c r="Q2853" s="180">
        <v>0</v>
      </c>
    </row>
    <row r="2854" spans="1:17">
      <c r="A2854" t="str">
        <f t="shared" si="176"/>
        <v>KSU_CL08</v>
      </c>
      <c r="B2854" t="str">
        <f t="shared" si="177"/>
        <v>KSU_University Columns 8</v>
      </c>
      <c r="C2854" t="s">
        <v>452</v>
      </c>
      <c r="D2854" s="180" t="s">
        <v>31</v>
      </c>
      <c r="E2854" t="s">
        <v>5680</v>
      </c>
      <c r="F2854" t="s">
        <v>5681</v>
      </c>
      <c r="G2854" s="180">
        <v>4036</v>
      </c>
      <c r="H2854">
        <v>2010</v>
      </c>
      <c r="J2854" s="1334" t="s">
        <v>486</v>
      </c>
      <c r="K2854" s="1335" t="s">
        <v>475</v>
      </c>
      <c r="L2854" s="180">
        <v>0</v>
      </c>
      <c r="M2854" t="s">
        <v>95</v>
      </c>
      <c r="N2854" t="str">
        <f t="shared" si="178"/>
        <v>University Columns 8 (CL08)</v>
      </c>
      <c r="O2854" t="s">
        <v>47</v>
      </c>
      <c r="P2854" t="str">
        <f t="shared" si="179"/>
        <v>43000_CL08</v>
      </c>
      <c r="Q2854" s="180">
        <v>0</v>
      </c>
    </row>
    <row r="2855" spans="1:17">
      <c r="A2855" t="str">
        <f t="shared" si="176"/>
        <v>KSU_CL09</v>
      </c>
      <c r="B2855" t="str">
        <f t="shared" si="177"/>
        <v>KSU_University Columns 9</v>
      </c>
      <c r="C2855" t="s">
        <v>452</v>
      </c>
      <c r="D2855" s="180" t="s">
        <v>31</v>
      </c>
      <c r="E2855" t="s">
        <v>5627</v>
      </c>
      <c r="F2855" t="s">
        <v>5628</v>
      </c>
      <c r="G2855" s="180">
        <v>4036</v>
      </c>
      <c r="H2855">
        <v>2010</v>
      </c>
      <c r="J2855" s="1334" t="s">
        <v>486</v>
      </c>
      <c r="K2855" s="1335" t="s">
        <v>475</v>
      </c>
      <c r="L2855" s="180">
        <v>0</v>
      </c>
      <c r="M2855" t="s">
        <v>95</v>
      </c>
      <c r="N2855" t="str">
        <f t="shared" si="178"/>
        <v>University Columns 9 (CL09)</v>
      </c>
      <c r="O2855" t="s">
        <v>47</v>
      </c>
      <c r="P2855" t="str">
        <f t="shared" si="179"/>
        <v>43000_CL09</v>
      </c>
      <c r="Q2855" s="180">
        <v>0</v>
      </c>
    </row>
    <row r="2856" spans="1:17">
      <c r="A2856" t="str">
        <f t="shared" si="176"/>
        <v>KSU_CL10</v>
      </c>
      <c r="B2856" t="str">
        <f t="shared" si="177"/>
        <v>KSU_University Columns 10</v>
      </c>
      <c r="C2856" t="s">
        <v>452</v>
      </c>
      <c r="D2856" s="180" t="s">
        <v>31</v>
      </c>
      <c r="E2856" t="s">
        <v>5629</v>
      </c>
      <c r="F2856" t="s">
        <v>5630</v>
      </c>
      <c r="G2856" s="180">
        <v>4036</v>
      </c>
      <c r="H2856">
        <v>2010</v>
      </c>
      <c r="J2856" s="1334" t="s">
        <v>486</v>
      </c>
      <c r="K2856" s="1335" t="s">
        <v>475</v>
      </c>
      <c r="L2856" s="180">
        <v>0</v>
      </c>
      <c r="M2856" t="s">
        <v>95</v>
      </c>
      <c r="N2856" t="str">
        <f t="shared" si="178"/>
        <v>University Columns 10 (CL10)</v>
      </c>
      <c r="O2856" t="s">
        <v>47</v>
      </c>
      <c r="P2856" t="str">
        <f t="shared" si="179"/>
        <v>43000_CL10</v>
      </c>
      <c r="Q2856" s="180">
        <v>100</v>
      </c>
    </row>
    <row r="2857" spans="1:17">
      <c r="A2857" t="str">
        <f t="shared" si="176"/>
        <v>KSU_CL11</v>
      </c>
      <c r="B2857" t="str">
        <f t="shared" si="177"/>
        <v>KSU_University Columns Actvty Cntr</v>
      </c>
      <c r="C2857" t="s">
        <v>452</v>
      </c>
      <c r="D2857" s="180" t="s">
        <v>31</v>
      </c>
      <c r="E2857" t="s">
        <v>5753</v>
      </c>
      <c r="F2857" t="s">
        <v>5754</v>
      </c>
      <c r="G2857" s="180">
        <v>2543</v>
      </c>
      <c r="H2857">
        <v>2010</v>
      </c>
      <c r="J2857" s="1334" t="s">
        <v>486</v>
      </c>
      <c r="K2857" s="1335" t="s">
        <v>475</v>
      </c>
      <c r="L2857" s="180">
        <v>0</v>
      </c>
      <c r="M2857" t="s">
        <v>95</v>
      </c>
      <c r="N2857" t="str">
        <f t="shared" si="178"/>
        <v>University Columns Actvty Cntr (CL11)</v>
      </c>
      <c r="O2857" t="s">
        <v>47</v>
      </c>
      <c r="P2857" t="str">
        <f t="shared" si="179"/>
        <v>43000_CL11</v>
      </c>
      <c r="Q2857" s="180">
        <v>100</v>
      </c>
    </row>
    <row r="2858" spans="1:17">
      <c r="A2858" t="str">
        <f t="shared" si="176"/>
        <v>KSU_F9</v>
      </c>
      <c r="B2858" t="str">
        <f t="shared" si="177"/>
        <v>KSU_Facilities-Grounds Storage</v>
      </c>
      <c r="C2858" t="s">
        <v>452</v>
      </c>
      <c r="D2858" s="180" t="s">
        <v>31</v>
      </c>
      <c r="E2858" t="s">
        <v>5734</v>
      </c>
      <c r="F2858" t="s">
        <v>5735</v>
      </c>
      <c r="G2858" s="180">
        <v>775</v>
      </c>
      <c r="H2858">
        <v>1995</v>
      </c>
      <c r="J2858" s="1334" t="s">
        <v>475</v>
      </c>
      <c r="K2858" s="1335" t="s">
        <v>475</v>
      </c>
      <c r="L2858" s="180">
        <v>0</v>
      </c>
      <c r="M2858" t="s">
        <v>95</v>
      </c>
      <c r="N2858" t="str">
        <f t="shared" si="178"/>
        <v>Facilities-Grounds Storage (F9)</v>
      </c>
      <c r="O2858" t="s">
        <v>47</v>
      </c>
      <c r="P2858" t="str">
        <f t="shared" si="179"/>
        <v>43000_F9</v>
      </c>
      <c r="Q2858" s="180">
        <v>100</v>
      </c>
    </row>
    <row r="2859" spans="1:17">
      <c r="A2859" t="str">
        <f t="shared" si="176"/>
        <v>KSU_GAX</v>
      </c>
      <c r="B2859" t="str">
        <f t="shared" si="177"/>
        <v>KSU_Science Lab Annex</v>
      </c>
      <c r="C2859" t="s">
        <v>452</v>
      </c>
      <c r="D2859" s="180" t="s">
        <v>31</v>
      </c>
      <c r="E2859" t="s">
        <v>5755</v>
      </c>
      <c r="F2859" t="s">
        <v>5756</v>
      </c>
      <c r="G2859" s="180">
        <v>10411</v>
      </c>
      <c r="H2859">
        <v>2019</v>
      </c>
      <c r="J2859" s="1334" t="s">
        <v>520</v>
      </c>
      <c r="K2859" s="1335" t="s">
        <v>475</v>
      </c>
      <c r="L2859" s="180">
        <v>100</v>
      </c>
      <c r="M2859" t="s">
        <v>95</v>
      </c>
      <c r="N2859" t="str">
        <f t="shared" si="178"/>
        <v>Science Lab Annex (GAX)</v>
      </c>
      <c r="O2859" t="s">
        <v>47</v>
      </c>
      <c r="P2859" t="str">
        <f t="shared" si="179"/>
        <v>43000_GAX</v>
      </c>
      <c r="Q2859" s="180">
        <v>100</v>
      </c>
    </row>
    <row r="2860" spans="1:17">
      <c r="A2860" t="str">
        <f t="shared" si="176"/>
        <v>KSU_GHO1</v>
      </c>
      <c r="B2860" t="str">
        <f t="shared" si="177"/>
        <v>KSU_Greenhouse</v>
      </c>
      <c r="C2860" t="s">
        <v>452</v>
      </c>
      <c r="D2860" s="180" t="s">
        <v>31</v>
      </c>
      <c r="E2860" t="s">
        <v>5690</v>
      </c>
      <c r="F2860" t="s">
        <v>1278</v>
      </c>
      <c r="G2860" s="180">
        <v>700</v>
      </c>
      <c r="H2860">
        <v>2012</v>
      </c>
      <c r="J2860" s="1334" t="s">
        <v>475</v>
      </c>
      <c r="K2860" s="1335" t="s">
        <v>475</v>
      </c>
      <c r="L2860" s="180">
        <v>100</v>
      </c>
      <c r="M2860" t="s">
        <v>95</v>
      </c>
      <c r="N2860" t="str">
        <f t="shared" si="178"/>
        <v>Greenhouse (GHO1)</v>
      </c>
      <c r="O2860" t="s">
        <v>47</v>
      </c>
      <c r="P2860" t="str">
        <f t="shared" si="179"/>
        <v>43000_GHO1</v>
      </c>
      <c r="Q2860" s="180">
        <v>100</v>
      </c>
    </row>
    <row r="2861" spans="1:17">
      <c r="A2861" t="str">
        <f t="shared" si="176"/>
        <v>KSU_HV02</v>
      </c>
      <c r="B2861" t="str">
        <f t="shared" si="177"/>
        <v>KSU_Hornet Village 2</v>
      </c>
      <c r="C2861" t="s">
        <v>452</v>
      </c>
      <c r="D2861" s="180" t="s">
        <v>31</v>
      </c>
      <c r="E2861" t="s">
        <v>5711</v>
      </c>
      <c r="F2861" t="s">
        <v>5712</v>
      </c>
      <c r="G2861" s="180">
        <v>87955</v>
      </c>
      <c r="H2861">
        <v>2010</v>
      </c>
      <c r="J2861" s="1334" t="s">
        <v>1520</v>
      </c>
      <c r="K2861" s="1335" t="s">
        <v>475</v>
      </c>
      <c r="L2861" s="180">
        <v>0</v>
      </c>
      <c r="M2861" t="s">
        <v>95</v>
      </c>
      <c r="N2861" t="str">
        <f t="shared" si="178"/>
        <v>Hornet Village 2 (HV02)</v>
      </c>
      <c r="O2861" t="s">
        <v>47</v>
      </c>
      <c r="P2861" t="str">
        <f t="shared" si="179"/>
        <v>43000_HV02</v>
      </c>
      <c r="Q2861" s="180">
        <v>100</v>
      </c>
    </row>
    <row r="2862" spans="1:17">
      <c r="A2862" t="str">
        <f t="shared" si="176"/>
        <v>KSU_HVO1</v>
      </c>
      <c r="B2862" t="str">
        <f t="shared" si="177"/>
        <v>KSU_Hornet Village 1</v>
      </c>
      <c r="C2862" t="s">
        <v>452</v>
      </c>
      <c r="D2862" s="180" t="s">
        <v>31</v>
      </c>
      <c r="E2862" t="s">
        <v>5742</v>
      </c>
      <c r="F2862" t="s">
        <v>5743</v>
      </c>
      <c r="G2862" s="180">
        <v>82545</v>
      </c>
      <c r="H2862">
        <v>2010</v>
      </c>
      <c r="J2862" s="1334" t="s">
        <v>1520</v>
      </c>
      <c r="K2862" s="1335" t="s">
        <v>475</v>
      </c>
      <c r="L2862" s="180">
        <v>0</v>
      </c>
      <c r="M2862" t="s">
        <v>95</v>
      </c>
      <c r="N2862" t="str">
        <f t="shared" si="178"/>
        <v>Hornet Village 1 (HVO1)</v>
      </c>
      <c r="O2862" t="s">
        <v>47</v>
      </c>
      <c r="P2862" t="str">
        <f t="shared" si="179"/>
        <v>43000_HVO1</v>
      </c>
      <c r="Q2862" s="180">
        <v>100</v>
      </c>
    </row>
    <row r="2863" spans="1:17">
      <c r="A2863" t="str">
        <f t="shared" si="176"/>
        <v>KSU_I2</v>
      </c>
      <c r="B2863" t="str">
        <f t="shared" si="177"/>
        <v>KSU_Design 2</v>
      </c>
      <c r="C2863" t="s">
        <v>452</v>
      </c>
      <c r="D2863" s="180" t="s">
        <v>31</v>
      </c>
      <c r="E2863" t="s">
        <v>5668</v>
      </c>
      <c r="F2863" t="s">
        <v>5669</v>
      </c>
      <c r="G2863" s="180">
        <v>16519</v>
      </c>
      <c r="H2863">
        <v>2010</v>
      </c>
      <c r="J2863" s="1334" t="s">
        <v>520</v>
      </c>
      <c r="K2863" s="1335" t="s">
        <v>475</v>
      </c>
      <c r="L2863" s="180">
        <v>100</v>
      </c>
      <c r="M2863" t="s">
        <v>95</v>
      </c>
      <c r="N2863" t="str">
        <f t="shared" si="178"/>
        <v>Design 2 (I2)</v>
      </c>
      <c r="O2863" t="s">
        <v>47</v>
      </c>
      <c r="P2863" t="str">
        <f t="shared" si="179"/>
        <v>43000_I2</v>
      </c>
      <c r="Q2863" s="180">
        <v>100</v>
      </c>
    </row>
    <row r="2864" spans="1:17">
      <c r="A2864" t="str">
        <f t="shared" si="176"/>
        <v>KSU_L</v>
      </c>
      <c r="B2864" t="str">
        <f t="shared" si="177"/>
        <v>KSU_Civil &amp; Environmental Engr Bld</v>
      </c>
      <c r="C2864" t="s">
        <v>452</v>
      </c>
      <c r="D2864" s="180" t="s">
        <v>31</v>
      </c>
      <c r="E2864" t="s">
        <v>4507</v>
      </c>
      <c r="F2864" t="s">
        <v>7112</v>
      </c>
      <c r="G2864" s="180">
        <v>15248</v>
      </c>
      <c r="H2864">
        <v>1975</v>
      </c>
      <c r="I2864">
        <v>1994</v>
      </c>
      <c r="J2864" s="1334" t="s">
        <v>475</v>
      </c>
      <c r="K2864" s="1335" t="s">
        <v>475</v>
      </c>
      <c r="L2864" s="180">
        <v>100</v>
      </c>
      <c r="M2864" t="s">
        <v>95</v>
      </c>
      <c r="N2864" t="str">
        <f t="shared" si="178"/>
        <v>Civil &amp; Environmental Engr Bld (L)</v>
      </c>
      <c r="O2864" t="s">
        <v>47</v>
      </c>
      <c r="P2864" t="str">
        <f t="shared" si="179"/>
        <v>43000_L</v>
      </c>
      <c r="Q2864" s="180">
        <v>100</v>
      </c>
    </row>
    <row r="2865" spans="1:17">
      <c r="A2865" t="str">
        <f t="shared" si="176"/>
        <v>KSU_L1</v>
      </c>
      <c r="B2865" t="str">
        <f t="shared" si="177"/>
        <v>KSU_Civil Engineering Soils Lab</v>
      </c>
      <c r="C2865" t="s">
        <v>452</v>
      </c>
      <c r="D2865" s="180" t="s">
        <v>31</v>
      </c>
      <c r="E2865" t="s">
        <v>5758</v>
      </c>
      <c r="F2865" t="s">
        <v>5759</v>
      </c>
      <c r="G2865" s="180">
        <v>1800</v>
      </c>
      <c r="H2865">
        <v>1993</v>
      </c>
      <c r="J2865" s="1334" t="s">
        <v>475</v>
      </c>
      <c r="K2865" s="1335" t="s">
        <v>475</v>
      </c>
      <c r="L2865" s="180">
        <v>100</v>
      </c>
      <c r="M2865" t="s">
        <v>95</v>
      </c>
      <c r="N2865" t="str">
        <f t="shared" si="178"/>
        <v>Civil Engineering Soils Lab (L1)</v>
      </c>
      <c r="O2865" t="s">
        <v>47</v>
      </c>
      <c r="P2865" t="str">
        <f t="shared" si="179"/>
        <v>43000_L1</v>
      </c>
      <c r="Q2865" s="180">
        <v>100</v>
      </c>
    </row>
    <row r="2866" spans="1:17">
      <c r="A2866" t="str">
        <f t="shared" si="176"/>
        <v>KSU_O079</v>
      </c>
      <c r="B2866" t="str">
        <f t="shared" si="177"/>
        <v>KSU_Owl's Nest</v>
      </c>
      <c r="C2866" t="s">
        <v>452</v>
      </c>
      <c r="D2866" s="180" t="s">
        <v>31</v>
      </c>
      <c r="E2866" t="s">
        <v>5662</v>
      </c>
      <c r="F2866" t="s">
        <v>5663</v>
      </c>
      <c r="G2866" s="180">
        <v>15901</v>
      </c>
      <c r="H2866">
        <v>1999</v>
      </c>
      <c r="J2866" s="1334" t="s">
        <v>486</v>
      </c>
      <c r="K2866" s="1335" t="s">
        <v>475</v>
      </c>
      <c r="L2866" s="180">
        <v>100</v>
      </c>
      <c r="M2866" t="s">
        <v>94</v>
      </c>
      <c r="N2866" t="str">
        <f t="shared" si="178"/>
        <v>Owl's Nest (O079)</v>
      </c>
      <c r="O2866" t="s">
        <v>47</v>
      </c>
      <c r="P2866" t="str">
        <f t="shared" si="179"/>
        <v>43000_O079</v>
      </c>
      <c r="Q2866" s="180">
        <v>100</v>
      </c>
    </row>
    <row r="2867" spans="1:17">
      <c r="A2867" t="str">
        <f t="shared" si="176"/>
        <v>KSU_P60</v>
      </c>
      <c r="B2867" t="str">
        <f t="shared" si="177"/>
        <v>KSU_Parking Deck</v>
      </c>
      <c r="C2867" t="s">
        <v>452</v>
      </c>
      <c r="D2867" s="180" t="s">
        <v>31</v>
      </c>
      <c r="E2867" t="s">
        <v>5619</v>
      </c>
      <c r="F2867" t="s">
        <v>4699</v>
      </c>
      <c r="G2867" s="180">
        <v>273280</v>
      </c>
      <c r="H2867">
        <v>2010</v>
      </c>
      <c r="J2867" s="1334" t="s">
        <v>1520</v>
      </c>
      <c r="K2867" s="1335" t="s">
        <v>475</v>
      </c>
      <c r="L2867" s="180">
        <v>0</v>
      </c>
      <c r="M2867" t="s">
        <v>95</v>
      </c>
      <c r="N2867" t="str">
        <f t="shared" si="178"/>
        <v>Parking Deck (P60)</v>
      </c>
      <c r="O2867" t="s">
        <v>47</v>
      </c>
      <c r="P2867" t="str">
        <f t="shared" si="179"/>
        <v>43000_P60</v>
      </c>
      <c r="Q2867" s="180">
        <v>100</v>
      </c>
    </row>
    <row r="2868" spans="1:17">
      <c r="A2868" t="str">
        <f t="shared" si="176"/>
        <v>KSU_Q</v>
      </c>
      <c r="B2868" t="str">
        <f t="shared" si="177"/>
        <v>KSU_Engineering Technology Center</v>
      </c>
      <c r="C2868" t="s">
        <v>452</v>
      </c>
      <c r="D2868" s="180" t="s">
        <v>31</v>
      </c>
      <c r="E2868" t="s">
        <v>5635</v>
      </c>
      <c r="F2868" t="s">
        <v>5636</v>
      </c>
      <c r="G2868" s="180">
        <v>130000</v>
      </c>
      <c r="H2868">
        <v>2010</v>
      </c>
      <c r="J2868" s="1334" t="s">
        <v>520</v>
      </c>
      <c r="K2868" s="1335" t="s">
        <v>475</v>
      </c>
      <c r="L2868" s="180">
        <v>100</v>
      </c>
      <c r="M2868" t="s">
        <v>95</v>
      </c>
      <c r="N2868" t="str">
        <f t="shared" si="178"/>
        <v>Engineering Technology Center (Q)</v>
      </c>
      <c r="O2868" t="s">
        <v>47</v>
      </c>
      <c r="P2868" t="str">
        <f t="shared" si="179"/>
        <v>43000_Q</v>
      </c>
      <c r="Q2868" s="180">
        <v>100</v>
      </c>
    </row>
    <row r="2869" spans="1:17">
      <c r="A2869" t="str">
        <f t="shared" si="176"/>
        <v>KSU_UCM1</v>
      </c>
      <c r="B2869" t="str">
        <f t="shared" si="177"/>
        <v>KSU_Commons 100</v>
      </c>
      <c r="C2869" t="s">
        <v>452</v>
      </c>
      <c r="D2869" s="180" t="s">
        <v>31</v>
      </c>
      <c r="E2869" t="s">
        <v>5746</v>
      </c>
      <c r="F2869" t="s">
        <v>5747</v>
      </c>
      <c r="G2869" s="180">
        <v>18366</v>
      </c>
      <c r="H2869">
        <v>2000</v>
      </c>
      <c r="J2869" s="1334" t="s">
        <v>486</v>
      </c>
      <c r="K2869" s="1335" t="s">
        <v>475</v>
      </c>
      <c r="L2869" s="180">
        <v>0</v>
      </c>
      <c r="M2869" t="s">
        <v>95</v>
      </c>
      <c r="N2869" t="str">
        <f t="shared" si="178"/>
        <v>Commons 100 (UCM1)</v>
      </c>
      <c r="O2869" t="s">
        <v>47</v>
      </c>
      <c r="P2869" t="str">
        <f t="shared" si="179"/>
        <v>43000_UCM1</v>
      </c>
      <c r="Q2869" s="180">
        <v>100</v>
      </c>
    </row>
    <row r="2870" spans="1:17">
      <c r="A2870" t="str">
        <f t="shared" si="176"/>
        <v>KSU_UCM2</v>
      </c>
      <c r="B2870" t="str">
        <f t="shared" si="177"/>
        <v>KSU_Commons 200</v>
      </c>
      <c r="C2870" t="s">
        <v>452</v>
      </c>
      <c r="D2870" s="180" t="s">
        <v>31</v>
      </c>
      <c r="E2870" t="s">
        <v>5645</v>
      </c>
      <c r="F2870" t="s">
        <v>5646</v>
      </c>
      <c r="G2870" s="180">
        <v>18366</v>
      </c>
      <c r="H2870">
        <v>2000</v>
      </c>
      <c r="J2870" s="1334" t="s">
        <v>486</v>
      </c>
      <c r="K2870" s="1335" t="s">
        <v>475</v>
      </c>
      <c r="L2870" s="180">
        <v>0</v>
      </c>
      <c r="M2870" t="s">
        <v>95</v>
      </c>
      <c r="N2870" t="str">
        <f t="shared" si="178"/>
        <v>Commons 200 (UCM2)</v>
      </c>
      <c r="O2870" t="s">
        <v>47</v>
      </c>
      <c r="P2870" t="str">
        <f t="shared" si="179"/>
        <v>43000_UCM2</v>
      </c>
      <c r="Q2870" s="180">
        <v>100</v>
      </c>
    </row>
    <row r="2871" spans="1:17">
      <c r="A2871" t="str">
        <f t="shared" si="176"/>
        <v>KSU_UCM3</v>
      </c>
      <c r="B2871" t="str">
        <f t="shared" si="177"/>
        <v>KSU_Commons 300</v>
      </c>
      <c r="C2871" t="s">
        <v>452</v>
      </c>
      <c r="D2871" s="180" t="s">
        <v>31</v>
      </c>
      <c r="E2871" t="s">
        <v>5701</v>
      </c>
      <c r="F2871" t="s">
        <v>5702</v>
      </c>
      <c r="G2871" s="180">
        <v>18366</v>
      </c>
      <c r="H2871">
        <v>2000</v>
      </c>
      <c r="J2871" s="1334" t="s">
        <v>486</v>
      </c>
      <c r="K2871" s="1335" t="s">
        <v>475</v>
      </c>
      <c r="L2871" s="180">
        <v>0</v>
      </c>
      <c r="M2871" t="s">
        <v>95</v>
      </c>
      <c r="N2871" t="str">
        <f t="shared" si="178"/>
        <v>Commons 300 (UCM3)</v>
      </c>
      <c r="O2871" t="s">
        <v>47</v>
      </c>
      <c r="P2871" t="str">
        <f t="shared" si="179"/>
        <v>43000_UCM3</v>
      </c>
      <c r="Q2871" s="180">
        <v>100</v>
      </c>
    </row>
    <row r="2872" spans="1:17">
      <c r="A2872" t="str">
        <f t="shared" si="176"/>
        <v>KSU_UCM4</v>
      </c>
      <c r="B2872" t="str">
        <f t="shared" si="177"/>
        <v>KSU_Commons 400</v>
      </c>
      <c r="C2872" t="s">
        <v>452</v>
      </c>
      <c r="D2872" s="180" t="s">
        <v>31</v>
      </c>
      <c r="E2872" t="s">
        <v>5687</v>
      </c>
      <c r="F2872" t="s">
        <v>5688</v>
      </c>
      <c r="G2872" s="180">
        <v>18366</v>
      </c>
      <c r="H2872">
        <v>2000</v>
      </c>
      <c r="J2872" s="1334" t="s">
        <v>486</v>
      </c>
      <c r="K2872" s="1335" t="s">
        <v>475</v>
      </c>
      <c r="L2872" s="180">
        <v>0</v>
      </c>
      <c r="M2872" t="s">
        <v>95</v>
      </c>
      <c r="N2872" t="str">
        <f t="shared" si="178"/>
        <v>Commons 400 (UCM4)</v>
      </c>
      <c r="O2872" t="s">
        <v>47</v>
      </c>
      <c r="P2872" t="str">
        <f t="shared" si="179"/>
        <v>43000_UCM4</v>
      </c>
      <c r="Q2872" s="180">
        <v>100</v>
      </c>
    </row>
    <row r="2873" spans="1:17">
      <c r="A2873" t="str">
        <f t="shared" si="176"/>
        <v>KSU_UCM5</v>
      </c>
      <c r="B2873" t="str">
        <f t="shared" si="177"/>
        <v>KSU_Commons 500</v>
      </c>
      <c r="C2873" t="s">
        <v>452</v>
      </c>
      <c r="D2873" s="180" t="s">
        <v>31</v>
      </c>
      <c r="E2873" t="s">
        <v>5620</v>
      </c>
      <c r="F2873" t="s">
        <v>5621</v>
      </c>
      <c r="G2873" s="180">
        <v>24930</v>
      </c>
      <c r="H2873">
        <v>2000</v>
      </c>
      <c r="J2873" s="1334" t="s">
        <v>486</v>
      </c>
      <c r="K2873" s="1335" t="s">
        <v>475</v>
      </c>
      <c r="L2873" s="180">
        <v>0</v>
      </c>
      <c r="M2873" t="s">
        <v>95</v>
      </c>
      <c r="N2873" t="str">
        <f t="shared" si="178"/>
        <v>Commons 500 (UCM5)</v>
      </c>
      <c r="O2873" t="s">
        <v>47</v>
      </c>
      <c r="P2873" t="str">
        <f t="shared" si="179"/>
        <v>43000_UCM5</v>
      </c>
      <c r="Q2873" s="180">
        <v>100</v>
      </c>
    </row>
    <row r="2874" spans="1:17">
      <c r="A2874" t="str">
        <f t="shared" si="176"/>
        <v>KSU_UCM6</v>
      </c>
      <c r="B2874" t="str">
        <f t="shared" si="177"/>
        <v>KSU_Commons 600</v>
      </c>
      <c r="C2874" t="s">
        <v>452</v>
      </c>
      <c r="D2874" s="180" t="s">
        <v>31</v>
      </c>
      <c r="E2874" t="s">
        <v>5606</v>
      </c>
      <c r="F2874" t="s">
        <v>5607</v>
      </c>
      <c r="G2874" s="180">
        <v>24930</v>
      </c>
      <c r="H2874">
        <v>2000</v>
      </c>
      <c r="J2874" s="1334" t="s">
        <v>486</v>
      </c>
      <c r="K2874" s="1335" t="s">
        <v>475</v>
      </c>
      <c r="L2874" s="180">
        <v>0</v>
      </c>
      <c r="M2874" t="s">
        <v>95</v>
      </c>
      <c r="N2874" t="str">
        <f t="shared" si="178"/>
        <v>Commons 600 (UCM6)</v>
      </c>
      <c r="O2874" t="s">
        <v>47</v>
      </c>
      <c r="P2874" t="str">
        <f t="shared" si="179"/>
        <v>43000_UCM6</v>
      </c>
      <c r="Q2874" s="180">
        <v>100</v>
      </c>
    </row>
    <row r="2875" spans="1:17">
      <c r="A2875" t="str">
        <f t="shared" si="176"/>
        <v>KSU_UCY1</v>
      </c>
      <c r="B2875" t="str">
        <f t="shared" si="177"/>
        <v>KSU_Courtyard 1000</v>
      </c>
      <c r="C2875" t="s">
        <v>452</v>
      </c>
      <c r="D2875" s="180" t="s">
        <v>31</v>
      </c>
      <c r="E2875" t="s">
        <v>5647</v>
      </c>
      <c r="F2875" t="s">
        <v>5648</v>
      </c>
      <c r="G2875" s="180">
        <v>61404</v>
      </c>
      <c r="H2875">
        <v>2004</v>
      </c>
      <c r="J2875" s="1334" t="s">
        <v>486</v>
      </c>
      <c r="K2875" s="1335" t="s">
        <v>475</v>
      </c>
      <c r="L2875" s="180">
        <v>0</v>
      </c>
      <c r="M2875" t="s">
        <v>95</v>
      </c>
      <c r="N2875" t="str">
        <f t="shared" si="178"/>
        <v>Courtyard 1000 (UCY1)</v>
      </c>
      <c r="O2875" t="s">
        <v>47</v>
      </c>
      <c r="P2875" t="str">
        <f t="shared" si="179"/>
        <v>43000_UCY1</v>
      </c>
      <c r="Q2875" s="180">
        <v>100</v>
      </c>
    </row>
    <row r="2876" spans="1:17">
      <c r="A2876" t="str">
        <f t="shared" si="176"/>
        <v>KSU_UCY2</v>
      </c>
      <c r="B2876" t="str">
        <f t="shared" si="177"/>
        <v>KSU_Courtyard 2000</v>
      </c>
      <c r="C2876" t="s">
        <v>452</v>
      </c>
      <c r="D2876" s="180" t="s">
        <v>31</v>
      </c>
      <c r="E2876" t="s">
        <v>5600</v>
      </c>
      <c r="F2876" t="s">
        <v>5601</v>
      </c>
      <c r="G2876" s="180">
        <v>55770</v>
      </c>
      <c r="H2876">
        <v>2004</v>
      </c>
      <c r="J2876" s="1334" t="s">
        <v>486</v>
      </c>
      <c r="K2876" s="1335" t="s">
        <v>475</v>
      </c>
      <c r="L2876" s="180">
        <v>0</v>
      </c>
      <c r="M2876" t="s">
        <v>95</v>
      </c>
      <c r="N2876" t="str">
        <f t="shared" si="178"/>
        <v>Courtyard 2000 (UCY2)</v>
      </c>
      <c r="O2876" t="s">
        <v>47</v>
      </c>
      <c r="P2876" t="str">
        <f t="shared" si="179"/>
        <v>43000_UCY2</v>
      </c>
      <c r="Q2876" s="180">
        <v>100</v>
      </c>
    </row>
    <row r="2877" spans="1:17">
      <c r="A2877" t="str">
        <f t="shared" si="176"/>
        <v>KSU_UCY3</v>
      </c>
      <c r="B2877" t="str">
        <f t="shared" si="177"/>
        <v>KSU_Courtyard 3000</v>
      </c>
      <c r="C2877" t="s">
        <v>452</v>
      </c>
      <c r="D2877" s="180" t="s">
        <v>31</v>
      </c>
      <c r="E2877" t="s">
        <v>5658</v>
      </c>
      <c r="F2877" t="s">
        <v>5659</v>
      </c>
      <c r="G2877" s="180">
        <v>60753</v>
      </c>
      <c r="H2877">
        <v>2004</v>
      </c>
      <c r="J2877" s="1334" t="s">
        <v>486</v>
      </c>
      <c r="K2877" s="1335" t="s">
        <v>475</v>
      </c>
      <c r="L2877" s="180">
        <v>0</v>
      </c>
      <c r="M2877" t="s">
        <v>95</v>
      </c>
      <c r="N2877" t="str">
        <f t="shared" si="178"/>
        <v>Courtyard 3000 (UCY3)</v>
      </c>
      <c r="O2877" t="s">
        <v>47</v>
      </c>
      <c r="P2877" t="str">
        <f t="shared" si="179"/>
        <v>43000_UCY3</v>
      </c>
      <c r="Q2877" s="180">
        <v>100</v>
      </c>
    </row>
    <row r="2878" spans="1:17">
      <c r="A2878" t="str">
        <f t="shared" si="176"/>
        <v>KSU_X</v>
      </c>
      <c r="B2878" t="str">
        <f t="shared" si="177"/>
        <v>KSU_Stingers Restaurant</v>
      </c>
      <c r="C2878" t="s">
        <v>452</v>
      </c>
      <c r="D2878" s="180" t="s">
        <v>31</v>
      </c>
      <c r="E2878" t="s">
        <v>5631</v>
      </c>
      <c r="F2878" t="s">
        <v>7164</v>
      </c>
      <c r="G2878" s="180">
        <v>16973</v>
      </c>
      <c r="H2878">
        <v>2010</v>
      </c>
      <c r="J2878" s="1334" t="s">
        <v>1520</v>
      </c>
      <c r="K2878" s="1335" t="s">
        <v>475</v>
      </c>
      <c r="L2878" s="180">
        <v>0</v>
      </c>
      <c r="M2878" t="s">
        <v>95</v>
      </c>
      <c r="N2878" t="str">
        <f t="shared" si="178"/>
        <v>Stingers Restaurant (X)</v>
      </c>
      <c r="O2878" t="s">
        <v>47</v>
      </c>
      <c r="P2878" t="str">
        <f t="shared" si="179"/>
        <v>43000_X</v>
      </c>
      <c r="Q2878" s="180">
        <v>100</v>
      </c>
    </row>
    <row r="2879" spans="1:17">
      <c r="A2879" t="str">
        <f t="shared" si="176"/>
        <v>SSU_0101</v>
      </c>
      <c r="B2879" t="str">
        <f t="shared" si="177"/>
        <v>SSU_Gardner Hall</v>
      </c>
      <c r="C2879" t="s">
        <v>453</v>
      </c>
      <c r="D2879" s="180" t="s">
        <v>32</v>
      </c>
      <c r="E2879" t="s">
        <v>751</v>
      </c>
      <c r="F2879" t="s">
        <v>5805</v>
      </c>
      <c r="G2879" s="180">
        <v>3608</v>
      </c>
      <c r="H2879">
        <v>1982</v>
      </c>
      <c r="J2879" s="1334" t="s">
        <v>475</v>
      </c>
      <c r="K2879" s="1335" t="s">
        <v>475</v>
      </c>
      <c r="L2879" s="180">
        <v>100</v>
      </c>
      <c r="M2879" t="s">
        <v>68</v>
      </c>
      <c r="N2879" t="str">
        <f t="shared" si="178"/>
        <v>Gardner Hall (0101)</v>
      </c>
      <c r="O2879" t="s">
        <v>48</v>
      </c>
      <c r="P2879" t="str">
        <f t="shared" si="179"/>
        <v>48000_0101</v>
      </c>
      <c r="Q2879" s="180">
        <v>100</v>
      </c>
    </row>
    <row r="2880" spans="1:17">
      <c r="A2880" t="str">
        <f t="shared" si="176"/>
        <v>SSU_0102</v>
      </c>
      <c r="B2880" t="str">
        <f t="shared" si="177"/>
        <v>SSU_Wiley Wilcox Gym</v>
      </c>
      <c r="C2880" t="s">
        <v>453</v>
      </c>
      <c r="D2880" s="180" t="s">
        <v>32</v>
      </c>
      <c r="E2880" t="s">
        <v>947</v>
      </c>
      <c r="F2880" t="s">
        <v>5781</v>
      </c>
      <c r="G2880" s="180">
        <v>77589</v>
      </c>
      <c r="H2880">
        <v>1932</v>
      </c>
      <c r="I2880">
        <v>1964</v>
      </c>
      <c r="J2880" s="1334" t="s">
        <v>475</v>
      </c>
      <c r="K2880" s="1335" t="s">
        <v>475</v>
      </c>
      <c r="L2880" s="180">
        <v>100</v>
      </c>
      <c r="M2880" t="s">
        <v>68</v>
      </c>
      <c r="N2880" t="str">
        <f t="shared" si="178"/>
        <v>Wiley Wilcox Gym (0102)</v>
      </c>
      <c r="O2880" t="s">
        <v>48</v>
      </c>
      <c r="P2880" t="str">
        <f t="shared" si="179"/>
        <v>48000_0102</v>
      </c>
      <c r="Q2880" s="180">
        <v>100</v>
      </c>
    </row>
    <row r="2881" spans="1:17">
      <c r="A2881" t="str">
        <f t="shared" si="176"/>
        <v>SSU_0103</v>
      </c>
      <c r="B2881" t="str">
        <f t="shared" si="177"/>
        <v>SSU_Colston</v>
      </c>
      <c r="C2881" t="s">
        <v>453</v>
      </c>
      <c r="D2881" s="180" t="s">
        <v>32</v>
      </c>
      <c r="E2881" t="s">
        <v>535</v>
      </c>
      <c r="F2881" t="s">
        <v>5812</v>
      </c>
      <c r="G2881" s="180">
        <v>29833</v>
      </c>
      <c r="H2881">
        <v>1959</v>
      </c>
      <c r="I2881">
        <v>1980</v>
      </c>
      <c r="J2881" s="1334" t="s">
        <v>475</v>
      </c>
      <c r="K2881" s="1335" t="s">
        <v>475</v>
      </c>
      <c r="L2881" s="180">
        <v>100</v>
      </c>
      <c r="M2881" t="s">
        <v>68</v>
      </c>
      <c r="N2881" t="str">
        <f t="shared" si="178"/>
        <v>Colston (0103)</v>
      </c>
      <c r="O2881" t="s">
        <v>48</v>
      </c>
      <c r="P2881" t="str">
        <f t="shared" si="179"/>
        <v>48000_0103</v>
      </c>
      <c r="Q2881" s="180">
        <v>100</v>
      </c>
    </row>
    <row r="2882" spans="1:17">
      <c r="A2882" t="str">
        <f t="shared" si="176"/>
        <v>SSU_0104</v>
      </c>
      <c r="B2882" t="str">
        <f t="shared" si="177"/>
        <v>SSU_King Frazier Student Center</v>
      </c>
      <c r="C2882" t="s">
        <v>453</v>
      </c>
      <c r="D2882" s="180" t="s">
        <v>32</v>
      </c>
      <c r="E2882" t="s">
        <v>686</v>
      </c>
      <c r="F2882" t="s">
        <v>5774</v>
      </c>
      <c r="G2882" s="180">
        <v>52204</v>
      </c>
      <c r="H2882">
        <v>1969</v>
      </c>
      <c r="J2882" s="1334" t="s">
        <v>475</v>
      </c>
      <c r="K2882" s="1335" t="s">
        <v>475</v>
      </c>
      <c r="L2882" s="180">
        <v>41</v>
      </c>
      <c r="M2882" t="s">
        <v>68</v>
      </c>
      <c r="N2882" t="str">
        <f t="shared" si="178"/>
        <v>King Frazier Student Center (0104)</v>
      </c>
      <c r="O2882" t="s">
        <v>48</v>
      </c>
      <c r="P2882" t="str">
        <f t="shared" si="179"/>
        <v>48000_0104</v>
      </c>
      <c r="Q2882" s="180">
        <v>100</v>
      </c>
    </row>
    <row r="2883" spans="1:17">
      <c r="A2883" t="str">
        <f t="shared" ref="A2883:A2946" si="180">_xlfn.CONCAT(D2883,"_",E2883)</f>
        <v>SSU_0105</v>
      </c>
      <c r="B2883" t="str">
        <f t="shared" ref="B2883:B2946" si="181">_xlfn.CONCAT(D2883,"_",F2883)</f>
        <v>SSU_Information House</v>
      </c>
      <c r="C2883" t="s">
        <v>453</v>
      </c>
      <c r="D2883" s="180" t="s">
        <v>32</v>
      </c>
      <c r="E2883" t="s">
        <v>916</v>
      </c>
      <c r="F2883" t="s">
        <v>5796</v>
      </c>
      <c r="G2883" s="180">
        <v>215</v>
      </c>
      <c r="H2883">
        <v>1938</v>
      </c>
      <c r="J2883" s="1334" t="s">
        <v>475</v>
      </c>
      <c r="K2883" s="1335" t="s">
        <v>520</v>
      </c>
      <c r="L2883" s="180">
        <v>100</v>
      </c>
      <c r="M2883" t="s">
        <v>68</v>
      </c>
      <c r="N2883" t="str">
        <f t="shared" ref="N2883:N2946" si="182">_xlfn.CONCAT(F2883," (",E2883,")")</f>
        <v>Information House (0105)</v>
      </c>
      <c r="O2883" t="s">
        <v>48</v>
      </c>
      <c r="P2883" t="str">
        <f t="shared" ref="P2883:P2946" si="183">_xlfn.CONCAT(C2883,"_",E2883)</f>
        <v>48000_0105</v>
      </c>
      <c r="Q2883" s="180">
        <v>100</v>
      </c>
    </row>
    <row r="2884" spans="1:17">
      <c r="A2884" t="str">
        <f t="shared" si="180"/>
        <v>SSU_0106</v>
      </c>
      <c r="B2884" t="str">
        <f t="shared" si="181"/>
        <v>SSU_Hodge Hall</v>
      </c>
      <c r="C2884" t="s">
        <v>453</v>
      </c>
      <c r="D2884" s="180" t="s">
        <v>32</v>
      </c>
      <c r="E2884" t="s">
        <v>765</v>
      </c>
      <c r="F2884" t="s">
        <v>5778</v>
      </c>
      <c r="G2884" s="180">
        <v>4356</v>
      </c>
      <c r="H2884">
        <v>1938</v>
      </c>
      <c r="J2884" s="1334" t="s">
        <v>475</v>
      </c>
      <c r="K2884" s="1335" t="s">
        <v>475</v>
      </c>
      <c r="L2884" s="180">
        <v>100</v>
      </c>
      <c r="M2884" t="s">
        <v>68</v>
      </c>
      <c r="N2884" t="str">
        <f t="shared" si="182"/>
        <v>Hodge Hall (0106)</v>
      </c>
      <c r="O2884" t="s">
        <v>48</v>
      </c>
      <c r="P2884" t="str">
        <f t="shared" si="183"/>
        <v>48000_0106</v>
      </c>
      <c r="Q2884" s="180">
        <v>0</v>
      </c>
    </row>
    <row r="2885" spans="1:17">
      <c r="A2885" t="str">
        <f t="shared" si="180"/>
        <v>SSU_0107</v>
      </c>
      <c r="B2885" t="str">
        <f t="shared" si="181"/>
        <v>SSU_Hill Hall</v>
      </c>
      <c r="C2885" t="s">
        <v>453</v>
      </c>
      <c r="D2885" s="180" t="s">
        <v>32</v>
      </c>
      <c r="E2885" t="s">
        <v>741</v>
      </c>
      <c r="F2885" t="s">
        <v>5779</v>
      </c>
      <c r="G2885" s="180">
        <v>34247</v>
      </c>
      <c r="H2885">
        <v>1902</v>
      </c>
      <c r="I2885">
        <v>1999</v>
      </c>
      <c r="J2885" s="1334" t="s">
        <v>520</v>
      </c>
      <c r="K2885" s="1335" t="s">
        <v>481</v>
      </c>
      <c r="L2885" s="180">
        <v>100</v>
      </c>
      <c r="M2885" t="s">
        <v>68</v>
      </c>
      <c r="N2885" t="str">
        <f t="shared" si="182"/>
        <v>Hill Hall (0107)</v>
      </c>
      <c r="O2885" t="s">
        <v>48</v>
      </c>
      <c r="P2885" t="str">
        <f t="shared" si="183"/>
        <v>48000_0107</v>
      </c>
      <c r="Q2885" s="180">
        <v>0</v>
      </c>
    </row>
    <row r="2886" spans="1:17">
      <c r="A2886" t="str">
        <f t="shared" si="180"/>
        <v>SSU_0109</v>
      </c>
      <c r="B2886" t="str">
        <f t="shared" si="181"/>
        <v>SSU_Lift Station</v>
      </c>
      <c r="C2886" t="s">
        <v>453</v>
      </c>
      <c r="D2886" s="180" t="s">
        <v>32</v>
      </c>
      <c r="E2886" t="s">
        <v>894</v>
      </c>
      <c r="F2886" t="s">
        <v>5809</v>
      </c>
      <c r="G2886" s="180">
        <v>300</v>
      </c>
      <c r="H2886">
        <v>1954</v>
      </c>
      <c r="I2886">
        <v>1973</v>
      </c>
      <c r="J2886" s="1334" t="s">
        <v>475</v>
      </c>
      <c r="K2886" s="1335" t="s">
        <v>475</v>
      </c>
      <c r="L2886" s="180">
        <v>100</v>
      </c>
      <c r="M2886" t="s">
        <v>68</v>
      </c>
      <c r="N2886" t="str">
        <f t="shared" si="182"/>
        <v>Lift Station (0109)</v>
      </c>
      <c r="O2886" t="s">
        <v>48</v>
      </c>
      <c r="P2886" t="str">
        <f t="shared" si="183"/>
        <v>48000_0109</v>
      </c>
      <c r="Q2886" s="180">
        <v>0</v>
      </c>
    </row>
    <row r="2887" spans="1:17">
      <c r="A2887" t="str">
        <f t="shared" si="180"/>
        <v>SSU_0111</v>
      </c>
      <c r="B2887" t="str">
        <f t="shared" si="181"/>
        <v>SSU_Morgan Hall</v>
      </c>
      <c r="C2887" t="s">
        <v>453</v>
      </c>
      <c r="D2887" s="180" t="s">
        <v>32</v>
      </c>
      <c r="E2887" t="s">
        <v>834</v>
      </c>
      <c r="F2887" t="s">
        <v>5583</v>
      </c>
      <c r="G2887" s="180">
        <v>5672</v>
      </c>
      <c r="H2887">
        <v>1936</v>
      </c>
      <c r="I2887">
        <v>1975</v>
      </c>
      <c r="J2887" s="1334" t="s">
        <v>475</v>
      </c>
      <c r="K2887" s="1335" t="s">
        <v>475</v>
      </c>
      <c r="L2887" s="180">
        <v>100</v>
      </c>
      <c r="M2887" t="s">
        <v>68</v>
      </c>
      <c r="N2887" t="str">
        <f t="shared" si="182"/>
        <v>Morgan Hall (0111)</v>
      </c>
      <c r="O2887" t="s">
        <v>48</v>
      </c>
      <c r="P2887" t="str">
        <f t="shared" si="183"/>
        <v>48000_0111</v>
      </c>
      <c r="Q2887" s="180">
        <v>0</v>
      </c>
    </row>
    <row r="2888" spans="1:17">
      <c r="A2888" t="str">
        <f t="shared" si="180"/>
        <v>SSU_0112</v>
      </c>
      <c r="B2888" t="str">
        <f t="shared" si="181"/>
        <v>SSU_Morgan Annex</v>
      </c>
      <c r="C2888" t="s">
        <v>453</v>
      </c>
      <c r="D2888" s="180" t="s">
        <v>32</v>
      </c>
      <c r="E2888" t="s">
        <v>5336</v>
      </c>
      <c r="F2888" t="s">
        <v>5775</v>
      </c>
      <c r="G2888" s="180">
        <v>1629</v>
      </c>
      <c r="H2888">
        <v>1903</v>
      </c>
      <c r="I2888">
        <v>1997</v>
      </c>
      <c r="J2888" s="1334" t="s">
        <v>475</v>
      </c>
      <c r="K2888" s="1335" t="s">
        <v>475</v>
      </c>
      <c r="L2888" s="180">
        <v>100</v>
      </c>
      <c r="M2888" t="s">
        <v>68</v>
      </c>
      <c r="N2888" t="str">
        <f t="shared" si="182"/>
        <v>Morgan Annex (0112)</v>
      </c>
      <c r="O2888" t="s">
        <v>48</v>
      </c>
      <c r="P2888" t="str">
        <f t="shared" si="183"/>
        <v>48000_0112</v>
      </c>
      <c r="Q2888" s="180">
        <v>100</v>
      </c>
    </row>
    <row r="2889" spans="1:17">
      <c r="A2889" t="str">
        <f t="shared" si="180"/>
        <v>SSU_0113</v>
      </c>
      <c r="B2889" t="str">
        <f t="shared" si="181"/>
        <v>SSU_Adams Hall</v>
      </c>
      <c r="C2889" t="s">
        <v>453</v>
      </c>
      <c r="D2889" s="180" t="s">
        <v>32</v>
      </c>
      <c r="E2889" t="s">
        <v>4362</v>
      </c>
      <c r="F2889" t="s">
        <v>4969</v>
      </c>
      <c r="G2889" s="180">
        <v>6513</v>
      </c>
      <c r="H2889">
        <v>1932</v>
      </c>
      <c r="I2889">
        <v>1991</v>
      </c>
      <c r="J2889" s="1334" t="s">
        <v>475</v>
      </c>
      <c r="K2889" s="1335" t="s">
        <v>475</v>
      </c>
      <c r="L2889" s="180">
        <v>100</v>
      </c>
      <c r="M2889" t="s">
        <v>68</v>
      </c>
      <c r="N2889" t="str">
        <f t="shared" si="182"/>
        <v>Adams Hall (0113)</v>
      </c>
      <c r="O2889" t="s">
        <v>48</v>
      </c>
      <c r="P2889" t="str">
        <f t="shared" si="183"/>
        <v>48000_0113</v>
      </c>
      <c r="Q2889" s="180">
        <v>100</v>
      </c>
    </row>
    <row r="2890" spans="1:17">
      <c r="A2890" t="str">
        <f t="shared" si="180"/>
        <v>SSU_0114</v>
      </c>
      <c r="B2890" t="str">
        <f t="shared" si="181"/>
        <v>SSU_Herty Hall</v>
      </c>
      <c r="C2890" t="s">
        <v>453</v>
      </c>
      <c r="D2890" s="180" t="s">
        <v>32</v>
      </c>
      <c r="E2890" t="s">
        <v>5349</v>
      </c>
      <c r="F2890" t="s">
        <v>5019</v>
      </c>
      <c r="G2890" s="180">
        <v>12000</v>
      </c>
      <c r="H2890">
        <v>1938</v>
      </c>
      <c r="I2890">
        <v>1996</v>
      </c>
      <c r="J2890" s="1334" t="s">
        <v>475</v>
      </c>
      <c r="K2890" s="1335" t="s">
        <v>475</v>
      </c>
      <c r="L2890" s="180">
        <v>100</v>
      </c>
      <c r="M2890" t="s">
        <v>68</v>
      </c>
      <c r="N2890" t="str">
        <f t="shared" si="182"/>
        <v>Herty Hall (0114)</v>
      </c>
      <c r="O2890" t="s">
        <v>48</v>
      </c>
      <c r="P2890" t="str">
        <f t="shared" si="183"/>
        <v>48000_0114</v>
      </c>
      <c r="Q2890" s="180">
        <v>100</v>
      </c>
    </row>
    <row r="2891" spans="1:17">
      <c r="A2891" t="str">
        <f t="shared" si="180"/>
        <v>SSU_0115</v>
      </c>
      <c r="B2891" t="str">
        <f t="shared" si="181"/>
        <v>SSU_Powell Hall</v>
      </c>
      <c r="C2891" t="s">
        <v>453</v>
      </c>
      <c r="D2891" s="180" t="s">
        <v>32</v>
      </c>
      <c r="E2891" t="s">
        <v>789</v>
      </c>
      <c r="F2891" t="s">
        <v>5772</v>
      </c>
      <c r="G2891" s="180">
        <v>5654</v>
      </c>
      <c r="H2891">
        <v>1935</v>
      </c>
      <c r="I2891">
        <v>1992</v>
      </c>
      <c r="J2891" s="1334" t="s">
        <v>475</v>
      </c>
      <c r="K2891" s="1335" t="s">
        <v>475</v>
      </c>
      <c r="L2891" s="180">
        <v>100</v>
      </c>
      <c r="M2891" t="s">
        <v>68</v>
      </c>
      <c r="N2891" t="str">
        <f t="shared" si="182"/>
        <v>Powell Hall (0115)</v>
      </c>
      <c r="O2891" t="s">
        <v>48</v>
      </c>
      <c r="P2891" t="str">
        <f t="shared" si="183"/>
        <v>48000_0115</v>
      </c>
      <c r="Q2891" s="180">
        <v>100</v>
      </c>
    </row>
    <row r="2892" spans="1:17">
      <c r="A2892" t="str">
        <f t="shared" si="180"/>
        <v>SSU_0117</v>
      </c>
      <c r="B2892" t="str">
        <f t="shared" si="181"/>
        <v>SSU_Hammond (Computer Services)</v>
      </c>
      <c r="C2892" t="s">
        <v>453</v>
      </c>
      <c r="D2892" s="180" t="s">
        <v>32</v>
      </c>
      <c r="E2892" t="s">
        <v>604</v>
      </c>
      <c r="F2892" t="s">
        <v>5788</v>
      </c>
      <c r="G2892" s="180">
        <v>5699</v>
      </c>
      <c r="H2892">
        <v>1936</v>
      </c>
      <c r="I2892">
        <v>1996</v>
      </c>
      <c r="J2892" s="1334" t="s">
        <v>475</v>
      </c>
      <c r="K2892" s="1335" t="s">
        <v>475</v>
      </c>
      <c r="L2892" s="180">
        <v>100</v>
      </c>
      <c r="M2892" t="s">
        <v>68</v>
      </c>
      <c r="N2892" t="str">
        <f t="shared" si="182"/>
        <v>Hammond (Computer Services) (0117)</v>
      </c>
      <c r="O2892" t="s">
        <v>48</v>
      </c>
      <c r="P2892" t="str">
        <f t="shared" si="183"/>
        <v>48000_0117</v>
      </c>
      <c r="Q2892" s="180">
        <v>100</v>
      </c>
    </row>
    <row r="2893" spans="1:17">
      <c r="A2893" t="str">
        <f t="shared" si="180"/>
        <v>SSU_0118</v>
      </c>
      <c r="B2893" t="str">
        <f t="shared" si="181"/>
        <v>SSU_Harris (Security)</v>
      </c>
      <c r="C2893" t="s">
        <v>453</v>
      </c>
      <c r="D2893" s="180" t="s">
        <v>32</v>
      </c>
      <c r="E2893" t="s">
        <v>630</v>
      </c>
      <c r="F2893" t="s">
        <v>5792</v>
      </c>
      <c r="G2893" s="180">
        <v>2655</v>
      </c>
      <c r="H2893">
        <v>1947</v>
      </c>
      <c r="J2893" s="1334" t="s">
        <v>475</v>
      </c>
      <c r="K2893" s="1335" t="s">
        <v>475</v>
      </c>
      <c r="L2893" s="180">
        <v>100</v>
      </c>
      <c r="M2893" t="s">
        <v>68</v>
      </c>
      <c r="N2893" t="str">
        <f t="shared" si="182"/>
        <v>Harris (Security) (0118)</v>
      </c>
      <c r="O2893" t="s">
        <v>48</v>
      </c>
      <c r="P2893" t="str">
        <f t="shared" si="183"/>
        <v>48000_0118</v>
      </c>
      <c r="Q2893" s="180">
        <v>100</v>
      </c>
    </row>
    <row r="2894" spans="1:17">
      <c r="A2894" t="str">
        <f t="shared" si="180"/>
        <v>SSU_0119</v>
      </c>
      <c r="B2894" t="str">
        <f t="shared" si="181"/>
        <v>SSU_CAMILLA HUBERT DRM</v>
      </c>
      <c r="C2894" t="s">
        <v>453</v>
      </c>
      <c r="D2894" s="180" t="s">
        <v>32</v>
      </c>
      <c r="E2894" t="s">
        <v>771</v>
      </c>
      <c r="F2894" t="s">
        <v>5773</v>
      </c>
      <c r="G2894" s="180">
        <v>18837</v>
      </c>
      <c r="H2894">
        <v>1937</v>
      </c>
      <c r="I2894">
        <v>2011</v>
      </c>
      <c r="J2894" s="1334" t="s">
        <v>486</v>
      </c>
      <c r="K2894" s="1335" t="s">
        <v>481</v>
      </c>
      <c r="L2894" s="180">
        <v>0</v>
      </c>
      <c r="M2894" t="s">
        <v>68</v>
      </c>
      <c r="N2894" t="str">
        <f t="shared" si="182"/>
        <v>CAMILLA HUBERT DRM (0119)</v>
      </c>
      <c r="O2894" t="s">
        <v>48</v>
      </c>
      <c r="P2894" t="str">
        <f t="shared" si="183"/>
        <v>48000_0119</v>
      </c>
      <c r="Q2894" s="180">
        <v>100</v>
      </c>
    </row>
    <row r="2895" spans="1:17">
      <c r="A2895" t="str">
        <f t="shared" si="180"/>
        <v>SSU_0121</v>
      </c>
      <c r="B2895" t="str">
        <f t="shared" si="181"/>
        <v>SSU_Marine Biology</v>
      </c>
      <c r="C2895" t="s">
        <v>453</v>
      </c>
      <c r="D2895" s="180" t="s">
        <v>32</v>
      </c>
      <c r="E2895" t="s">
        <v>1432</v>
      </c>
      <c r="F2895" t="s">
        <v>5802</v>
      </c>
      <c r="G2895" s="180">
        <v>6301</v>
      </c>
      <c r="H2895">
        <v>1987</v>
      </c>
      <c r="J2895" s="1334" t="s">
        <v>475</v>
      </c>
      <c r="K2895" s="1335" t="s">
        <v>475</v>
      </c>
      <c r="L2895" s="180">
        <v>100</v>
      </c>
      <c r="M2895" t="s">
        <v>68</v>
      </c>
      <c r="N2895" t="str">
        <f t="shared" si="182"/>
        <v>Marine Biology (0121)</v>
      </c>
      <c r="O2895" t="s">
        <v>48</v>
      </c>
      <c r="P2895" t="str">
        <f t="shared" si="183"/>
        <v>48000_0121</v>
      </c>
      <c r="Q2895" s="180">
        <v>100</v>
      </c>
    </row>
    <row r="2896" spans="1:17">
      <c r="A2896" t="str">
        <f t="shared" si="180"/>
        <v>SSU_0122</v>
      </c>
      <c r="B2896" t="str">
        <f t="shared" si="181"/>
        <v>SSU_BOWEN SMITH DORM</v>
      </c>
      <c r="C2896" t="s">
        <v>453</v>
      </c>
      <c r="D2896" s="180" t="s">
        <v>32</v>
      </c>
      <c r="E2896" t="s">
        <v>4135</v>
      </c>
      <c r="F2896" t="s">
        <v>5783</v>
      </c>
      <c r="G2896" s="180">
        <v>43100</v>
      </c>
      <c r="H2896">
        <v>1970</v>
      </c>
      <c r="J2896" s="1334" t="s">
        <v>475</v>
      </c>
      <c r="K2896" s="1335" t="s">
        <v>475</v>
      </c>
      <c r="L2896" s="180">
        <v>0</v>
      </c>
      <c r="M2896" t="s">
        <v>68</v>
      </c>
      <c r="N2896" t="str">
        <f t="shared" si="182"/>
        <v>BOWEN SMITH DORM (0122)</v>
      </c>
      <c r="O2896" t="s">
        <v>48</v>
      </c>
      <c r="P2896" t="str">
        <f t="shared" si="183"/>
        <v>48000_0122</v>
      </c>
      <c r="Q2896" s="180">
        <v>100</v>
      </c>
    </row>
    <row r="2897" spans="1:17">
      <c r="A2897" t="str">
        <f t="shared" si="180"/>
        <v>SSU_0125</v>
      </c>
      <c r="B2897" t="str">
        <f t="shared" si="181"/>
        <v>SSU_Harris McDew Infirmary</v>
      </c>
      <c r="C2897" t="s">
        <v>453</v>
      </c>
      <c r="D2897" s="180" t="s">
        <v>32</v>
      </c>
      <c r="E2897" t="s">
        <v>687</v>
      </c>
      <c r="F2897" t="s">
        <v>5780</v>
      </c>
      <c r="G2897" s="180">
        <v>6794</v>
      </c>
      <c r="H2897">
        <v>1982</v>
      </c>
      <c r="J2897" s="1334" t="s">
        <v>475</v>
      </c>
      <c r="K2897" s="1335" t="s">
        <v>475</v>
      </c>
      <c r="L2897" s="180">
        <v>0</v>
      </c>
      <c r="M2897" t="s">
        <v>68</v>
      </c>
      <c r="N2897" t="str">
        <f t="shared" si="182"/>
        <v>Harris McDew Infirmary (0125)</v>
      </c>
      <c r="O2897" t="s">
        <v>48</v>
      </c>
      <c r="P2897" t="str">
        <f t="shared" si="183"/>
        <v>48000_0125</v>
      </c>
      <c r="Q2897" s="180">
        <v>100</v>
      </c>
    </row>
    <row r="2898" spans="1:17">
      <c r="A2898" t="str">
        <f t="shared" si="180"/>
        <v>SSU_0126</v>
      </c>
      <c r="B2898" t="str">
        <f t="shared" si="181"/>
        <v>SSU_Payne Hall</v>
      </c>
      <c r="C2898" t="s">
        <v>453</v>
      </c>
      <c r="D2898" s="180" t="s">
        <v>32</v>
      </c>
      <c r="E2898" t="s">
        <v>556</v>
      </c>
      <c r="F2898" t="s">
        <v>1408</v>
      </c>
      <c r="G2898" s="180">
        <v>26197</v>
      </c>
      <c r="H2898">
        <v>1965</v>
      </c>
      <c r="I2898">
        <v>1998</v>
      </c>
      <c r="J2898" s="1334" t="s">
        <v>475</v>
      </c>
      <c r="K2898" s="1335" t="s">
        <v>475</v>
      </c>
      <c r="L2898" s="180">
        <v>100</v>
      </c>
      <c r="M2898" t="s">
        <v>68</v>
      </c>
      <c r="N2898" t="str">
        <f t="shared" si="182"/>
        <v>Payne Hall (0126)</v>
      </c>
      <c r="O2898" t="s">
        <v>48</v>
      </c>
      <c r="P2898" t="str">
        <f t="shared" si="183"/>
        <v>48000_0126</v>
      </c>
      <c r="Q2898" s="180">
        <v>100</v>
      </c>
    </row>
    <row r="2899" spans="1:17">
      <c r="A2899" t="str">
        <f t="shared" si="180"/>
        <v>SSU_0127</v>
      </c>
      <c r="B2899" t="str">
        <f t="shared" si="181"/>
        <v>SSU_Hubert Tech Bldg</v>
      </c>
      <c r="C2899" t="s">
        <v>453</v>
      </c>
      <c r="D2899" s="180" t="s">
        <v>32</v>
      </c>
      <c r="E2899" t="s">
        <v>5790</v>
      </c>
      <c r="F2899" t="s">
        <v>5791</v>
      </c>
      <c r="G2899" s="180">
        <v>86292</v>
      </c>
      <c r="H2899">
        <v>1960</v>
      </c>
      <c r="J2899" s="1334" t="s">
        <v>475</v>
      </c>
      <c r="K2899" s="1335" t="s">
        <v>475</v>
      </c>
      <c r="L2899" s="180">
        <v>100</v>
      </c>
      <c r="M2899" t="s">
        <v>68</v>
      </c>
      <c r="N2899" t="str">
        <f t="shared" si="182"/>
        <v>Hubert Tech Bldg (0127)</v>
      </c>
      <c r="O2899" t="s">
        <v>48</v>
      </c>
      <c r="P2899" t="str">
        <f t="shared" si="183"/>
        <v>48000_0127</v>
      </c>
      <c r="Q2899" s="180">
        <v>100</v>
      </c>
    </row>
    <row r="2900" spans="1:17">
      <c r="A2900" t="str">
        <f t="shared" si="180"/>
        <v>SSU_0128</v>
      </c>
      <c r="B2900" t="str">
        <f t="shared" si="181"/>
        <v>SSU_BOSTIC HALL DORM</v>
      </c>
      <c r="C2900" t="s">
        <v>453</v>
      </c>
      <c r="D2900" s="180" t="s">
        <v>32</v>
      </c>
      <c r="E2900" t="s">
        <v>5800</v>
      </c>
      <c r="F2900" t="s">
        <v>5801</v>
      </c>
      <c r="G2900" s="180">
        <v>39224</v>
      </c>
      <c r="H2900">
        <v>1972</v>
      </c>
      <c r="J2900" s="1334" t="s">
        <v>475</v>
      </c>
      <c r="K2900" s="1335" t="s">
        <v>475</v>
      </c>
      <c r="L2900" s="180">
        <v>0</v>
      </c>
      <c r="M2900" t="s">
        <v>68</v>
      </c>
      <c r="N2900" t="str">
        <f t="shared" si="182"/>
        <v>BOSTIC HALL DORM (0128)</v>
      </c>
      <c r="O2900" t="s">
        <v>48</v>
      </c>
      <c r="P2900" t="str">
        <f t="shared" si="183"/>
        <v>48000_0128</v>
      </c>
      <c r="Q2900" s="180">
        <v>100</v>
      </c>
    </row>
    <row r="2901" spans="1:17">
      <c r="A2901" t="str">
        <f t="shared" si="180"/>
        <v>SSU_0129</v>
      </c>
      <c r="B2901" t="str">
        <f t="shared" si="181"/>
        <v>SSU_Kennedy Fine Arts</v>
      </c>
      <c r="C2901" t="s">
        <v>453</v>
      </c>
      <c r="D2901" s="180" t="s">
        <v>32</v>
      </c>
      <c r="E2901" t="s">
        <v>823</v>
      </c>
      <c r="F2901" t="s">
        <v>5785</v>
      </c>
      <c r="G2901" s="180">
        <v>27048</v>
      </c>
      <c r="H2901">
        <v>1966</v>
      </c>
      <c r="J2901" s="1334" t="s">
        <v>475</v>
      </c>
      <c r="K2901" s="1335" t="s">
        <v>475</v>
      </c>
      <c r="L2901" s="180">
        <v>100</v>
      </c>
      <c r="M2901" t="s">
        <v>68</v>
      </c>
      <c r="N2901" t="str">
        <f t="shared" si="182"/>
        <v>Kennedy Fine Arts (0129)</v>
      </c>
      <c r="O2901" t="s">
        <v>48</v>
      </c>
      <c r="P2901" t="str">
        <f t="shared" si="183"/>
        <v>48000_0129</v>
      </c>
      <c r="Q2901" s="180">
        <v>100</v>
      </c>
    </row>
    <row r="2902" spans="1:17">
      <c r="A2902" t="str">
        <f t="shared" si="180"/>
        <v>SSU_0132</v>
      </c>
      <c r="B2902" t="str">
        <f t="shared" si="181"/>
        <v>SSU_Evers Physical Plant WHS</v>
      </c>
      <c r="C2902" t="s">
        <v>453</v>
      </c>
      <c r="D2902" s="180" t="s">
        <v>32</v>
      </c>
      <c r="E2902" t="s">
        <v>563</v>
      </c>
      <c r="F2902" t="s">
        <v>5789</v>
      </c>
      <c r="G2902" s="180">
        <v>12729</v>
      </c>
      <c r="H2902">
        <v>1971</v>
      </c>
      <c r="J2902" s="1334" t="s">
        <v>475</v>
      </c>
      <c r="K2902" s="1335" t="s">
        <v>475</v>
      </c>
      <c r="L2902" s="180">
        <v>100</v>
      </c>
      <c r="M2902" t="s">
        <v>68</v>
      </c>
      <c r="N2902" t="str">
        <f t="shared" si="182"/>
        <v>Evers Physical Plant WHS (0132)</v>
      </c>
      <c r="O2902" t="s">
        <v>48</v>
      </c>
      <c r="P2902" t="str">
        <f t="shared" si="183"/>
        <v>48000_0132</v>
      </c>
      <c r="Q2902" s="180">
        <v>100</v>
      </c>
    </row>
    <row r="2903" spans="1:17">
      <c r="A2903" t="str">
        <f t="shared" si="180"/>
        <v>SSU_0134</v>
      </c>
      <c r="B2903" t="str">
        <f t="shared" si="181"/>
        <v>SSU_Howard Jordan</v>
      </c>
      <c r="C2903" t="s">
        <v>453</v>
      </c>
      <c r="D2903" s="180" t="s">
        <v>32</v>
      </c>
      <c r="E2903" t="s">
        <v>654</v>
      </c>
      <c r="F2903" t="s">
        <v>5806</v>
      </c>
      <c r="G2903" s="180">
        <v>39972</v>
      </c>
      <c r="H2903">
        <v>1987</v>
      </c>
      <c r="J2903" s="1334" t="s">
        <v>475</v>
      </c>
      <c r="K2903" s="1335" t="s">
        <v>475</v>
      </c>
      <c r="L2903" s="180">
        <v>100</v>
      </c>
      <c r="M2903" t="s">
        <v>68</v>
      </c>
      <c r="N2903" t="str">
        <f t="shared" si="182"/>
        <v>Howard Jordan (0134)</v>
      </c>
      <c r="O2903" t="s">
        <v>48</v>
      </c>
      <c r="P2903" t="str">
        <f t="shared" si="183"/>
        <v>48000_0134</v>
      </c>
      <c r="Q2903" s="180">
        <v>100</v>
      </c>
    </row>
    <row r="2904" spans="1:17">
      <c r="A2904" t="str">
        <f t="shared" si="180"/>
        <v>SSU_0135</v>
      </c>
      <c r="B2904" t="str">
        <f t="shared" si="181"/>
        <v>SSU_Library</v>
      </c>
      <c r="C2904" t="s">
        <v>453</v>
      </c>
      <c r="D2904" s="180" t="s">
        <v>32</v>
      </c>
      <c r="E2904" t="s">
        <v>874</v>
      </c>
      <c r="F2904" t="s">
        <v>4597</v>
      </c>
      <c r="G2904" s="180">
        <v>59820</v>
      </c>
      <c r="H2904">
        <v>1976</v>
      </c>
      <c r="J2904" s="1334" t="s">
        <v>475</v>
      </c>
      <c r="K2904" s="1335" t="s">
        <v>475</v>
      </c>
      <c r="L2904" s="180">
        <v>100</v>
      </c>
      <c r="M2904" t="s">
        <v>68</v>
      </c>
      <c r="N2904" t="str">
        <f t="shared" si="182"/>
        <v>Library (0135)</v>
      </c>
      <c r="O2904" t="s">
        <v>48</v>
      </c>
      <c r="P2904" t="str">
        <f t="shared" si="183"/>
        <v>48000_0135</v>
      </c>
      <c r="Q2904" s="180">
        <v>100</v>
      </c>
    </row>
    <row r="2905" spans="1:17">
      <c r="A2905" t="str">
        <f t="shared" si="180"/>
        <v>SSU_0136</v>
      </c>
      <c r="B2905" t="str">
        <f t="shared" si="181"/>
        <v>SSU_Whiting Hall</v>
      </c>
      <c r="C2905" t="s">
        <v>453</v>
      </c>
      <c r="D2905" s="180" t="s">
        <v>32</v>
      </c>
      <c r="E2905" t="s">
        <v>851</v>
      </c>
      <c r="F2905" t="s">
        <v>5811</v>
      </c>
      <c r="G2905" s="180">
        <v>38857</v>
      </c>
      <c r="H2905">
        <v>1976</v>
      </c>
      <c r="J2905" s="1334" t="s">
        <v>475</v>
      </c>
      <c r="K2905" s="1335" t="s">
        <v>475</v>
      </c>
      <c r="L2905" s="180">
        <v>100</v>
      </c>
      <c r="M2905" t="s">
        <v>68</v>
      </c>
      <c r="N2905" t="str">
        <f t="shared" si="182"/>
        <v>Whiting Hall (0136)</v>
      </c>
      <c r="O2905" t="s">
        <v>48</v>
      </c>
      <c r="P2905" t="str">
        <f t="shared" si="183"/>
        <v>48000_0136</v>
      </c>
      <c r="Q2905" s="180">
        <v>100</v>
      </c>
    </row>
    <row r="2906" spans="1:17">
      <c r="A2906" t="str">
        <f t="shared" si="180"/>
        <v>SSU_0137</v>
      </c>
      <c r="B2906" t="str">
        <f t="shared" si="181"/>
        <v>SSU_Drew Griffith</v>
      </c>
      <c r="C2906" t="s">
        <v>453</v>
      </c>
      <c r="D2906" s="180" t="s">
        <v>32</v>
      </c>
      <c r="E2906" t="s">
        <v>813</v>
      </c>
      <c r="F2906" t="s">
        <v>5815</v>
      </c>
      <c r="G2906" s="180">
        <v>50926</v>
      </c>
      <c r="H2906">
        <v>1970</v>
      </c>
      <c r="J2906" s="1334" t="s">
        <v>520</v>
      </c>
      <c r="K2906" s="1335" t="s">
        <v>475</v>
      </c>
      <c r="L2906" s="180">
        <v>100</v>
      </c>
      <c r="M2906" t="s">
        <v>68</v>
      </c>
      <c r="N2906" t="str">
        <f t="shared" si="182"/>
        <v>Drew Griffith (0137)</v>
      </c>
      <c r="O2906" t="s">
        <v>48</v>
      </c>
      <c r="P2906" t="str">
        <f t="shared" si="183"/>
        <v>48000_0137</v>
      </c>
      <c r="Q2906" s="180">
        <v>0</v>
      </c>
    </row>
    <row r="2907" spans="1:17">
      <c r="A2907" t="str">
        <f t="shared" si="180"/>
        <v>SSU_0140</v>
      </c>
      <c r="B2907" t="str">
        <f t="shared" si="181"/>
        <v>SSU_NROTC Unit</v>
      </c>
      <c r="C2907" t="s">
        <v>453</v>
      </c>
      <c r="D2907" s="180" t="s">
        <v>32</v>
      </c>
      <c r="E2907" t="s">
        <v>700</v>
      </c>
      <c r="F2907" t="s">
        <v>5807</v>
      </c>
      <c r="G2907" s="180">
        <v>13237</v>
      </c>
      <c r="H2907">
        <v>1976</v>
      </c>
      <c r="J2907" s="1334" t="s">
        <v>475</v>
      </c>
      <c r="K2907" s="1335" t="s">
        <v>475</v>
      </c>
      <c r="L2907" s="180">
        <v>100</v>
      </c>
      <c r="M2907" t="s">
        <v>68</v>
      </c>
      <c r="N2907" t="str">
        <f t="shared" si="182"/>
        <v>NROTC Unit (0140)</v>
      </c>
      <c r="O2907" t="s">
        <v>48</v>
      </c>
      <c r="P2907" t="str">
        <f t="shared" si="183"/>
        <v>48000_0140</v>
      </c>
      <c r="Q2907" s="180">
        <v>0</v>
      </c>
    </row>
    <row r="2908" spans="1:17">
      <c r="A2908" t="str">
        <f t="shared" si="180"/>
        <v>SSU_0141</v>
      </c>
      <c r="B2908" t="str">
        <f t="shared" si="181"/>
        <v>SSU_Wright Stadium</v>
      </c>
      <c r="C2908" t="s">
        <v>453</v>
      </c>
      <c r="D2908" s="180" t="s">
        <v>32</v>
      </c>
      <c r="E2908" t="s">
        <v>613</v>
      </c>
      <c r="F2908" t="s">
        <v>5798</v>
      </c>
      <c r="G2908" s="180">
        <v>14393</v>
      </c>
      <c r="H2908">
        <v>1968</v>
      </c>
      <c r="J2908" s="1334" t="s">
        <v>475</v>
      </c>
      <c r="K2908" s="1335" t="s">
        <v>475</v>
      </c>
      <c r="L2908" s="180">
        <v>0</v>
      </c>
      <c r="M2908" t="s">
        <v>68</v>
      </c>
      <c r="N2908" t="str">
        <f t="shared" si="182"/>
        <v>Wright Stadium (0141)</v>
      </c>
      <c r="O2908" t="s">
        <v>48</v>
      </c>
      <c r="P2908" t="str">
        <f t="shared" si="183"/>
        <v>48000_0141</v>
      </c>
      <c r="Q2908" s="180">
        <v>0</v>
      </c>
    </row>
    <row r="2909" spans="1:17">
      <c r="A2909" t="str">
        <f t="shared" si="180"/>
        <v>SSU_0142</v>
      </c>
      <c r="B2909" t="str">
        <f t="shared" si="181"/>
        <v>SSU_King Frazier Annex</v>
      </c>
      <c r="C2909" t="s">
        <v>453</v>
      </c>
      <c r="D2909" s="180" t="s">
        <v>32</v>
      </c>
      <c r="E2909" t="s">
        <v>615</v>
      </c>
      <c r="F2909" t="s">
        <v>5797</v>
      </c>
      <c r="G2909" s="180">
        <v>30646</v>
      </c>
      <c r="H2909">
        <v>1991</v>
      </c>
      <c r="J2909" s="1334" t="s">
        <v>475</v>
      </c>
      <c r="K2909" s="1335" t="s">
        <v>475</v>
      </c>
      <c r="L2909" s="180">
        <v>59</v>
      </c>
      <c r="M2909" t="s">
        <v>68</v>
      </c>
      <c r="N2909" t="str">
        <f t="shared" si="182"/>
        <v>King Frazier Annex (0142)</v>
      </c>
      <c r="O2909" t="s">
        <v>48</v>
      </c>
      <c r="P2909" t="str">
        <f t="shared" si="183"/>
        <v>48000_0142</v>
      </c>
      <c r="Q2909" s="180">
        <v>0</v>
      </c>
    </row>
    <row r="2910" spans="1:17">
      <c r="A2910" t="str">
        <f t="shared" si="180"/>
        <v>SSU_0146</v>
      </c>
      <c r="B2910" t="str">
        <f t="shared" si="181"/>
        <v>SSU_Tiger Arena</v>
      </c>
      <c r="C2910" t="s">
        <v>453</v>
      </c>
      <c r="D2910" s="180" t="s">
        <v>32</v>
      </c>
      <c r="E2910" t="s">
        <v>918</v>
      </c>
      <c r="F2910" t="s">
        <v>5813</v>
      </c>
      <c r="G2910" s="180">
        <v>84351</v>
      </c>
      <c r="H2910">
        <v>1998</v>
      </c>
      <c r="J2910" s="1334" t="s">
        <v>475</v>
      </c>
      <c r="K2910" s="1335" t="s">
        <v>920</v>
      </c>
      <c r="L2910" s="180">
        <v>98</v>
      </c>
      <c r="M2910" t="s">
        <v>68</v>
      </c>
      <c r="N2910" t="str">
        <f t="shared" si="182"/>
        <v>Tiger Arena (0146)</v>
      </c>
      <c r="O2910" t="s">
        <v>48</v>
      </c>
      <c r="P2910" t="str">
        <f t="shared" si="183"/>
        <v>48000_0146</v>
      </c>
      <c r="Q2910" s="180">
        <v>0</v>
      </c>
    </row>
    <row r="2911" spans="1:17">
      <c r="A2911" t="str">
        <f t="shared" si="180"/>
        <v>SSU_0147</v>
      </c>
      <c r="B2911" t="str">
        <f t="shared" si="181"/>
        <v>SSU_UNIVERSITY VILLAGE</v>
      </c>
      <c r="C2911" t="s">
        <v>453</v>
      </c>
      <c r="D2911" s="180" t="s">
        <v>32</v>
      </c>
      <c r="E2911" t="s">
        <v>570</v>
      </c>
      <c r="F2911" t="s">
        <v>5776</v>
      </c>
      <c r="G2911" s="180">
        <v>257902</v>
      </c>
      <c r="H2911">
        <v>2000</v>
      </c>
      <c r="J2911" s="1334" t="s">
        <v>486</v>
      </c>
      <c r="K2911" s="1335" t="s">
        <v>475</v>
      </c>
      <c r="L2911" s="180">
        <v>0</v>
      </c>
      <c r="M2911" t="s">
        <v>68</v>
      </c>
      <c r="N2911" t="str">
        <f t="shared" si="182"/>
        <v>UNIVERSITY VILLAGE (0147)</v>
      </c>
      <c r="O2911" t="s">
        <v>48</v>
      </c>
      <c r="P2911" t="str">
        <f t="shared" si="183"/>
        <v>48000_0147</v>
      </c>
      <c r="Q2911" s="180">
        <v>0</v>
      </c>
    </row>
    <row r="2912" spans="1:17">
      <c r="A2912" t="str">
        <f t="shared" si="180"/>
        <v>SSU_0148</v>
      </c>
      <c r="B2912" t="str">
        <f t="shared" si="181"/>
        <v>SSU_Coastal Ga Ctr Downtown Savann</v>
      </c>
      <c r="C2912" t="s">
        <v>453</v>
      </c>
      <c r="D2912" s="180" t="s">
        <v>32</v>
      </c>
      <c r="E2912" t="s">
        <v>896</v>
      </c>
      <c r="F2912" t="s">
        <v>5803</v>
      </c>
      <c r="G2912" s="180">
        <v>52433</v>
      </c>
      <c r="H2912">
        <v>2000</v>
      </c>
      <c r="J2912" s="1334" t="s">
        <v>520</v>
      </c>
      <c r="K2912" s="1335" t="s">
        <v>920</v>
      </c>
      <c r="L2912" s="180">
        <v>100</v>
      </c>
      <c r="M2912" t="s">
        <v>6870</v>
      </c>
      <c r="N2912" t="str">
        <f t="shared" si="182"/>
        <v>Coastal Ga Ctr Downtown Savann (0148)</v>
      </c>
      <c r="O2912" t="s">
        <v>48</v>
      </c>
      <c r="P2912" t="str">
        <f t="shared" si="183"/>
        <v>48000_0148</v>
      </c>
      <c r="Q2912" s="180">
        <v>100</v>
      </c>
    </row>
    <row r="2913" spans="1:17">
      <c r="A2913" t="str">
        <f t="shared" si="180"/>
        <v>SSU_0149</v>
      </c>
      <c r="B2913" t="str">
        <f t="shared" si="181"/>
        <v>SSU_FRESHMAN LIVING LEARNING CNTR</v>
      </c>
      <c r="C2913" t="s">
        <v>453</v>
      </c>
      <c r="D2913" s="180" t="s">
        <v>32</v>
      </c>
      <c r="E2913" t="s">
        <v>888</v>
      </c>
      <c r="F2913" t="s">
        <v>5804</v>
      </c>
      <c r="G2913" s="180">
        <v>114406</v>
      </c>
      <c r="H2913">
        <v>2003</v>
      </c>
      <c r="J2913" s="1334" t="s">
        <v>520</v>
      </c>
      <c r="K2913" s="1335" t="s">
        <v>920</v>
      </c>
      <c r="L2913" s="180">
        <v>0</v>
      </c>
      <c r="M2913" t="s">
        <v>68</v>
      </c>
      <c r="N2913" t="str">
        <f t="shared" si="182"/>
        <v>FRESHMAN LIVING LEARNING CNTR (0149)</v>
      </c>
      <c r="O2913" t="s">
        <v>48</v>
      </c>
      <c r="P2913" t="str">
        <f t="shared" si="183"/>
        <v>48000_0149</v>
      </c>
      <c r="Q2913" s="180">
        <v>0</v>
      </c>
    </row>
    <row r="2914" spans="1:17">
      <c r="A2914" t="str">
        <f t="shared" si="180"/>
        <v>SSU_0151</v>
      </c>
      <c r="B2914" t="str">
        <f t="shared" si="181"/>
        <v>SSU_Evers Physical Plant Addition</v>
      </c>
      <c r="C2914" t="s">
        <v>453</v>
      </c>
      <c r="D2914" s="180" t="s">
        <v>32</v>
      </c>
      <c r="E2914" t="s">
        <v>606</v>
      </c>
      <c r="F2914" t="s">
        <v>5814</v>
      </c>
      <c r="G2914" s="180">
        <v>5335</v>
      </c>
      <c r="H2914">
        <v>1994</v>
      </c>
      <c r="J2914" s="1334" t="s">
        <v>475</v>
      </c>
      <c r="K2914" s="1335" t="s">
        <v>475</v>
      </c>
      <c r="L2914" s="180">
        <v>100</v>
      </c>
      <c r="M2914" t="s">
        <v>68</v>
      </c>
      <c r="N2914" t="str">
        <f t="shared" si="182"/>
        <v>Evers Physical Plant Addition (0151)</v>
      </c>
      <c r="O2914" t="s">
        <v>48</v>
      </c>
      <c r="P2914" t="str">
        <f t="shared" si="183"/>
        <v>48000_0151</v>
      </c>
      <c r="Q2914" s="180">
        <v>0</v>
      </c>
    </row>
    <row r="2915" spans="1:17">
      <c r="A2915" t="str">
        <f t="shared" si="180"/>
        <v>SSU_0152</v>
      </c>
      <c r="B2915" t="str">
        <f t="shared" si="181"/>
        <v>SSU_Drew Griffith Addition</v>
      </c>
      <c r="C2915" t="s">
        <v>453</v>
      </c>
      <c r="D2915" s="180" t="s">
        <v>32</v>
      </c>
      <c r="E2915" t="s">
        <v>660</v>
      </c>
      <c r="F2915" t="s">
        <v>5782</v>
      </c>
      <c r="G2915" s="180">
        <v>20975</v>
      </c>
      <c r="H2915">
        <v>2001</v>
      </c>
      <c r="J2915" s="1334" t="s">
        <v>475</v>
      </c>
      <c r="K2915" s="1335" t="s">
        <v>475</v>
      </c>
      <c r="L2915" s="180">
        <v>100</v>
      </c>
      <c r="M2915" t="s">
        <v>68</v>
      </c>
      <c r="N2915" t="str">
        <f t="shared" si="182"/>
        <v>Drew Griffith Addition (0152)</v>
      </c>
      <c r="O2915" t="s">
        <v>48</v>
      </c>
      <c r="P2915" t="str">
        <f t="shared" si="183"/>
        <v>48000_0152</v>
      </c>
      <c r="Q2915" s="180">
        <v>0</v>
      </c>
    </row>
    <row r="2916" spans="1:17">
      <c r="A2916" t="str">
        <f t="shared" si="180"/>
        <v>SSU_0153</v>
      </c>
      <c r="B2916" t="str">
        <f t="shared" si="181"/>
        <v>SSU_University Commons</v>
      </c>
      <c r="C2916" t="s">
        <v>453</v>
      </c>
      <c r="D2916" s="180" t="s">
        <v>32</v>
      </c>
      <c r="E2916" t="s">
        <v>797</v>
      </c>
      <c r="F2916" t="s">
        <v>5777</v>
      </c>
      <c r="G2916" s="180">
        <v>288310</v>
      </c>
      <c r="H2916">
        <v>1985</v>
      </c>
      <c r="J2916" s="1334" t="s">
        <v>486</v>
      </c>
      <c r="K2916" s="1335" t="s">
        <v>475</v>
      </c>
      <c r="L2916" s="180">
        <v>0</v>
      </c>
      <c r="M2916" t="s">
        <v>68</v>
      </c>
      <c r="N2916" t="str">
        <f t="shared" si="182"/>
        <v>University Commons (0153)</v>
      </c>
      <c r="O2916" t="s">
        <v>48</v>
      </c>
      <c r="P2916" t="str">
        <f t="shared" si="183"/>
        <v>48000_0153</v>
      </c>
      <c r="Q2916" s="180">
        <v>0</v>
      </c>
    </row>
    <row r="2917" spans="1:17">
      <c r="A2917" t="str">
        <f t="shared" si="180"/>
        <v>SSU_0154</v>
      </c>
      <c r="B2917" t="str">
        <f t="shared" si="181"/>
        <v>SSU_Social Science Academic Bldg</v>
      </c>
      <c r="C2917" t="s">
        <v>453</v>
      </c>
      <c r="D2917" s="180" t="s">
        <v>32</v>
      </c>
      <c r="E2917" t="s">
        <v>5705</v>
      </c>
      <c r="F2917" t="s">
        <v>5808</v>
      </c>
      <c r="G2917" s="180">
        <v>54516</v>
      </c>
      <c r="H2917">
        <v>2007</v>
      </c>
      <c r="J2917" s="1334" t="s">
        <v>520</v>
      </c>
      <c r="K2917" s="1335" t="s">
        <v>920</v>
      </c>
      <c r="L2917" s="180">
        <v>100</v>
      </c>
      <c r="M2917" t="s">
        <v>68</v>
      </c>
      <c r="N2917" t="str">
        <f t="shared" si="182"/>
        <v>Social Science Academic Bldg (0154)</v>
      </c>
      <c r="O2917" t="s">
        <v>48</v>
      </c>
      <c r="P2917" t="str">
        <f t="shared" si="183"/>
        <v>48000_0154</v>
      </c>
      <c r="Q2917" s="180">
        <v>0</v>
      </c>
    </row>
    <row r="2918" spans="1:17">
      <c r="A2918" t="str">
        <f t="shared" si="180"/>
        <v>SSU_0155</v>
      </c>
      <c r="B2918" t="str">
        <f t="shared" si="181"/>
        <v>SSU_Diner</v>
      </c>
      <c r="C2918" t="s">
        <v>453</v>
      </c>
      <c r="D2918" s="180" t="s">
        <v>32</v>
      </c>
      <c r="E2918" t="s">
        <v>476</v>
      </c>
      <c r="F2918" t="s">
        <v>5787</v>
      </c>
      <c r="G2918" s="180">
        <v>1604</v>
      </c>
      <c r="H2918">
        <v>2010</v>
      </c>
      <c r="J2918" s="1334" t="s">
        <v>475</v>
      </c>
      <c r="K2918" s="1335" t="s">
        <v>475</v>
      </c>
      <c r="L2918" s="180">
        <v>0</v>
      </c>
      <c r="M2918" t="s">
        <v>68</v>
      </c>
      <c r="N2918" t="str">
        <f t="shared" si="182"/>
        <v>Diner (0155)</v>
      </c>
      <c r="O2918" t="s">
        <v>48</v>
      </c>
      <c r="P2918" t="str">
        <f t="shared" si="183"/>
        <v>48000_0155</v>
      </c>
      <c r="Q2918" s="180">
        <v>100</v>
      </c>
    </row>
    <row r="2919" spans="1:17">
      <c r="A2919" t="str">
        <f t="shared" si="180"/>
        <v>SSU_0156</v>
      </c>
      <c r="B2919" t="str">
        <f t="shared" si="181"/>
        <v>SSU_Guard Hut (West)</v>
      </c>
      <c r="C2919" t="s">
        <v>453</v>
      </c>
      <c r="D2919" s="180" t="s">
        <v>32</v>
      </c>
      <c r="E2919" t="s">
        <v>799</v>
      </c>
      <c r="F2919" t="s">
        <v>5795</v>
      </c>
      <c r="G2919" s="180">
        <v>128</v>
      </c>
      <c r="H2919">
        <v>1999</v>
      </c>
      <c r="J2919" s="1334" t="s">
        <v>475</v>
      </c>
      <c r="K2919" s="1335" t="s">
        <v>475</v>
      </c>
      <c r="L2919" s="180">
        <v>100</v>
      </c>
      <c r="M2919" t="s">
        <v>68</v>
      </c>
      <c r="N2919" t="str">
        <f t="shared" si="182"/>
        <v>Guard Hut (West) (0156)</v>
      </c>
      <c r="O2919" t="s">
        <v>48</v>
      </c>
      <c r="P2919" t="str">
        <f t="shared" si="183"/>
        <v>48000_0156</v>
      </c>
      <c r="Q2919" s="180">
        <v>100</v>
      </c>
    </row>
    <row r="2920" spans="1:17">
      <c r="A2920" t="str">
        <f t="shared" si="180"/>
        <v>SSU_0158</v>
      </c>
      <c r="B2920" t="str">
        <f t="shared" si="181"/>
        <v>SSU_Tiger Place</v>
      </c>
      <c r="C2920" t="s">
        <v>453</v>
      </c>
      <c r="D2920" s="180" t="s">
        <v>32</v>
      </c>
      <c r="E2920" t="s">
        <v>580</v>
      </c>
      <c r="F2920" t="s">
        <v>5793</v>
      </c>
      <c r="G2920" s="180">
        <v>33922</v>
      </c>
      <c r="H2920">
        <v>2011</v>
      </c>
      <c r="J2920" s="1334" t="s">
        <v>486</v>
      </c>
      <c r="K2920" s="1335" t="s">
        <v>920</v>
      </c>
      <c r="L2920" s="180">
        <v>0</v>
      </c>
      <c r="M2920" t="s">
        <v>68</v>
      </c>
      <c r="N2920" t="str">
        <f t="shared" si="182"/>
        <v>Tiger Place (0158)</v>
      </c>
      <c r="O2920" t="s">
        <v>48</v>
      </c>
      <c r="P2920" t="str">
        <f t="shared" si="183"/>
        <v>48000_0158</v>
      </c>
      <c r="Q2920" s="180">
        <v>0</v>
      </c>
    </row>
    <row r="2921" spans="1:17">
      <c r="A2921" t="str">
        <f t="shared" si="180"/>
        <v>SSU_0159</v>
      </c>
      <c r="B2921" t="str">
        <f t="shared" si="181"/>
        <v>SSU_Tiger Court</v>
      </c>
      <c r="C2921" t="s">
        <v>453</v>
      </c>
      <c r="D2921" s="180" t="s">
        <v>32</v>
      </c>
      <c r="E2921" t="s">
        <v>859</v>
      </c>
      <c r="F2921" t="s">
        <v>5810</v>
      </c>
      <c r="G2921" s="180">
        <v>65340</v>
      </c>
      <c r="H2921">
        <v>2011</v>
      </c>
      <c r="J2921" s="1334" t="s">
        <v>486</v>
      </c>
      <c r="K2921" s="1335" t="s">
        <v>920</v>
      </c>
      <c r="L2921" s="180">
        <v>0</v>
      </c>
      <c r="M2921" t="s">
        <v>68</v>
      </c>
      <c r="N2921" t="str">
        <f t="shared" si="182"/>
        <v>Tiger Court (0159)</v>
      </c>
      <c r="O2921" t="s">
        <v>48</v>
      </c>
      <c r="P2921" t="str">
        <f t="shared" si="183"/>
        <v>48000_0159</v>
      </c>
      <c r="Q2921" s="180">
        <v>0</v>
      </c>
    </row>
    <row r="2922" spans="1:17">
      <c r="A2922" t="str">
        <f t="shared" si="180"/>
        <v>SSU_0160</v>
      </c>
      <c r="B2922" t="str">
        <f t="shared" si="181"/>
        <v>SSU_New Student Center</v>
      </c>
      <c r="C2922" t="s">
        <v>453</v>
      </c>
      <c r="D2922" s="180" t="s">
        <v>32</v>
      </c>
      <c r="E2922" t="s">
        <v>677</v>
      </c>
      <c r="F2922" t="s">
        <v>5784</v>
      </c>
      <c r="G2922" s="180">
        <v>42950</v>
      </c>
      <c r="H2922">
        <v>2011</v>
      </c>
      <c r="J2922" s="1334" t="s">
        <v>1520</v>
      </c>
      <c r="K2922" s="1335" t="s">
        <v>920</v>
      </c>
      <c r="L2922" s="180">
        <v>0</v>
      </c>
      <c r="M2922" t="s">
        <v>68</v>
      </c>
      <c r="N2922" t="str">
        <f t="shared" si="182"/>
        <v>New Student Center (0160)</v>
      </c>
      <c r="O2922" t="s">
        <v>48</v>
      </c>
      <c r="P2922" t="str">
        <f t="shared" si="183"/>
        <v>48000_0160</v>
      </c>
      <c r="Q2922" s="180">
        <v>0</v>
      </c>
    </row>
    <row r="2923" spans="1:17">
      <c r="A2923" t="str">
        <f t="shared" si="180"/>
        <v>SSU_0162</v>
      </c>
      <c r="B2923" t="str">
        <f t="shared" si="181"/>
        <v>SSU_Athletic Complex</v>
      </c>
      <c r="C2923" t="s">
        <v>453</v>
      </c>
      <c r="D2923" s="180" t="s">
        <v>32</v>
      </c>
      <c r="E2923" t="s">
        <v>543</v>
      </c>
      <c r="F2923" t="s">
        <v>5799</v>
      </c>
      <c r="G2923" s="180">
        <v>30000</v>
      </c>
      <c r="H2923">
        <v>2011</v>
      </c>
      <c r="J2923" s="1334" t="s">
        <v>1520</v>
      </c>
      <c r="K2923" s="1335" t="s">
        <v>475</v>
      </c>
      <c r="L2923" s="180">
        <v>100</v>
      </c>
      <c r="M2923" t="s">
        <v>68</v>
      </c>
      <c r="N2923" t="str">
        <f t="shared" si="182"/>
        <v>Athletic Complex (0162)</v>
      </c>
      <c r="O2923" t="s">
        <v>48</v>
      </c>
      <c r="P2923" t="str">
        <f t="shared" si="183"/>
        <v>48000_0162</v>
      </c>
      <c r="Q2923" s="180">
        <v>0</v>
      </c>
    </row>
    <row r="2924" spans="1:17">
      <c r="A2924" t="str">
        <f t="shared" si="180"/>
        <v>SSU_0164</v>
      </c>
      <c r="B2924" t="str">
        <f t="shared" si="181"/>
        <v>SSU_Richard R Wright ResidenceHall</v>
      </c>
      <c r="C2924" t="s">
        <v>453</v>
      </c>
      <c r="D2924" s="180" t="s">
        <v>32</v>
      </c>
      <c r="E2924" t="s">
        <v>775</v>
      </c>
      <c r="F2924" t="s">
        <v>5786</v>
      </c>
      <c r="G2924" s="180">
        <v>24046</v>
      </c>
      <c r="H2924">
        <v>2011</v>
      </c>
      <c r="J2924" s="1334" t="s">
        <v>486</v>
      </c>
      <c r="K2924" s="1335" t="s">
        <v>920</v>
      </c>
      <c r="L2924" s="180">
        <v>0</v>
      </c>
      <c r="M2924" t="s">
        <v>68</v>
      </c>
      <c r="N2924" t="str">
        <f t="shared" si="182"/>
        <v>Richard R Wright ResidenceHall (0164)</v>
      </c>
      <c r="O2924" t="s">
        <v>48</v>
      </c>
      <c r="P2924" t="str">
        <f t="shared" si="183"/>
        <v>48000_0164</v>
      </c>
      <c r="Q2924" s="180">
        <v>0</v>
      </c>
    </row>
    <row r="2925" spans="1:17">
      <c r="A2925" t="str">
        <f t="shared" si="180"/>
        <v>SSU_0166</v>
      </c>
      <c r="B2925" t="str">
        <f t="shared" si="181"/>
        <v>SSU_Science &amp; Technology</v>
      </c>
      <c r="C2925" t="s">
        <v>453</v>
      </c>
      <c r="D2925" s="180" t="s">
        <v>32</v>
      </c>
      <c r="E2925" t="s">
        <v>734</v>
      </c>
      <c r="F2925" t="s">
        <v>7115</v>
      </c>
      <c r="G2925" s="180">
        <v>29970</v>
      </c>
      <c r="H2925">
        <v>2017</v>
      </c>
      <c r="J2925" s="1334" t="s">
        <v>520</v>
      </c>
      <c r="K2925" s="1335" t="s">
        <v>920</v>
      </c>
      <c r="L2925" s="180">
        <v>100</v>
      </c>
      <c r="M2925" t="s">
        <v>68</v>
      </c>
      <c r="N2925" t="str">
        <f t="shared" si="182"/>
        <v>Science &amp; Technology (0166)</v>
      </c>
      <c r="O2925" t="s">
        <v>48</v>
      </c>
      <c r="P2925" t="str">
        <f t="shared" si="183"/>
        <v>48000_0166</v>
      </c>
      <c r="Q2925" s="180">
        <v>0</v>
      </c>
    </row>
    <row r="2926" spans="1:17">
      <c r="A2926" t="str">
        <f t="shared" si="180"/>
        <v>SSU_0167</v>
      </c>
      <c r="B2926" t="str">
        <f t="shared" si="181"/>
        <v>SSU_Marine Science Center</v>
      </c>
      <c r="C2926" t="s">
        <v>453</v>
      </c>
      <c r="D2926" s="180" t="s">
        <v>32</v>
      </c>
      <c r="E2926" t="s">
        <v>807</v>
      </c>
      <c r="F2926" t="s">
        <v>5794</v>
      </c>
      <c r="G2926" s="180">
        <v>18834</v>
      </c>
      <c r="H2926">
        <v>2017</v>
      </c>
      <c r="J2926" s="1334" t="s">
        <v>520</v>
      </c>
      <c r="K2926" s="1335" t="s">
        <v>920</v>
      </c>
      <c r="L2926" s="180">
        <v>100</v>
      </c>
      <c r="M2926" t="s">
        <v>68</v>
      </c>
      <c r="N2926" t="str">
        <f t="shared" si="182"/>
        <v>Marine Science Center (0167)</v>
      </c>
      <c r="O2926" t="s">
        <v>48</v>
      </c>
      <c r="P2926" t="str">
        <f t="shared" si="183"/>
        <v>48000_0167</v>
      </c>
      <c r="Q2926" s="180">
        <v>0</v>
      </c>
    </row>
    <row r="2927" spans="1:17">
      <c r="A2927" t="str">
        <f t="shared" si="180"/>
        <v>VSU_0001</v>
      </c>
      <c r="B2927" t="str">
        <f t="shared" si="181"/>
        <v>VSU_West Hall</v>
      </c>
      <c r="C2927" t="s">
        <v>454</v>
      </c>
      <c r="D2927" s="180" t="s">
        <v>34</v>
      </c>
      <c r="E2927" t="s">
        <v>4502</v>
      </c>
      <c r="F2927" t="s">
        <v>5861</v>
      </c>
      <c r="G2927" s="180">
        <v>60923</v>
      </c>
      <c r="H2927">
        <v>1917</v>
      </c>
      <c r="I2927">
        <v>1992</v>
      </c>
      <c r="J2927" s="1334" t="s">
        <v>475</v>
      </c>
      <c r="K2927" s="1335" t="s">
        <v>475</v>
      </c>
      <c r="L2927" s="180">
        <v>100</v>
      </c>
      <c r="M2927" t="s">
        <v>68</v>
      </c>
      <c r="N2927" t="str">
        <f t="shared" si="182"/>
        <v>West Hall (0001)</v>
      </c>
      <c r="O2927" t="s">
        <v>50</v>
      </c>
      <c r="P2927" t="str">
        <f t="shared" si="183"/>
        <v>51000_0001</v>
      </c>
      <c r="Q2927" s="180">
        <v>0</v>
      </c>
    </row>
    <row r="2928" spans="1:17">
      <c r="A2928" t="str">
        <f t="shared" si="180"/>
        <v>VSU_0003</v>
      </c>
      <c r="B2928" t="str">
        <f t="shared" si="181"/>
        <v>VSU_Brown Residence Hall</v>
      </c>
      <c r="C2928" t="s">
        <v>454</v>
      </c>
      <c r="D2928" s="180" t="s">
        <v>34</v>
      </c>
      <c r="E2928" t="s">
        <v>524</v>
      </c>
      <c r="F2928" t="s">
        <v>5874</v>
      </c>
      <c r="G2928" s="180">
        <v>36368</v>
      </c>
      <c r="H2928">
        <v>1964</v>
      </c>
      <c r="I2928">
        <v>2004</v>
      </c>
      <c r="J2928" s="1334" t="s">
        <v>475</v>
      </c>
      <c r="K2928" s="1335" t="s">
        <v>475</v>
      </c>
      <c r="L2928" s="180">
        <v>0</v>
      </c>
      <c r="M2928" t="s">
        <v>68</v>
      </c>
      <c r="N2928" t="str">
        <f t="shared" si="182"/>
        <v>Brown Residence Hall (0003)</v>
      </c>
      <c r="O2928" t="s">
        <v>50</v>
      </c>
      <c r="P2928" t="str">
        <f t="shared" si="183"/>
        <v>51000_0003</v>
      </c>
      <c r="Q2928" s="180">
        <v>0</v>
      </c>
    </row>
    <row r="2929" spans="1:17">
      <c r="A2929" t="str">
        <f t="shared" si="180"/>
        <v>VSU_0004</v>
      </c>
      <c r="B2929" t="str">
        <f t="shared" si="181"/>
        <v>VSU_Patterson Residence Hall</v>
      </c>
      <c r="C2929" t="s">
        <v>454</v>
      </c>
      <c r="D2929" s="180" t="s">
        <v>34</v>
      </c>
      <c r="E2929" t="s">
        <v>1059</v>
      </c>
      <c r="F2929" t="s">
        <v>5903</v>
      </c>
      <c r="G2929" s="180">
        <v>59264</v>
      </c>
      <c r="H2929">
        <v>1969</v>
      </c>
      <c r="I2929">
        <v>2006</v>
      </c>
      <c r="J2929" s="1334" t="s">
        <v>486</v>
      </c>
      <c r="K2929" s="1335" t="s">
        <v>475</v>
      </c>
      <c r="L2929" s="180">
        <v>0</v>
      </c>
      <c r="M2929" t="s">
        <v>68</v>
      </c>
      <c r="N2929" t="str">
        <f t="shared" si="182"/>
        <v>Patterson Residence Hall (0004)</v>
      </c>
      <c r="O2929" t="s">
        <v>50</v>
      </c>
      <c r="P2929" t="str">
        <f t="shared" si="183"/>
        <v>51000_0004</v>
      </c>
      <c r="Q2929" s="180">
        <v>0</v>
      </c>
    </row>
    <row r="2930" spans="1:17">
      <c r="A2930" t="str">
        <f t="shared" si="180"/>
        <v>VSU_0005</v>
      </c>
      <c r="B2930" t="str">
        <f t="shared" si="181"/>
        <v>VSU_Lowndes Residence Hall</v>
      </c>
      <c r="C2930" t="s">
        <v>454</v>
      </c>
      <c r="D2930" s="180" t="s">
        <v>34</v>
      </c>
      <c r="E2930" t="s">
        <v>1139</v>
      </c>
      <c r="F2930" t="s">
        <v>5908</v>
      </c>
      <c r="G2930" s="180">
        <v>35145</v>
      </c>
      <c r="H2930">
        <v>1966</v>
      </c>
      <c r="I2930">
        <v>2005</v>
      </c>
      <c r="J2930" s="1334" t="s">
        <v>486</v>
      </c>
      <c r="K2930" s="1335" t="s">
        <v>475</v>
      </c>
      <c r="L2930" s="180">
        <v>0</v>
      </c>
      <c r="M2930" t="s">
        <v>68</v>
      </c>
      <c r="N2930" t="str">
        <f t="shared" si="182"/>
        <v>Lowndes Residence Hall (0005)</v>
      </c>
      <c r="O2930" t="s">
        <v>50</v>
      </c>
      <c r="P2930" t="str">
        <f t="shared" si="183"/>
        <v>51000_0005</v>
      </c>
      <c r="Q2930" s="180">
        <v>0</v>
      </c>
    </row>
    <row r="2931" spans="1:17">
      <c r="A2931" t="str">
        <f t="shared" si="180"/>
        <v>VSU_0006</v>
      </c>
      <c r="B2931" t="str">
        <f t="shared" si="181"/>
        <v>VSU_Odum Library</v>
      </c>
      <c r="C2931" t="s">
        <v>454</v>
      </c>
      <c r="D2931" s="180" t="s">
        <v>34</v>
      </c>
      <c r="E2931" t="s">
        <v>855</v>
      </c>
      <c r="F2931" t="s">
        <v>5819</v>
      </c>
      <c r="G2931" s="180">
        <v>84551</v>
      </c>
      <c r="H2931">
        <v>1970</v>
      </c>
      <c r="J2931" s="1334" t="s">
        <v>475</v>
      </c>
      <c r="K2931" s="1335" t="s">
        <v>475</v>
      </c>
      <c r="L2931" s="180">
        <v>100</v>
      </c>
      <c r="M2931" t="s">
        <v>68</v>
      </c>
      <c r="N2931" t="str">
        <f t="shared" si="182"/>
        <v>Odum Library (0006)</v>
      </c>
      <c r="O2931" t="s">
        <v>50</v>
      </c>
      <c r="P2931" t="str">
        <f t="shared" si="183"/>
        <v>51000_0006</v>
      </c>
      <c r="Q2931" s="180">
        <v>0</v>
      </c>
    </row>
    <row r="2932" spans="1:17">
      <c r="A2932" t="str">
        <f t="shared" si="180"/>
        <v>VSU_0008</v>
      </c>
      <c r="B2932" t="str">
        <f t="shared" si="181"/>
        <v>VSU_Ashley Hall</v>
      </c>
      <c r="C2932" t="s">
        <v>454</v>
      </c>
      <c r="D2932" s="180" t="s">
        <v>34</v>
      </c>
      <c r="E2932" t="s">
        <v>904</v>
      </c>
      <c r="F2932" t="s">
        <v>5868</v>
      </c>
      <c r="G2932" s="180">
        <v>25985</v>
      </c>
      <c r="H2932">
        <v>1921</v>
      </c>
      <c r="I2932">
        <v>2012</v>
      </c>
      <c r="J2932" s="1334" t="s">
        <v>475</v>
      </c>
      <c r="K2932" s="1335" t="s">
        <v>475</v>
      </c>
      <c r="L2932" s="180">
        <v>100</v>
      </c>
      <c r="M2932" t="s">
        <v>68</v>
      </c>
      <c r="N2932" t="str">
        <f t="shared" si="182"/>
        <v>Ashley Hall (0008)</v>
      </c>
      <c r="O2932" t="s">
        <v>50</v>
      </c>
      <c r="P2932" t="str">
        <f t="shared" si="183"/>
        <v>51000_0008</v>
      </c>
      <c r="Q2932" s="180">
        <v>0</v>
      </c>
    </row>
    <row r="2933" spans="1:17">
      <c r="A2933" t="str">
        <f t="shared" si="180"/>
        <v>VSU_0009</v>
      </c>
      <c r="B2933" t="str">
        <f t="shared" si="181"/>
        <v>VSU_Reade Residence Hall</v>
      </c>
      <c r="C2933" t="s">
        <v>454</v>
      </c>
      <c r="D2933" s="180" t="s">
        <v>34</v>
      </c>
      <c r="E2933" t="s">
        <v>502</v>
      </c>
      <c r="F2933" t="s">
        <v>5832</v>
      </c>
      <c r="G2933" s="180">
        <v>21363</v>
      </c>
      <c r="H2933">
        <v>1936</v>
      </c>
      <c r="I2933">
        <v>2009</v>
      </c>
      <c r="J2933" s="1334" t="s">
        <v>486</v>
      </c>
      <c r="K2933" s="1335" t="s">
        <v>475</v>
      </c>
      <c r="L2933" s="180">
        <v>0</v>
      </c>
      <c r="M2933" t="s">
        <v>68</v>
      </c>
      <c r="N2933" t="str">
        <f t="shared" si="182"/>
        <v>Reade Residence Hall (0009)</v>
      </c>
      <c r="O2933" t="s">
        <v>50</v>
      </c>
      <c r="P2933" t="str">
        <f t="shared" si="183"/>
        <v>51000_0009</v>
      </c>
      <c r="Q2933" s="180">
        <v>0</v>
      </c>
    </row>
    <row r="2934" spans="1:17">
      <c r="A2934" t="str">
        <f t="shared" si="180"/>
        <v>VSU_0011</v>
      </c>
      <c r="B2934" t="str">
        <f t="shared" si="181"/>
        <v>VSU_Georgia Residence Hall</v>
      </c>
      <c r="C2934" t="s">
        <v>454</v>
      </c>
      <c r="D2934" s="180" t="s">
        <v>34</v>
      </c>
      <c r="E2934" t="s">
        <v>504</v>
      </c>
      <c r="F2934" t="s">
        <v>5884</v>
      </c>
      <c r="G2934" s="180">
        <v>138254</v>
      </c>
      <c r="H2934">
        <v>2009</v>
      </c>
      <c r="J2934" s="1334" t="s">
        <v>486</v>
      </c>
      <c r="K2934" s="1335" t="s">
        <v>475</v>
      </c>
      <c r="L2934" s="180">
        <v>0</v>
      </c>
      <c r="M2934" t="s">
        <v>68</v>
      </c>
      <c r="N2934" t="str">
        <f t="shared" si="182"/>
        <v>Georgia Residence Hall (0011)</v>
      </c>
      <c r="O2934" t="s">
        <v>50</v>
      </c>
      <c r="P2934" t="str">
        <f t="shared" si="183"/>
        <v>51000_0011</v>
      </c>
      <c r="Q2934" s="180">
        <v>0</v>
      </c>
    </row>
    <row r="2935" spans="1:17">
      <c r="A2935" t="str">
        <f t="shared" si="180"/>
        <v>VSU_0012</v>
      </c>
      <c r="B2935" t="str">
        <f t="shared" si="181"/>
        <v>VSU_Langdale Residence Hall</v>
      </c>
      <c r="C2935" t="s">
        <v>454</v>
      </c>
      <c r="D2935" s="180" t="s">
        <v>34</v>
      </c>
      <c r="E2935" t="s">
        <v>698</v>
      </c>
      <c r="F2935" t="s">
        <v>5848</v>
      </c>
      <c r="G2935" s="180">
        <v>105999</v>
      </c>
      <c r="H2935">
        <v>1969</v>
      </c>
      <c r="I2935">
        <v>1986</v>
      </c>
      <c r="J2935" s="1334" t="s">
        <v>475</v>
      </c>
      <c r="K2935" s="1335" t="s">
        <v>475</v>
      </c>
      <c r="L2935" s="180">
        <v>0</v>
      </c>
      <c r="M2935" t="s">
        <v>68</v>
      </c>
      <c r="N2935" t="str">
        <f t="shared" si="182"/>
        <v>Langdale Residence Hall (0012)</v>
      </c>
      <c r="O2935" t="s">
        <v>50</v>
      </c>
      <c r="P2935" t="str">
        <f t="shared" si="183"/>
        <v>51000_0012</v>
      </c>
      <c r="Q2935" s="180">
        <v>0</v>
      </c>
    </row>
    <row r="2936" spans="1:17">
      <c r="A2936" t="str">
        <f t="shared" si="180"/>
        <v>VSU_0013</v>
      </c>
      <c r="B2936" t="str">
        <f t="shared" si="181"/>
        <v>VSU_The Farber Building</v>
      </c>
      <c r="C2936" t="s">
        <v>454</v>
      </c>
      <c r="D2936" s="180" t="s">
        <v>34</v>
      </c>
      <c r="E2936" t="s">
        <v>490</v>
      </c>
      <c r="F2936" t="s">
        <v>5864</v>
      </c>
      <c r="G2936" s="180">
        <v>6900</v>
      </c>
      <c r="H2936">
        <v>1961</v>
      </c>
      <c r="J2936" s="1334" t="s">
        <v>475</v>
      </c>
      <c r="K2936" s="1335" t="s">
        <v>475</v>
      </c>
      <c r="L2936" s="180">
        <v>100</v>
      </c>
      <c r="M2936" t="s">
        <v>68</v>
      </c>
      <c r="N2936" t="str">
        <f t="shared" si="182"/>
        <v>The Farber Building (0013)</v>
      </c>
      <c r="O2936" t="s">
        <v>50</v>
      </c>
      <c r="P2936" t="str">
        <f t="shared" si="183"/>
        <v>51000_0013</v>
      </c>
      <c r="Q2936" s="180">
        <v>0</v>
      </c>
    </row>
    <row r="2937" spans="1:17">
      <c r="A2937" t="str">
        <f t="shared" si="180"/>
        <v>VSU_0014</v>
      </c>
      <c r="B2937" t="str">
        <f t="shared" si="181"/>
        <v>VSU_Student Health Center</v>
      </c>
      <c r="C2937" t="s">
        <v>454</v>
      </c>
      <c r="D2937" s="180" t="s">
        <v>34</v>
      </c>
      <c r="E2937" t="s">
        <v>711</v>
      </c>
      <c r="F2937" t="s">
        <v>5885</v>
      </c>
      <c r="G2937" s="180">
        <v>27230</v>
      </c>
      <c r="H2937">
        <v>2008</v>
      </c>
      <c r="J2937" s="1334" t="s">
        <v>486</v>
      </c>
      <c r="K2937" s="1335" t="s">
        <v>920</v>
      </c>
      <c r="L2937" s="180">
        <v>13</v>
      </c>
      <c r="M2937" t="s">
        <v>68</v>
      </c>
      <c r="N2937" t="str">
        <f t="shared" si="182"/>
        <v>Student Health Center (0014)</v>
      </c>
      <c r="O2937" t="s">
        <v>50</v>
      </c>
      <c r="P2937" t="str">
        <f t="shared" si="183"/>
        <v>51000_0014</v>
      </c>
      <c r="Q2937" s="180">
        <v>0</v>
      </c>
    </row>
    <row r="2938" spans="1:17">
      <c r="A2938" t="str">
        <f t="shared" si="180"/>
        <v>VSU_0015</v>
      </c>
      <c r="B2938" t="str">
        <f t="shared" si="181"/>
        <v>VSU_Hopper Residence Hall</v>
      </c>
      <c r="C2938" t="s">
        <v>454</v>
      </c>
      <c r="D2938" s="180" t="s">
        <v>34</v>
      </c>
      <c r="E2938" t="s">
        <v>624</v>
      </c>
      <c r="F2938" t="s">
        <v>5857</v>
      </c>
      <c r="G2938" s="180">
        <v>141977</v>
      </c>
      <c r="H2938">
        <v>2008</v>
      </c>
      <c r="J2938" s="1334" t="s">
        <v>486</v>
      </c>
      <c r="K2938" s="1335" t="s">
        <v>920</v>
      </c>
      <c r="L2938" s="180">
        <v>0</v>
      </c>
      <c r="M2938" t="s">
        <v>68</v>
      </c>
      <c r="N2938" t="str">
        <f t="shared" si="182"/>
        <v>Hopper Residence Hall (0015)</v>
      </c>
      <c r="O2938" t="s">
        <v>50</v>
      </c>
      <c r="P2938" t="str">
        <f t="shared" si="183"/>
        <v>51000_0015</v>
      </c>
      <c r="Q2938" s="180">
        <v>0</v>
      </c>
    </row>
    <row r="2939" spans="1:17">
      <c r="A2939" t="str">
        <f t="shared" si="180"/>
        <v>VSU_0016</v>
      </c>
      <c r="B2939" t="str">
        <f t="shared" si="181"/>
        <v>VSU_Student Union</v>
      </c>
      <c r="C2939" t="s">
        <v>454</v>
      </c>
      <c r="D2939" s="180" t="s">
        <v>34</v>
      </c>
      <c r="E2939" t="s">
        <v>506</v>
      </c>
      <c r="F2939" t="s">
        <v>171</v>
      </c>
      <c r="G2939" s="180">
        <v>113500</v>
      </c>
      <c r="H2939">
        <v>2009</v>
      </c>
      <c r="J2939" s="1334" t="s">
        <v>486</v>
      </c>
      <c r="K2939" s="1335" t="s">
        <v>920</v>
      </c>
      <c r="L2939" s="180">
        <v>86</v>
      </c>
      <c r="M2939" t="s">
        <v>68</v>
      </c>
      <c r="N2939" t="str">
        <f t="shared" si="182"/>
        <v>Student Union (0016)</v>
      </c>
      <c r="O2939" t="s">
        <v>50</v>
      </c>
      <c r="P2939" t="str">
        <f t="shared" si="183"/>
        <v>51000_0016</v>
      </c>
      <c r="Q2939" s="180">
        <v>0</v>
      </c>
    </row>
    <row r="2940" spans="1:17">
      <c r="A2940" t="str">
        <f t="shared" si="180"/>
        <v>VSU_0018</v>
      </c>
      <c r="B2940" t="str">
        <f t="shared" si="181"/>
        <v>VSU_Pine Hall</v>
      </c>
      <c r="C2940" t="s">
        <v>454</v>
      </c>
      <c r="D2940" s="180" t="s">
        <v>34</v>
      </c>
      <c r="E2940" t="s">
        <v>757</v>
      </c>
      <c r="F2940" t="s">
        <v>5904</v>
      </c>
      <c r="G2940" s="180">
        <v>16360</v>
      </c>
      <c r="H2940">
        <v>1947</v>
      </c>
      <c r="I2940">
        <v>1999</v>
      </c>
      <c r="J2940" s="1334" t="s">
        <v>475</v>
      </c>
      <c r="K2940" s="1335" t="s">
        <v>475</v>
      </c>
      <c r="L2940" s="180">
        <v>100</v>
      </c>
      <c r="M2940" t="s">
        <v>68</v>
      </c>
      <c r="N2940" t="str">
        <f t="shared" si="182"/>
        <v>Pine Hall (0018)</v>
      </c>
      <c r="O2940" t="s">
        <v>50</v>
      </c>
      <c r="P2940" t="str">
        <f t="shared" si="183"/>
        <v>51000_0018</v>
      </c>
      <c r="Q2940" s="180">
        <v>0</v>
      </c>
    </row>
    <row r="2941" spans="1:17">
      <c r="A2941" t="str">
        <f t="shared" si="180"/>
        <v>VSU_0019</v>
      </c>
      <c r="B2941" t="str">
        <f t="shared" si="181"/>
        <v>VSU_Boiler House</v>
      </c>
      <c r="C2941" t="s">
        <v>454</v>
      </c>
      <c r="D2941" s="180" t="s">
        <v>34</v>
      </c>
      <c r="E2941" t="s">
        <v>1068</v>
      </c>
      <c r="F2941" t="s">
        <v>5863</v>
      </c>
      <c r="G2941" s="180">
        <v>4219</v>
      </c>
      <c r="H2941">
        <v>1943</v>
      </c>
      <c r="I2941">
        <v>1987</v>
      </c>
      <c r="J2941" s="1334" t="s">
        <v>475</v>
      </c>
      <c r="K2941" s="1335" t="s">
        <v>475</v>
      </c>
      <c r="L2941" s="180">
        <v>100</v>
      </c>
      <c r="M2941" t="s">
        <v>68</v>
      </c>
      <c r="N2941" t="str">
        <f t="shared" si="182"/>
        <v>Boiler House (0019)</v>
      </c>
      <c r="O2941" t="s">
        <v>50</v>
      </c>
      <c r="P2941" t="str">
        <f t="shared" si="183"/>
        <v>51000_0019</v>
      </c>
      <c r="Q2941" s="180">
        <v>0</v>
      </c>
    </row>
    <row r="2942" spans="1:17">
      <c r="A2942" t="str">
        <f t="shared" si="180"/>
        <v>VSU_0020</v>
      </c>
      <c r="B2942" t="str">
        <f t="shared" si="181"/>
        <v>VSU_Fine Arts Bldg</v>
      </c>
      <c r="C2942" t="s">
        <v>454</v>
      </c>
      <c r="D2942" s="180" t="s">
        <v>34</v>
      </c>
      <c r="E2942" t="s">
        <v>529</v>
      </c>
      <c r="F2942" t="s">
        <v>5823</v>
      </c>
      <c r="G2942" s="180">
        <v>91625</v>
      </c>
      <c r="H2942">
        <v>1969</v>
      </c>
      <c r="J2942" s="1334" t="s">
        <v>475</v>
      </c>
      <c r="K2942" s="1335" t="s">
        <v>475</v>
      </c>
      <c r="L2942" s="180">
        <v>100</v>
      </c>
      <c r="M2942" t="s">
        <v>68</v>
      </c>
      <c r="N2942" t="str">
        <f t="shared" si="182"/>
        <v>Fine Arts Bldg (0020)</v>
      </c>
      <c r="O2942" t="s">
        <v>50</v>
      </c>
      <c r="P2942" t="str">
        <f t="shared" si="183"/>
        <v>51000_0020</v>
      </c>
      <c r="Q2942" s="180">
        <v>0</v>
      </c>
    </row>
    <row r="2943" spans="1:17">
      <c r="A2943" t="str">
        <f t="shared" si="180"/>
        <v>VSU_0021</v>
      </c>
      <c r="B2943" t="str">
        <f t="shared" si="181"/>
        <v>VSU_FA/AS Mechanical Building</v>
      </c>
      <c r="C2943" t="s">
        <v>454</v>
      </c>
      <c r="D2943" s="180" t="s">
        <v>34</v>
      </c>
      <c r="E2943" t="s">
        <v>930</v>
      </c>
      <c r="F2943" t="s">
        <v>5909</v>
      </c>
      <c r="G2943" s="180">
        <v>1281</v>
      </c>
      <c r="H2943">
        <v>2002</v>
      </c>
      <c r="J2943" s="1334" t="s">
        <v>475</v>
      </c>
      <c r="K2943" s="1335" t="s">
        <v>920</v>
      </c>
      <c r="L2943" s="180">
        <v>100</v>
      </c>
      <c r="M2943" t="s">
        <v>68</v>
      </c>
      <c r="N2943" t="str">
        <f t="shared" si="182"/>
        <v>FA/AS Mechanical Building (0021)</v>
      </c>
      <c r="O2943" t="s">
        <v>50</v>
      </c>
      <c r="P2943" t="str">
        <f t="shared" si="183"/>
        <v>51000_0021</v>
      </c>
      <c r="Q2943" s="180">
        <v>0</v>
      </c>
    </row>
    <row r="2944" spans="1:17">
      <c r="A2944" t="str">
        <f t="shared" si="180"/>
        <v>VSU_0022</v>
      </c>
      <c r="B2944" t="str">
        <f t="shared" si="181"/>
        <v>VSU_Centennial Res Hall East</v>
      </c>
      <c r="C2944" t="s">
        <v>454</v>
      </c>
      <c r="D2944" s="180" t="s">
        <v>34</v>
      </c>
      <c r="E2944" t="s">
        <v>531</v>
      </c>
      <c r="F2944" t="s">
        <v>5878</v>
      </c>
      <c r="G2944" s="180">
        <v>145574</v>
      </c>
      <c r="H2944">
        <v>2004</v>
      </c>
      <c r="J2944" s="1334" t="s">
        <v>486</v>
      </c>
      <c r="K2944" s="1335" t="s">
        <v>920</v>
      </c>
      <c r="L2944" s="180">
        <v>0</v>
      </c>
      <c r="M2944" t="s">
        <v>68</v>
      </c>
      <c r="N2944" t="str">
        <f t="shared" si="182"/>
        <v>Centennial Res Hall East (0022)</v>
      </c>
      <c r="O2944" t="s">
        <v>50</v>
      </c>
      <c r="P2944" t="str">
        <f t="shared" si="183"/>
        <v>51000_0022</v>
      </c>
      <c r="Q2944" s="180">
        <v>0</v>
      </c>
    </row>
    <row r="2945" spans="1:17">
      <c r="A2945" t="str">
        <f t="shared" si="180"/>
        <v>VSU_0023</v>
      </c>
      <c r="B2945" t="str">
        <f t="shared" si="181"/>
        <v>VSU_Centennial Res Hall West</v>
      </c>
      <c r="C2945" t="s">
        <v>454</v>
      </c>
      <c r="D2945" s="180" t="s">
        <v>34</v>
      </c>
      <c r="E2945" t="s">
        <v>4343</v>
      </c>
      <c r="F2945" t="s">
        <v>5851</v>
      </c>
      <c r="G2945" s="180">
        <v>69772</v>
      </c>
      <c r="H2945">
        <v>2004</v>
      </c>
      <c r="J2945" s="1334" t="s">
        <v>486</v>
      </c>
      <c r="K2945" s="1335" t="s">
        <v>920</v>
      </c>
      <c r="L2945" s="180">
        <v>0</v>
      </c>
      <c r="M2945" t="s">
        <v>68</v>
      </c>
      <c r="N2945" t="str">
        <f t="shared" si="182"/>
        <v>Centennial Res Hall West (0023)</v>
      </c>
      <c r="O2945" t="s">
        <v>50</v>
      </c>
      <c r="P2945" t="str">
        <f t="shared" si="183"/>
        <v>51000_0023</v>
      </c>
      <c r="Q2945" s="180">
        <v>0</v>
      </c>
    </row>
    <row r="2946" spans="1:17">
      <c r="A2946" t="str">
        <f t="shared" si="180"/>
        <v>VSU_0024</v>
      </c>
      <c r="B2946" t="str">
        <f t="shared" si="181"/>
        <v>VSU_Maintenance Storage</v>
      </c>
      <c r="C2946" t="s">
        <v>454</v>
      </c>
      <c r="D2946" s="180" t="s">
        <v>34</v>
      </c>
      <c r="E2946" t="s">
        <v>548</v>
      </c>
      <c r="F2946" t="s">
        <v>5163</v>
      </c>
      <c r="G2946" s="180">
        <v>627</v>
      </c>
      <c r="H2946">
        <v>2005</v>
      </c>
      <c r="J2946" s="1334" t="s">
        <v>486</v>
      </c>
      <c r="K2946" s="1335" t="s">
        <v>920</v>
      </c>
      <c r="L2946" s="180">
        <v>100</v>
      </c>
      <c r="M2946" t="s">
        <v>68</v>
      </c>
      <c r="N2946" t="str">
        <f t="shared" si="182"/>
        <v>Maintenance Storage (0024)</v>
      </c>
      <c r="O2946" t="s">
        <v>50</v>
      </c>
      <c r="P2946" t="str">
        <f t="shared" si="183"/>
        <v>51000_0024</v>
      </c>
      <c r="Q2946" s="180">
        <v>0</v>
      </c>
    </row>
    <row r="2947" spans="1:17">
      <c r="A2947" t="str">
        <f t="shared" ref="A2947:A3010" si="184">_xlfn.CONCAT(D2947,"_",E2947)</f>
        <v>VSU_0025</v>
      </c>
      <c r="B2947" t="str">
        <f t="shared" ref="B2947:B3010" si="185">_xlfn.CONCAT(D2947,"_",F2947)</f>
        <v>VSU_Athletics Building</v>
      </c>
      <c r="C2947" t="s">
        <v>454</v>
      </c>
      <c r="D2947" s="180" t="s">
        <v>34</v>
      </c>
      <c r="E2947" t="s">
        <v>682</v>
      </c>
      <c r="F2947" t="s">
        <v>5846</v>
      </c>
      <c r="G2947" s="180">
        <v>41256</v>
      </c>
      <c r="H2947">
        <v>2008</v>
      </c>
      <c r="J2947" s="1334" t="s">
        <v>475</v>
      </c>
      <c r="K2947" s="1335" t="s">
        <v>920</v>
      </c>
      <c r="L2947" s="180">
        <v>0</v>
      </c>
      <c r="M2947" t="s">
        <v>68</v>
      </c>
      <c r="N2947" t="str">
        <f t="shared" ref="N2947:N3010" si="186">_xlfn.CONCAT(F2947," (",E2947,")")</f>
        <v>Athletics Building (0025)</v>
      </c>
      <c r="O2947" t="s">
        <v>50</v>
      </c>
      <c r="P2947" t="str">
        <f t="shared" ref="P2947:P3010" si="187">_xlfn.CONCAT(C2947,"_",E2947)</f>
        <v>51000_0025</v>
      </c>
      <c r="Q2947" s="180">
        <v>0</v>
      </c>
    </row>
    <row r="2948" spans="1:17">
      <c r="A2948" t="str">
        <f t="shared" si="184"/>
        <v>VSU_0026</v>
      </c>
      <c r="B2948" t="str">
        <f t="shared" si="185"/>
        <v>VSU_Converse Hall</v>
      </c>
      <c r="C2948" t="s">
        <v>454</v>
      </c>
      <c r="D2948" s="180" t="s">
        <v>34</v>
      </c>
      <c r="E2948" t="s">
        <v>692</v>
      </c>
      <c r="F2948" t="s">
        <v>5820</v>
      </c>
      <c r="G2948" s="180">
        <v>34290</v>
      </c>
      <c r="H2948">
        <v>2011</v>
      </c>
      <c r="J2948" s="1334" t="s">
        <v>475</v>
      </c>
      <c r="K2948" s="1335" t="s">
        <v>920</v>
      </c>
      <c r="L2948" s="180">
        <v>100</v>
      </c>
      <c r="M2948" t="s">
        <v>68</v>
      </c>
      <c r="N2948" t="str">
        <f t="shared" si="186"/>
        <v>Converse Hall (0026)</v>
      </c>
      <c r="O2948" t="s">
        <v>50</v>
      </c>
      <c r="P2948" t="str">
        <f t="shared" si="187"/>
        <v>51000_0026</v>
      </c>
      <c r="Q2948" s="180">
        <v>0</v>
      </c>
    </row>
    <row r="2949" spans="1:17">
      <c r="A2949" t="str">
        <f t="shared" si="184"/>
        <v>VSU_0029</v>
      </c>
      <c r="B2949" t="str">
        <f t="shared" si="185"/>
        <v>VSU_Bailey Science Center</v>
      </c>
      <c r="C2949" t="s">
        <v>454</v>
      </c>
      <c r="D2949" s="180" t="s">
        <v>34</v>
      </c>
      <c r="E2949" t="s">
        <v>1141</v>
      </c>
      <c r="F2949" t="s">
        <v>5869</v>
      </c>
      <c r="G2949" s="180">
        <v>170817</v>
      </c>
      <c r="H2949">
        <v>1998</v>
      </c>
      <c r="J2949" s="1334" t="s">
        <v>520</v>
      </c>
      <c r="K2949" s="1335" t="s">
        <v>920</v>
      </c>
      <c r="L2949" s="180">
        <v>100</v>
      </c>
      <c r="M2949" t="s">
        <v>68</v>
      </c>
      <c r="N2949" t="str">
        <f t="shared" si="186"/>
        <v>Bailey Science Center (0029)</v>
      </c>
      <c r="O2949" t="s">
        <v>50</v>
      </c>
      <c r="P2949" t="str">
        <f t="shared" si="187"/>
        <v>51000_0029</v>
      </c>
      <c r="Q2949" s="180">
        <v>0</v>
      </c>
    </row>
    <row r="2950" spans="1:17">
      <c r="A2950" t="str">
        <f t="shared" si="184"/>
        <v>VSU_002A</v>
      </c>
      <c r="B2950" t="str">
        <f t="shared" si="185"/>
        <v>VSU_Nevins Hall</v>
      </c>
      <c r="C2950" t="s">
        <v>454</v>
      </c>
      <c r="D2950" s="180" t="s">
        <v>34</v>
      </c>
      <c r="E2950" t="s">
        <v>5905</v>
      </c>
      <c r="F2950" t="s">
        <v>5906</v>
      </c>
      <c r="G2950" s="180">
        <v>111739</v>
      </c>
      <c r="H2950">
        <v>1966</v>
      </c>
      <c r="I2950">
        <v>2010</v>
      </c>
      <c r="J2950" s="1334" t="s">
        <v>475</v>
      </c>
      <c r="K2950" s="1335" t="s">
        <v>901</v>
      </c>
      <c r="L2950" s="180">
        <v>100</v>
      </c>
      <c r="M2950" t="s">
        <v>68</v>
      </c>
      <c r="N2950" t="str">
        <f t="shared" si="186"/>
        <v>Nevins Hall (002A)</v>
      </c>
      <c r="O2950" t="s">
        <v>50</v>
      </c>
      <c r="P2950" t="str">
        <f t="shared" si="187"/>
        <v>51000_002A</v>
      </c>
      <c r="Q2950" s="180">
        <v>0</v>
      </c>
    </row>
    <row r="2951" spans="1:17">
      <c r="A2951" t="str">
        <f t="shared" si="184"/>
        <v>VSU_0030</v>
      </c>
      <c r="B2951" t="str">
        <f t="shared" si="185"/>
        <v>VSU_Parking Control Office</v>
      </c>
      <c r="C2951" t="s">
        <v>454</v>
      </c>
      <c r="D2951" s="180" t="s">
        <v>34</v>
      </c>
      <c r="E2951" t="s">
        <v>561</v>
      </c>
      <c r="F2951" t="s">
        <v>5852</v>
      </c>
      <c r="G2951" s="180">
        <v>235</v>
      </c>
      <c r="H2951">
        <v>1971</v>
      </c>
      <c r="I2951">
        <v>1992</v>
      </c>
      <c r="J2951" s="1334" t="s">
        <v>475</v>
      </c>
      <c r="K2951" s="1335" t="s">
        <v>475</v>
      </c>
      <c r="L2951" s="180">
        <v>0</v>
      </c>
      <c r="M2951" t="s">
        <v>68</v>
      </c>
      <c r="N2951" t="str">
        <f t="shared" si="186"/>
        <v>Parking Control Office (0030)</v>
      </c>
      <c r="O2951" t="s">
        <v>50</v>
      </c>
      <c r="P2951" t="str">
        <f t="shared" si="187"/>
        <v>51000_0030</v>
      </c>
      <c r="Q2951" s="180">
        <v>0</v>
      </c>
    </row>
    <row r="2952" spans="1:17">
      <c r="A2952" t="str">
        <f t="shared" si="184"/>
        <v>VSU_0031</v>
      </c>
      <c r="B2952" t="str">
        <f t="shared" si="185"/>
        <v>VSU_Education Center</v>
      </c>
      <c r="C2952" t="s">
        <v>454</v>
      </c>
      <c r="D2952" s="180" t="s">
        <v>34</v>
      </c>
      <c r="E2952" t="s">
        <v>892</v>
      </c>
      <c r="F2952" t="s">
        <v>4981</v>
      </c>
      <c r="G2952" s="180">
        <v>73620</v>
      </c>
      <c r="H2952">
        <v>1971</v>
      </c>
      <c r="J2952" s="1334" t="s">
        <v>475</v>
      </c>
      <c r="K2952" s="1335" t="s">
        <v>475</v>
      </c>
      <c r="L2952" s="180">
        <v>97</v>
      </c>
      <c r="M2952" t="s">
        <v>68</v>
      </c>
      <c r="N2952" t="str">
        <f t="shared" si="186"/>
        <v>Education Center (0031)</v>
      </c>
      <c r="O2952" t="s">
        <v>50</v>
      </c>
      <c r="P2952" t="str">
        <f t="shared" si="187"/>
        <v>51000_0031</v>
      </c>
      <c r="Q2952" s="180">
        <v>0</v>
      </c>
    </row>
    <row r="2953" spans="1:17">
      <c r="A2953" t="str">
        <f t="shared" si="184"/>
        <v>VSU_0032</v>
      </c>
      <c r="B2953" t="str">
        <f t="shared" si="185"/>
        <v>VSU_P E Complex</v>
      </c>
      <c r="C2953" t="s">
        <v>454</v>
      </c>
      <c r="D2953" s="180" t="s">
        <v>34</v>
      </c>
      <c r="E2953" t="s">
        <v>864</v>
      </c>
      <c r="F2953" t="s">
        <v>5891</v>
      </c>
      <c r="G2953" s="180">
        <v>108179</v>
      </c>
      <c r="H2953">
        <v>1979</v>
      </c>
      <c r="J2953" s="1334" t="s">
        <v>475</v>
      </c>
      <c r="K2953" s="1335" t="s">
        <v>475</v>
      </c>
      <c r="L2953" s="180">
        <v>100</v>
      </c>
      <c r="M2953" t="s">
        <v>68</v>
      </c>
      <c r="N2953" t="str">
        <f t="shared" si="186"/>
        <v>P E Complex (0032)</v>
      </c>
      <c r="O2953" t="s">
        <v>50</v>
      </c>
      <c r="P2953" t="str">
        <f t="shared" si="187"/>
        <v>51000_0032</v>
      </c>
      <c r="Q2953" s="180">
        <v>0</v>
      </c>
    </row>
    <row r="2954" spans="1:17">
      <c r="A2954" t="str">
        <f t="shared" si="184"/>
        <v>VSU_0041</v>
      </c>
      <c r="B2954" t="str">
        <f t="shared" si="185"/>
        <v>VSU_Carswell House</v>
      </c>
      <c r="C2954" t="s">
        <v>454</v>
      </c>
      <c r="D2954" s="180" t="s">
        <v>34</v>
      </c>
      <c r="E2954" t="s">
        <v>554</v>
      </c>
      <c r="F2954" t="s">
        <v>5914</v>
      </c>
      <c r="G2954" s="180">
        <v>2172</v>
      </c>
      <c r="H2954">
        <v>1954</v>
      </c>
      <c r="J2954" s="1334" t="s">
        <v>475</v>
      </c>
      <c r="K2954" s="1335" t="s">
        <v>475</v>
      </c>
      <c r="L2954" s="180">
        <v>100</v>
      </c>
      <c r="M2954" t="s">
        <v>68</v>
      </c>
      <c r="N2954" t="str">
        <f t="shared" si="186"/>
        <v>Carswell House (0041)</v>
      </c>
      <c r="O2954" t="s">
        <v>50</v>
      </c>
      <c r="P2954" t="str">
        <f t="shared" si="187"/>
        <v>51000_0041</v>
      </c>
      <c r="Q2954" s="180">
        <v>0</v>
      </c>
    </row>
    <row r="2955" spans="1:17">
      <c r="A2955" t="str">
        <f t="shared" si="184"/>
        <v>VSU_0043</v>
      </c>
      <c r="B2955" t="str">
        <f t="shared" si="185"/>
        <v>VSU_222 Georgia Ave</v>
      </c>
      <c r="C2955" t="s">
        <v>454</v>
      </c>
      <c r="D2955" s="180" t="s">
        <v>34</v>
      </c>
      <c r="E2955" t="s">
        <v>3774</v>
      </c>
      <c r="F2955" t="s">
        <v>5894</v>
      </c>
      <c r="G2955" s="180">
        <v>5176</v>
      </c>
      <c r="H2955">
        <v>1940</v>
      </c>
      <c r="J2955" s="1334" t="s">
        <v>475</v>
      </c>
      <c r="K2955" s="1335" t="s">
        <v>475</v>
      </c>
      <c r="L2955" s="180">
        <v>100</v>
      </c>
      <c r="M2955" t="s">
        <v>68</v>
      </c>
      <c r="N2955" t="str">
        <f t="shared" si="186"/>
        <v>222 Georgia Ave (0043)</v>
      </c>
      <c r="O2955" t="s">
        <v>50</v>
      </c>
      <c r="P2955" t="str">
        <f t="shared" si="187"/>
        <v>51000_0043</v>
      </c>
      <c r="Q2955" s="180">
        <v>0</v>
      </c>
    </row>
    <row r="2956" spans="1:17">
      <c r="A2956" t="str">
        <f t="shared" si="184"/>
        <v>VSU_0045</v>
      </c>
      <c r="B2956" t="str">
        <f t="shared" si="185"/>
        <v>VSU_204 Georgia Ave</v>
      </c>
      <c r="C2956" t="s">
        <v>454</v>
      </c>
      <c r="D2956" s="180" t="s">
        <v>34</v>
      </c>
      <c r="E2956" t="s">
        <v>594</v>
      </c>
      <c r="F2956" t="s">
        <v>5910</v>
      </c>
      <c r="G2956" s="180">
        <v>4691</v>
      </c>
      <c r="H2956">
        <v>1948</v>
      </c>
      <c r="I2956">
        <v>2000</v>
      </c>
      <c r="J2956" s="1334" t="s">
        <v>475</v>
      </c>
      <c r="K2956" s="1335" t="s">
        <v>1520</v>
      </c>
      <c r="L2956" s="180">
        <v>100</v>
      </c>
      <c r="M2956" t="s">
        <v>68</v>
      </c>
      <c r="N2956" t="str">
        <f t="shared" si="186"/>
        <v>204 Georgia Ave (0045)</v>
      </c>
      <c r="O2956" t="s">
        <v>50</v>
      </c>
      <c r="P2956" t="str">
        <f t="shared" si="187"/>
        <v>51000_0045</v>
      </c>
      <c r="Q2956" s="180">
        <v>0</v>
      </c>
    </row>
    <row r="2957" spans="1:17">
      <c r="A2957" t="str">
        <f t="shared" si="184"/>
        <v>VSU_0051</v>
      </c>
      <c r="B2957" t="str">
        <f t="shared" si="185"/>
        <v>VSU_Music Annex North</v>
      </c>
      <c r="C2957" t="s">
        <v>454</v>
      </c>
      <c r="D2957" s="180" t="s">
        <v>34</v>
      </c>
      <c r="E2957" t="s">
        <v>600</v>
      </c>
      <c r="F2957" t="s">
        <v>5845</v>
      </c>
      <c r="G2957" s="180">
        <v>3686</v>
      </c>
      <c r="H2957">
        <v>1947</v>
      </c>
      <c r="J2957" s="1334" t="s">
        <v>475</v>
      </c>
      <c r="K2957" s="1335" t="s">
        <v>475</v>
      </c>
      <c r="L2957" s="180">
        <v>100</v>
      </c>
      <c r="M2957" t="s">
        <v>68</v>
      </c>
      <c r="N2957" t="str">
        <f t="shared" si="186"/>
        <v>Music Annex North (0051)</v>
      </c>
      <c r="O2957" t="s">
        <v>50</v>
      </c>
      <c r="P2957" t="str">
        <f t="shared" si="187"/>
        <v>51000_0051</v>
      </c>
      <c r="Q2957" s="180">
        <v>0</v>
      </c>
    </row>
    <row r="2958" spans="1:17">
      <c r="A2958" t="str">
        <f t="shared" si="184"/>
        <v>VSU_0053</v>
      </c>
      <c r="B2958" t="str">
        <f t="shared" si="185"/>
        <v>VSU_Admissions Annex</v>
      </c>
      <c r="C2958" t="s">
        <v>454</v>
      </c>
      <c r="D2958" s="180" t="s">
        <v>34</v>
      </c>
      <c r="E2958" t="s">
        <v>2169</v>
      </c>
      <c r="F2958" t="s">
        <v>5849</v>
      </c>
      <c r="G2958" s="180">
        <v>2677</v>
      </c>
      <c r="H2958">
        <v>1962</v>
      </c>
      <c r="J2958" s="1334" t="s">
        <v>475</v>
      </c>
      <c r="K2958" s="1335" t="s">
        <v>475</v>
      </c>
      <c r="L2958" s="180">
        <v>100</v>
      </c>
      <c r="M2958" t="s">
        <v>68</v>
      </c>
      <c r="N2958" t="str">
        <f t="shared" si="186"/>
        <v>Admissions Annex (0053)</v>
      </c>
      <c r="O2958" t="s">
        <v>50</v>
      </c>
      <c r="P2958" t="str">
        <f t="shared" si="187"/>
        <v>51000_0053</v>
      </c>
      <c r="Q2958" s="180">
        <v>0</v>
      </c>
    </row>
    <row r="2959" spans="1:17">
      <c r="A2959" t="str">
        <f t="shared" si="184"/>
        <v>VSU_0054</v>
      </c>
      <c r="B2959" t="str">
        <f t="shared" si="185"/>
        <v>VSU_Admissions House</v>
      </c>
      <c r="C2959" t="s">
        <v>454</v>
      </c>
      <c r="D2959" s="180" t="s">
        <v>34</v>
      </c>
      <c r="E2959" t="s">
        <v>840</v>
      </c>
      <c r="F2959" t="s">
        <v>5837</v>
      </c>
      <c r="G2959" s="180">
        <v>5382</v>
      </c>
      <c r="H2959">
        <v>1953</v>
      </c>
      <c r="J2959" s="1334" t="s">
        <v>475</v>
      </c>
      <c r="K2959" s="1335" t="s">
        <v>475</v>
      </c>
      <c r="L2959" s="180">
        <v>100</v>
      </c>
      <c r="M2959" t="s">
        <v>68</v>
      </c>
      <c r="N2959" t="str">
        <f t="shared" si="186"/>
        <v>Admissions House (0054)</v>
      </c>
      <c r="O2959" t="s">
        <v>50</v>
      </c>
      <c r="P2959" t="str">
        <f t="shared" si="187"/>
        <v>51000_0054</v>
      </c>
      <c r="Q2959" s="180">
        <v>0</v>
      </c>
    </row>
    <row r="2960" spans="1:17">
      <c r="A2960" t="str">
        <f t="shared" si="184"/>
        <v>VSU_0060</v>
      </c>
      <c r="B2960" t="str">
        <f t="shared" si="185"/>
        <v>VSU_Band House</v>
      </c>
      <c r="C2960" t="s">
        <v>454</v>
      </c>
      <c r="D2960" s="180" t="s">
        <v>34</v>
      </c>
      <c r="E2960" t="s">
        <v>1113</v>
      </c>
      <c r="F2960" t="s">
        <v>5862</v>
      </c>
      <c r="G2960" s="180">
        <v>1876</v>
      </c>
      <c r="H2960">
        <v>1986</v>
      </c>
      <c r="J2960" s="1334" t="s">
        <v>475</v>
      </c>
      <c r="K2960" s="1335" t="s">
        <v>475</v>
      </c>
      <c r="L2960" s="180">
        <v>100</v>
      </c>
      <c r="M2960" t="s">
        <v>68</v>
      </c>
      <c r="N2960" t="str">
        <f t="shared" si="186"/>
        <v>Band House (0060)</v>
      </c>
      <c r="O2960" t="s">
        <v>50</v>
      </c>
      <c r="P2960" t="str">
        <f t="shared" si="187"/>
        <v>51000_0060</v>
      </c>
      <c r="Q2960" s="180">
        <v>0</v>
      </c>
    </row>
    <row r="2961" spans="1:17">
      <c r="A2961" t="str">
        <f t="shared" si="184"/>
        <v>VSU_0061</v>
      </c>
      <c r="B2961" t="str">
        <f t="shared" si="185"/>
        <v>VSU_201 W Brookwood</v>
      </c>
      <c r="C2961" t="s">
        <v>454</v>
      </c>
      <c r="D2961" s="180" t="s">
        <v>34</v>
      </c>
      <c r="E2961" t="s">
        <v>694</v>
      </c>
      <c r="F2961" t="s">
        <v>5916</v>
      </c>
      <c r="G2961" s="180">
        <v>1817</v>
      </c>
      <c r="H2961">
        <v>1953</v>
      </c>
      <c r="J2961" s="1334" t="s">
        <v>475</v>
      </c>
      <c r="K2961" s="1335" t="s">
        <v>475</v>
      </c>
      <c r="L2961" s="180">
        <v>100</v>
      </c>
      <c r="M2961" t="s">
        <v>68</v>
      </c>
      <c r="N2961" t="str">
        <f t="shared" si="186"/>
        <v>201 W Brookwood (0061)</v>
      </c>
      <c r="O2961" t="s">
        <v>50</v>
      </c>
      <c r="P2961" t="str">
        <f t="shared" si="187"/>
        <v>51000_0061</v>
      </c>
      <c r="Q2961" s="180">
        <v>0</v>
      </c>
    </row>
    <row r="2962" spans="1:17">
      <c r="A2962" t="str">
        <f t="shared" si="184"/>
        <v>VSU_0062</v>
      </c>
      <c r="B2962" t="str">
        <f t="shared" si="185"/>
        <v>VSU_Martin Hall</v>
      </c>
      <c r="C2962" t="s">
        <v>454</v>
      </c>
      <c r="D2962" s="180" t="s">
        <v>34</v>
      </c>
      <c r="E2962" t="s">
        <v>473</v>
      </c>
      <c r="F2962" t="s">
        <v>5895</v>
      </c>
      <c r="G2962" s="180">
        <v>18962</v>
      </c>
      <c r="H2962">
        <v>1976</v>
      </c>
      <c r="J2962" s="1334" t="s">
        <v>475</v>
      </c>
      <c r="K2962" s="1335" t="s">
        <v>475</v>
      </c>
      <c r="L2962" s="180">
        <v>100</v>
      </c>
      <c r="M2962" t="s">
        <v>68</v>
      </c>
      <c r="N2962" t="str">
        <f t="shared" si="186"/>
        <v>Martin Hall (0062)</v>
      </c>
      <c r="O2962" t="s">
        <v>50</v>
      </c>
      <c r="P2962" t="str">
        <f t="shared" si="187"/>
        <v>51000_0062</v>
      </c>
      <c r="Q2962" s="180">
        <v>0</v>
      </c>
    </row>
    <row r="2963" spans="1:17">
      <c r="A2963" t="str">
        <f t="shared" si="184"/>
        <v>VSU_0063</v>
      </c>
      <c r="B2963" t="str">
        <f t="shared" si="185"/>
        <v>VSU_1206 N Patterson Street</v>
      </c>
      <c r="C2963" t="s">
        <v>454</v>
      </c>
      <c r="D2963" s="180" t="s">
        <v>34</v>
      </c>
      <c r="E2963" t="s">
        <v>5833</v>
      </c>
      <c r="F2963" t="s">
        <v>5834</v>
      </c>
      <c r="G2963" s="180">
        <v>8926</v>
      </c>
      <c r="H2963">
        <v>1960</v>
      </c>
      <c r="I2963">
        <v>2000</v>
      </c>
      <c r="J2963" s="1334" t="s">
        <v>475</v>
      </c>
      <c r="K2963" s="1335" t="s">
        <v>475</v>
      </c>
      <c r="L2963" s="180">
        <v>100</v>
      </c>
      <c r="M2963" t="s">
        <v>68</v>
      </c>
      <c r="N2963" t="str">
        <f t="shared" si="186"/>
        <v>1206 N Patterson Street (0063)</v>
      </c>
      <c r="O2963" t="s">
        <v>50</v>
      </c>
      <c r="P2963" t="str">
        <f t="shared" si="187"/>
        <v>51000_0063</v>
      </c>
      <c r="Q2963" s="180">
        <v>0</v>
      </c>
    </row>
    <row r="2964" spans="1:17">
      <c r="A2964" t="str">
        <f t="shared" si="184"/>
        <v>VSU_006A</v>
      </c>
      <c r="B2964" t="str">
        <f t="shared" si="185"/>
        <v>VSU_Odum Library Addition</v>
      </c>
      <c r="C2964" t="s">
        <v>454</v>
      </c>
      <c r="D2964" s="180" t="s">
        <v>34</v>
      </c>
      <c r="E2964" t="s">
        <v>4738</v>
      </c>
      <c r="F2964" t="s">
        <v>5915</v>
      </c>
      <c r="G2964" s="180">
        <v>96794</v>
      </c>
      <c r="H2964">
        <v>2001</v>
      </c>
      <c r="J2964" s="1334" t="s">
        <v>520</v>
      </c>
      <c r="K2964" s="1335" t="s">
        <v>901</v>
      </c>
      <c r="L2964" s="180">
        <v>100</v>
      </c>
      <c r="M2964" t="s">
        <v>68</v>
      </c>
      <c r="N2964" t="str">
        <f t="shared" si="186"/>
        <v>Odum Library Addition (006A)</v>
      </c>
      <c r="O2964" t="s">
        <v>50</v>
      </c>
      <c r="P2964" t="str">
        <f t="shared" si="187"/>
        <v>51000_006A</v>
      </c>
      <c r="Q2964" s="180">
        <v>0</v>
      </c>
    </row>
    <row r="2965" spans="1:17">
      <c r="A2965" t="str">
        <f t="shared" si="184"/>
        <v>VSU_0100</v>
      </c>
      <c r="B2965" t="str">
        <f t="shared" si="185"/>
        <v>VSU_Pound Hall</v>
      </c>
      <c r="C2965" t="s">
        <v>454</v>
      </c>
      <c r="D2965" s="180" t="s">
        <v>34</v>
      </c>
      <c r="E2965" t="s">
        <v>684</v>
      </c>
      <c r="F2965" t="s">
        <v>5853</v>
      </c>
      <c r="G2965" s="180">
        <v>30930</v>
      </c>
      <c r="H2965">
        <v>1926</v>
      </c>
      <c r="I2965">
        <v>1992</v>
      </c>
      <c r="J2965" s="1334" t="s">
        <v>475</v>
      </c>
      <c r="K2965" s="1335" t="s">
        <v>475</v>
      </c>
      <c r="L2965" s="180">
        <v>100</v>
      </c>
      <c r="M2965" t="s">
        <v>68</v>
      </c>
      <c r="N2965" t="str">
        <f t="shared" si="186"/>
        <v>Pound Hall (0100)</v>
      </c>
      <c r="O2965" t="s">
        <v>50</v>
      </c>
      <c r="P2965" t="str">
        <f t="shared" si="187"/>
        <v>51000_0100</v>
      </c>
      <c r="Q2965" s="180">
        <v>0</v>
      </c>
    </row>
    <row r="2966" spans="1:17">
      <c r="A2966" t="str">
        <f t="shared" si="184"/>
        <v>VSU_0101</v>
      </c>
      <c r="B2966" t="str">
        <f t="shared" si="185"/>
        <v>VSU_Barrow Hall / ROTC</v>
      </c>
      <c r="C2966" t="s">
        <v>454</v>
      </c>
      <c r="D2966" s="180" t="s">
        <v>34</v>
      </c>
      <c r="E2966" t="s">
        <v>751</v>
      </c>
      <c r="F2966" t="s">
        <v>5829</v>
      </c>
      <c r="G2966" s="180">
        <v>12201</v>
      </c>
      <c r="H2966">
        <v>1951</v>
      </c>
      <c r="I2966">
        <v>2019</v>
      </c>
      <c r="J2966" s="1334" t="s">
        <v>475</v>
      </c>
      <c r="K2966" s="1335" t="s">
        <v>475</v>
      </c>
      <c r="L2966" s="180">
        <v>100</v>
      </c>
      <c r="M2966" t="s">
        <v>68</v>
      </c>
      <c r="N2966" t="str">
        <f t="shared" si="186"/>
        <v>Barrow Hall / ROTC (0101)</v>
      </c>
      <c r="O2966" t="s">
        <v>50</v>
      </c>
      <c r="P2966" t="str">
        <f t="shared" si="187"/>
        <v>51000_0101</v>
      </c>
      <c r="Q2966" s="180">
        <v>0</v>
      </c>
    </row>
    <row r="2967" spans="1:17">
      <c r="A2967" t="str">
        <f t="shared" si="184"/>
        <v>VSU_0102</v>
      </c>
      <c r="B2967" t="str">
        <f t="shared" si="185"/>
        <v>VSU_Thaxton Hall</v>
      </c>
      <c r="C2967" t="s">
        <v>454</v>
      </c>
      <c r="D2967" s="180" t="s">
        <v>34</v>
      </c>
      <c r="E2967" t="s">
        <v>947</v>
      </c>
      <c r="F2967" t="s">
        <v>5898</v>
      </c>
      <c r="G2967" s="180">
        <v>12075</v>
      </c>
      <c r="H2967">
        <v>1927</v>
      </c>
      <c r="I2967">
        <v>1972</v>
      </c>
      <c r="J2967" s="1334" t="s">
        <v>475</v>
      </c>
      <c r="K2967" s="1335" t="s">
        <v>475</v>
      </c>
      <c r="L2967" s="180">
        <v>100</v>
      </c>
      <c r="M2967" t="s">
        <v>68</v>
      </c>
      <c r="N2967" t="str">
        <f t="shared" si="186"/>
        <v>Thaxton Hall (0102)</v>
      </c>
      <c r="O2967" t="s">
        <v>50</v>
      </c>
      <c r="P2967" t="str">
        <f t="shared" si="187"/>
        <v>51000_0102</v>
      </c>
      <c r="Q2967" s="180">
        <v>0</v>
      </c>
    </row>
    <row r="2968" spans="1:17">
      <c r="A2968" t="str">
        <f t="shared" si="184"/>
        <v>VSU_0104</v>
      </c>
      <c r="B2968" t="str">
        <f t="shared" si="185"/>
        <v>VSU_Warehouse N C 2</v>
      </c>
      <c r="C2968" t="s">
        <v>454</v>
      </c>
      <c r="D2968" s="180" t="s">
        <v>34</v>
      </c>
      <c r="E2968" t="s">
        <v>686</v>
      </c>
      <c r="F2968" t="s">
        <v>5892</v>
      </c>
      <c r="G2968" s="180">
        <v>4716</v>
      </c>
      <c r="H2968">
        <v>1946</v>
      </c>
      <c r="I2968">
        <v>2019</v>
      </c>
      <c r="J2968" s="1334" t="s">
        <v>475</v>
      </c>
      <c r="K2968" s="1335" t="s">
        <v>481</v>
      </c>
      <c r="L2968" s="180">
        <v>100</v>
      </c>
      <c r="M2968" t="s">
        <v>68</v>
      </c>
      <c r="N2968" t="str">
        <f t="shared" si="186"/>
        <v>Warehouse N C 2 (0104)</v>
      </c>
      <c r="O2968" t="s">
        <v>50</v>
      </c>
      <c r="P2968" t="str">
        <f t="shared" si="187"/>
        <v>51000_0104</v>
      </c>
      <c r="Q2968" s="180">
        <v>0</v>
      </c>
    </row>
    <row r="2969" spans="1:17">
      <c r="A2969" t="str">
        <f t="shared" si="184"/>
        <v>VSU_0105</v>
      </c>
      <c r="B2969" t="str">
        <f t="shared" si="185"/>
        <v>VSU_GreenHouse</v>
      </c>
      <c r="C2969" t="s">
        <v>454</v>
      </c>
      <c r="D2969" s="180" t="s">
        <v>34</v>
      </c>
      <c r="E2969" t="s">
        <v>916</v>
      </c>
      <c r="F2969" t="s">
        <v>5877</v>
      </c>
      <c r="G2969" s="180">
        <v>2997</v>
      </c>
      <c r="H2969">
        <v>1984</v>
      </c>
      <c r="J2969" s="1334" t="s">
        <v>475</v>
      </c>
      <c r="K2969" s="1335" t="s">
        <v>475</v>
      </c>
      <c r="L2969" s="180">
        <v>100</v>
      </c>
      <c r="M2969" t="s">
        <v>68</v>
      </c>
      <c r="N2969" t="str">
        <f t="shared" si="186"/>
        <v>GreenHouse (0105)</v>
      </c>
      <c r="O2969" t="s">
        <v>50</v>
      </c>
      <c r="P2969" t="str">
        <f t="shared" si="187"/>
        <v>51000_0105</v>
      </c>
      <c r="Q2969" s="180">
        <v>0</v>
      </c>
    </row>
    <row r="2970" spans="1:17">
      <c r="A2970" t="str">
        <f t="shared" si="184"/>
        <v>VSU_0106</v>
      </c>
      <c r="B2970" t="str">
        <f t="shared" si="185"/>
        <v>VSU_NOCO Concessions</v>
      </c>
      <c r="C2970" t="s">
        <v>454</v>
      </c>
      <c r="D2970" s="180" t="s">
        <v>34</v>
      </c>
      <c r="E2970" t="s">
        <v>765</v>
      </c>
      <c r="F2970" t="s">
        <v>5883</v>
      </c>
      <c r="G2970" s="180">
        <v>702</v>
      </c>
      <c r="H2970">
        <v>1981</v>
      </c>
      <c r="J2970" s="1334" t="s">
        <v>475</v>
      </c>
      <c r="K2970" s="1335" t="s">
        <v>475</v>
      </c>
      <c r="L2970" s="180">
        <v>0</v>
      </c>
      <c r="M2970" t="s">
        <v>68</v>
      </c>
      <c r="N2970" t="str">
        <f t="shared" si="186"/>
        <v>NOCO Concessions (0106)</v>
      </c>
      <c r="O2970" t="s">
        <v>50</v>
      </c>
      <c r="P2970" t="str">
        <f t="shared" si="187"/>
        <v>51000_0106</v>
      </c>
      <c r="Q2970" s="180">
        <v>0</v>
      </c>
    </row>
    <row r="2971" spans="1:17">
      <c r="A2971" t="str">
        <f t="shared" si="184"/>
        <v>VSU_0108</v>
      </c>
      <c r="B2971" t="str">
        <f t="shared" si="185"/>
        <v>VSU_Health&amp;Business Administration</v>
      </c>
      <c r="C2971" t="s">
        <v>454</v>
      </c>
      <c r="D2971" s="180" t="s">
        <v>34</v>
      </c>
      <c r="E2971" t="s">
        <v>743</v>
      </c>
      <c r="F2971" t="s">
        <v>5880</v>
      </c>
      <c r="G2971" s="180">
        <v>145400</v>
      </c>
      <c r="H2971">
        <v>2013</v>
      </c>
      <c r="J2971" s="1334" t="s">
        <v>475</v>
      </c>
      <c r="K2971" s="1335" t="s">
        <v>920</v>
      </c>
      <c r="L2971" s="180">
        <v>99</v>
      </c>
      <c r="M2971" t="s">
        <v>68</v>
      </c>
      <c r="N2971" t="str">
        <f t="shared" si="186"/>
        <v>Health&amp;Business Administration (0108)</v>
      </c>
      <c r="O2971" t="s">
        <v>50</v>
      </c>
      <c r="P2971" t="str">
        <f t="shared" si="187"/>
        <v>51000_0108</v>
      </c>
      <c r="Q2971" s="180">
        <v>0</v>
      </c>
    </row>
    <row r="2972" spans="1:17">
      <c r="A2972" t="str">
        <f t="shared" si="184"/>
        <v>VSU_0109</v>
      </c>
      <c r="B2972" t="str">
        <f t="shared" si="185"/>
        <v>VSU_109 West Moore Street</v>
      </c>
      <c r="C2972" t="s">
        <v>454</v>
      </c>
      <c r="D2972" s="180" t="s">
        <v>34</v>
      </c>
      <c r="E2972" t="s">
        <v>894</v>
      </c>
      <c r="F2972" t="s">
        <v>5917</v>
      </c>
      <c r="G2972" s="180">
        <v>2214</v>
      </c>
      <c r="H2972">
        <v>1975</v>
      </c>
      <c r="J2972" s="1334" t="s">
        <v>475</v>
      </c>
      <c r="K2972" s="1335" t="s">
        <v>475</v>
      </c>
      <c r="L2972" s="180">
        <v>100</v>
      </c>
      <c r="M2972" t="s">
        <v>68</v>
      </c>
      <c r="N2972" t="str">
        <f t="shared" si="186"/>
        <v>109 West Moore Street (0109)</v>
      </c>
      <c r="O2972" t="s">
        <v>50</v>
      </c>
      <c r="P2972" t="str">
        <f t="shared" si="187"/>
        <v>51000_0109</v>
      </c>
      <c r="Q2972" s="180">
        <v>0</v>
      </c>
    </row>
    <row r="2973" spans="1:17">
      <c r="A2973" t="str">
        <f t="shared" si="184"/>
        <v>VSU_010A</v>
      </c>
      <c r="B2973" t="str">
        <f t="shared" si="185"/>
        <v>VSU_Powell Hall</v>
      </c>
      <c r="C2973" t="s">
        <v>454</v>
      </c>
      <c r="D2973" s="180" t="s">
        <v>34</v>
      </c>
      <c r="E2973" t="s">
        <v>5824</v>
      </c>
      <c r="F2973" t="s">
        <v>5772</v>
      </c>
      <c r="G2973" s="180">
        <v>26622</v>
      </c>
      <c r="H2973">
        <v>1939</v>
      </c>
      <c r="I2973">
        <v>1993</v>
      </c>
      <c r="J2973" s="1334" t="s">
        <v>475</v>
      </c>
      <c r="K2973" s="1335" t="s">
        <v>475</v>
      </c>
      <c r="L2973" s="180">
        <v>100</v>
      </c>
      <c r="M2973" t="s">
        <v>68</v>
      </c>
      <c r="N2973" t="str">
        <f t="shared" si="186"/>
        <v>Powell Hall (010A)</v>
      </c>
      <c r="O2973" t="s">
        <v>50</v>
      </c>
      <c r="P2973" t="str">
        <f t="shared" si="187"/>
        <v>51000_010A</v>
      </c>
      <c r="Q2973" s="180">
        <v>0</v>
      </c>
    </row>
    <row r="2974" spans="1:17">
      <c r="A2974" t="str">
        <f t="shared" si="184"/>
        <v>VSU_0110</v>
      </c>
      <c r="B2974" t="str">
        <f t="shared" si="185"/>
        <v>VSU_Greenhouse #2</v>
      </c>
      <c r="C2974" t="s">
        <v>454</v>
      </c>
      <c r="D2974" s="180" t="s">
        <v>34</v>
      </c>
      <c r="E2974" t="s">
        <v>666</v>
      </c>
      <c r="F2974" t="s">
        <v>5911</v>
      </c>
      <c r="G2974" s="180">
        <v>960</v>
      </c>
      <c r="H2974">
        <v>2013</v>
      </c>
      <c r="J2974" s="1334" t="s">
        <v>475</v>
      </c>
      <c r="K2974" s="1335" t="s">
        <v>475</v>
      </c>
      <c r="L2974" s="180">
        <v>100</v>
      </c>
      <c r="M2974" t="s">
        <v>68</v>
      </c>
      <c r="N2974" t="str">
        <f t="shared" si="186"/>
        <v>Greenhouse #2 (0110)</v>
      </c>
      <c r="O2974" t="s">
        <v>50</v>
      </c>
      <c r="P2974" t="str">
        <f t="shared" si="187"/>
        <v>51000_0110</v>
      </c>
      <c r="Q2974" s="180">
        <v>100</v>
      </c>
    </row>
    <row r="2975" spans="1:17">
      <c r="A2975" t="str">
        <f t="shared" si="184"/>
        <v>VSU_0111</v>
      </c>
      <c r="B2975" t="str">
        <f t="shared" si="185"/>
        <v>VSU_111 West Moore Street</v>
      </c>
      <c r="C2975" t="s">
        <v>454</v>
      </c>
      <c r="D2975" s="180" t="s">
        <v>34</v>
      </c>
      <c r="E2975" t="s">
        <v>834</v>
      </c>
      <c r="F2975" t="s">
        <v>5865</v>
      </c>
      <c r="G2975" s="180">
        <v>2691</v>
      </c>
      <c r="H2975">
        <v>1975</v>
      </c>
      <c r="J2975" s="1334" t="s">
        <v>475</v>
      </c>
      <c r="K2975" s="1335" t="s">
        <v>475</v>
      </c>
      <c r="L2975" s="180">
        <v>100</v>
      </c>
      <c r="M2975" t="s">
        <v>68</v>
      </c>
      <c r="N2975" t="str">
        <f t="shared" si="186"/>
        <v>111 West Moore Street (0111)</v>
      </c>
      <c r="O2975" t="s">
        <v>50</v>
      </c>
      <c r="P2975" t="str">
        <f t="shared" si="187"/>
        <v>51000_0111</v>
      </c>
      <c r="Q2975" s="180">
        <v>100</v>
      </c>
    </row>
    <row r="2976" spans="1:17">
      <c r="A2976" t="str">
        <f t="shared" si="184"/>
        <v>VSU_014A</v>
      </c>
      <c r="B2976" t="str">
        <f t="shared" si="185"/>
        <v>VSU_Palms Dining Center</v>
      </c>
      <c r="C2976" t="s">
        <v>454</v>
      </c>
      <c r="D2976" s="180" t="s">
        <v>34</v>
      </c>
      <c r="E2976" t="s">
        <v>5835</v>
      </c>
      <c r="F2976" t="s">
        <v>5836</v>
      </c>
      <c r="G2976" s="180">
        <v>31211</v>
      </c>
      <c r="H2976">
        <v>1954</v>
      </c>
      <c r="I2976">
        <v>1968</v>
      </c>
      <c r="J2976" s="1334" t="s">
        <v>475</v>
      </c>
      <c r="K2976" s="1335" t="s">
        <v>475</v>
      </c>
      <c r="L2976" s="180">
        <v>0</v>
      </c>
      <c r="M2976" t="s">
        <v>68</v>
      </c>
      <c r="N2976" t="str">
        <f t="shared" si="186"/>
        <v>Palms Dining Center (014A)</v>
      </c>
      <c r="O2976" t="s">
        <v>50</v>
      </c>
      <c r="P2976" t="str">
        <f t="shared" si="187"/>
        <v>51000_014A</v>
      </c>
      <c r="Q2976" s="180">
        <v>100</v>
      </c>
    </row>
    <row r="2977" spans="1:17">
      <c r="A2977" t="str">
        <f t="shared" si="184"/>
        <v>VSU_0198</v>
      </c>
      <c r="B2977" t="str">
        <f t="shared" si="185"/>
        <v>VSU_Psychology Class Bldg.</v>
      </c>
      <c r="C2977" t="s">
        <v>454</v>
      </c>
      <c r="D2977" s="180" t="s">
        <v>34</v>
      </c>
      <c r="E2977" t="s">
        <v>689</v>
      </c>
      <c r="F2977" t="s">
        <v>5850</v>
      </c>
      <c r="G2977" s="180">
        <v>3201</v>
      </c>
      <c r="H2977">
        <v>1998</v>
      </c>
      <c r="J2977" s="1334" t="s">
        <v>475</v>
      </c>
      <c r="K2977" s="1335" t="s">
        <v>475</v>
      </c>
      <c r="L2977" s="180">
        <v>100</v>
      </c>
      <c r="M2977" t="s">
        <v>68</v>
      </c>
      <c r="N2977" t="str">
        <f t="shared" si="186"/>
        <v>Psychology Class Bldg. (0198)</v>
      </c>
      <c r="O2977" t="s">
        <v>50</v>
      </c>
      <c r="P2977" t="str">
        <f t="shared" si="187"/>
        <v>51000_0198</v>
      </c>
      <c r="Q2977" s="180">
        <v>100</v>
      </c>
    </row>
    <row r="2978" spans="1:17">
      <c r="A2978" t="str">
        <f t="shared" si="184"/>
        <v>VSU_0199</v>
      </c>
      <c r="B2978" t="str">
        <f t="shared" si="185"/>
        <v>VSU_Marriage &amp; Family Therapy</v>
      </c>
      <c r="C2978" t="s">
        <v>454</v>
      </c>
      <c r="D2978" s="180" t="s">
        <v>34</v>
      </c>
      <c r="E2978" t="s">
        <v>648</v>
      </c>
      <c r="F2978" t="s">
        <v>5847</v>
      </c>
      <c r="G2978" s="180">
        <v>12006</v>
      </c>
      <c r="H2978">
        <v>1965</v>
      </c>
      <c r="J2978" s="1334" t="s">
        <v>475</v>
      </c>
      <c r="K2978" s="1335" t="s">
        <v>475</v>
      </c>
      <c r="L2978" s="180">
        <v>100</v>
      </c>
      <c r="M2978" t="s">
        <v>68</v>
      </c>
      <c r="N2978" t="str">
        <f t="shared" si="186"/>
        <v>Marriage &amp; Family Therapy (0199)</v>
      </c>
      <c r="O2978" t="s">
        <v>50</v>
      </c>
      <c r="P2978" t="str">
        <f t="shared" si="187"/>
        <v>51000_0199</v>
      </c>
      <c r="Q2978" s="180">
        <v>99</v>
      </c>
    </row>
    <row r="2979" spans="1:17">
      <c r="A2979" t="str">
        <f t="shared" si="184"/>
        <v>VSU_0200</v>
      </c>
      <c r="B2979" t="str">
        <f t="shared" si="185"/>
        <v>VSU_Regional Education Center</v>
      </c>
      <c r="C2979" t="s">
        <v>454</v>
      </c>
      <c r="D2979" s="180" t="s">
        <v>34</v>
      </c>
      <c r="E2979" t="s">
        <v>500</v>
      </c>
      <c r="F2979" t="s">
        <v>5899</v>
      </c>
      <c r="G2979" s="180">
        <v>27138</v>
      </c>
      <c r="H2979">
        <v>1965</v>
      </c>
      <c r="J2979" s="1334" t="s">
        <v>475</v>
      </c>
      <c r="K2979" s="1335" t="s">
        <v>475</v>
      </c>
      <c r="L2979" s="180">
        <v>100</v>
      </c>
      <c r="M2979" t="s">
        <v>68</v>
      </c>
      <c r="N2979" t="str">
        <f t="shared" si="186"/>
        <v>Regional Education Center (0200)</v>
      </c>
      <c r="O2979" t="s">
        <v>50</v>
      </c>
      <c r="P2979" t="str">
        <f t="shared" si="187"/>
        <v>51000_0200</v>
      </c>
      <c r="Q2979" s="180">
        <v>99</v>
      </c>
    </row>
    <row r="2980" spans="1:17">
      <c r="A2980" t="str">
        <f t="shared" si="184"/>
        <v>VSU_0202</v>
      </c>
      <c r="B2980" t="str">
        <f t="shared" si="185"/>
        <v>VSU_Brown House</v>
      </c>
      <c r="C2980" t="s">
        <v>454</v>
      </c>
      <c r="D2980" s="180" t="s">
        <v>34</v>
      </c>
      <c r="E2980" t="s">
        <v>5488</v>
      </c>
      <c r="F2980" t="s">
        <v>5907</v>
      </c>
      <c r="G2980" s="180">
        <v>3472</v>
      </c>
      <c r="H2980">
        <v>1900</v>
      </c>
      <c r="J2980" s="1334" t="s">
        <v>475</v>
      </c>
      <c r="K2980" s="1335" t="s">
        <v>475</v>
      </c>
      <c r="L2980" s="180">
        <v>100</v>
      </c>
      <c r="M2980" t="s">
        <v>68</v>
      </c>
      <c r="N2980" t="str">
        <f t="shared" si="186"/>
        <v>Brown House (0202)</v>
      </c>
      <c r="O2980" t="s">
        <v>50</v>
      </c>
      <c r="P2980" t="str">
        <f t="shared" si="187"/>
        <v>51000_0202</v>
      </c>
      <c r="Q2980" s="180">
        <v>100</v>
      </c>
    </row>
    <row r="2981" spans="1:17">
      <c r="A2981" t="str">
        <f t="shared" si="184"/>
        <v>VSU_0204</v>
      </c>
      <c r="B2981" t="str">
        <f t="shared" si="185"/>
        <v>VSU_Williams House</v>
      </c>
      <c r="C2981" t="s">
        <v>454</v>
      </c>
      <c r="D2981" s="180" t="s">
        <v>34</v>
      </c>
      <c r="E2981" t="s">
        <v>640</v>
      </c>
      <c r="F2981" t="s">
        <v>5860</v>
      </c>
      <c r="G2981" s="180">
        <v>2588</v>
      </c>
      <c r="H2981">
        <v>1955</v>
      </c>
      <c r="J2981" s="1334" t="s">
        <v>475</v>
      </c>
      <c r="K2981" s="1335" t="s">
        <v>475</v>
      </c>
      <c r="L2981" s="180">
        <v>100</v>
      </c>
      <c r="M2981" t="s">
        <v>68</v>
      </c>
      <c r="N2981" t="str">
        <f t="shared" si="186"/>
        <v>Williams House (0204)</v>
      </c>
      <c r="O2981" t="s">
        <v>50</v>
      </c>
      <c r="P2981" t="str">
        <f t="shared" si="187"/>
        <v>51000_0204</v>
      </c>
      <c r="Q2981" s="180">
        <v>89</v>
      </c>
    </row>
    <row r="2982" spans="1:17">
      <c r="A2982" t="str">
        <f t="shared" si="184"/>
        <v>VSU_0205</v>
      </c>
      <c r="B2982" t="str">
        <f t="shared" si="185"/>
        <v>VSU_Seago House</v>
      </c>
      <c r="C2982" t="s">
        <v>454</v>
      </c>
      <c r="D2982" s="180" t="s">
        <v>34</v>
      </c>
      <c r="E2982" t="s">
        <v>908</v>
      </c>
      <c r="F2982" t="s">
        <v>5858</v>
      </c>
      <c r="G2982" s="180">
        <v>5541</v>
      </c>
      <c r="H2982">
        <v>1926</v>
      </c>
      <c r="J2982" s="1334" t="s">
        <v>475</v>
      </c>
      <c r="K2982" s="1335" t="s">
        <v>475</v>
      </c>
      <c r="L2982" s="180">
        <v>100</v>
      </c>
      <c r="M2982" t="s">
        <v>68</v>
      </c>
      <c r="N2982" t="str">
        <f t="shared" si="186"/>
        <v>Seago House (0205)</v>
      </c>
      <c r="O2982" t="s">
        <v>50</v>
      </c>
      <c r="P2982" t="str">
        <f t="shared" si="187"/>
        <v>51000_0205</v>
      </c>
      <c r="Q2982" s="180">
        <v>100</v>
      </c>
    </row>
    <row r="2983" spans="1:17">
      <c r="A2983" t="str">
        <f t="shared" si="184"/>
        <v>VSU_0206</v>
      </c>
      <c r="B2983" t="str">
        <f t="shared" si="185"/>
        <v>VSU_Auxiliary Services</v>
      </c>
      <c r="C2983" t="s">
        <v>454</v>
      </c>
      <c r="D2983" s="180" t="s">
        <v>34</v>
      </c>
      <c r="E2983" t="s">
        <v>5136</v>
      </c>
      <c r="F2983" t="s">
        <v>5838</v>
      </c>
      <c r="G2983" s="180">
        <v>3651</v>
      </c>
      <c r="H2983">
        <v>1974</v>
      </c>
      <c r="J2983" s="1334" t="s">
        <v>475</v>
      </c>
      <c r="K2983" s="1335" t="s">
        <v>475</v>
      </c>
      <c r="L2983" s="180">
        <v>0</v>
      </c>
      <c r="M2983" t="s">
        <v>68</v>
      </c>
      <c r="N2983" t="str">
        <f t="shared" si="186"/>
        <v>Auxiliary Services (0206)</v>
      </c>
      <c r="O2983" t="s">
        <v>50</v>
      </c>
      <c r="P2983" t="str">
        <f t="shared" si="187"/>
        <v>51000_0206</v>
      </c>
      <c r="Q2983" s="180">
        <v>100</v>
      </c>
    </row>
    <row r="2984" spans="1:17">
      <c r="A2984" t="str">
        <f t="shared" si="184"/>
        <v>VSU_0208</v>
      </c>
      <c r="B2984" t="str">
        <f t="shared" si="185"/>
        <v>VSU_Bursary Drive-up Tellers</v>
      </c>
      <c r="C2984" t="s">
        <v>454</v>
      </c>
      <c r="D2984" s="180" t="s">
        <v>34</v>
      </c>
      <c r="E2984" t="s">
        <v>5279</v>
      </c>
      <c r="F2984" t="s">
        <v>5830</v>
      </c>
      <c r="G2984" s="180">
        <v>1185</v>
      </c>
      <c r="H2984">
        <v>1974</v>
      </c>
      <c r="J2984" s="1334" t="s">
        <v>475</v>
      </c>
      <c r="K2984" s="1335" t="s">
        <v>475</v>
      </c>
      <c r="L2984" s="180">
        <v>100</v>
      </c>
      <c r="M2984" t="s">
        <v>68</v>
      </c>
      <c r="N2984" t="str">
        <f t="shared" si="186"/>
        <v>Bursary Drive-up Tellers (0208)</v>
      </c>
      <c r="O2984" t="s">
        <v>50</v>
      </c>
      <c r="P2984" t="str">
        <f t="shared" si="187"/>
        <v>51000_0208</v>
      </c>
      <c r="Q2984" s="180">
        <v>100</v>
      </c>
    </row>
    <row r="2985" spans="1:17">
      <c r="A2985" t="str">
        <f t="shared" si="184"/>
        <v>VSU_0210</v>
      </c>
      <c r="B2985" t="str">
        <f t="shared" si="185"/>
        <v>VSU_University Center Bldg #3</v>
      </c>
      <c r="C2985" t="s">
        <v>454</v>
      </c>
      <c r="D2985" s="180" t="s">
        <v>34</v>
      </c>
      <c r="E2985" t="s">
        <v>521</v>
      </c>
      <c r="F2985" t="s">
        <v>5859</v>
      </c>
      <c r="G2985" s="180">
        <v>21600</v>
      </c>
      <c r="H2985">
        <v>1960</v>
      </c>
      <c r="I2985">
        <v>1995</v>
      </c>
      <c r="J2985" s="1334" t="s">
        <v>475</v>
      </c>
      <c r="K2985" s="1335" t="s">
        <v>475</v>
      </c>
      <c r="L2985" s="180">
        <v>100</v>
      </c>
      <c r="M2985" t="s">
        <v>68</v>
      </c>
      <c r="N2985" t="str">
        <f t="shared" si="186"/>
        <v>University Center Bldg #3 (0210)</v>
      </c>
      <c r="O2985" t="s">
        <v>50</v>
      </c>
      <c r="P2985" t="str">
        <f t="shared" si="187"/>
        <v>51000_0210</v>
      </c>
      <c r="Q2985" s="180">
        <v>100</v>
      </c>
    </row>
    <row r="2986" spans="1:17">
      <c r="A2986" t="str">
        <f t="shared" si="184"/>
        <v>VSU_0211</v>
      </c>
      <c r="B2986" t="str">
        <f t="shared" si="185"/>
        <v>VSU_University Center Bldg #2</v>
      </c>
      <c r="C2986" t="s">
        <v>454</v>
      </c>
      <c r="D2986" s="180" t="s">
        <v>34</v>
      </c>
      <c r="E2986" t="s">
        <v>779</v>
      </c>
      <c r="F2986" t="s">
        <v>5825</v>
      </c>
      <c r="G2986" s="180">
        <v>29953</v>
      </c>
      <c r="H2986">
        <v>1960</v>
      </c>
      <c r="I2986">
        <v>1995</v>
      </c>
      <c r="J2986" s="1334" t="s">
        <v>475</v>
      </c>
      <c r="K2986" s="1335" t="s">
        <v>481</v>
      </c>
      <c r="L2986" s="180">
        <v>100</v>
      </c>
      <c r="M2986" t="s">
        <v>68</v>
      </c>
      <c r="N2986" t="str">
        <f t="shared" si="186"/>
        <v>University Center Bldg #2 (0211)</v>
      </c>
      <c r="O2986" t="s">
        <v>50</v>
      </c>
      <c r="P2986" t="str">
        <f t="shared" si="187"/>
        <v>51000_0211</v>
      </c>
      <c r="Q2986" s="180">
        <v>100</v>
      </c>
    </row>
    <row r="2987" spans="1:17">
      <c r="A2987" t="str">
        <f t="shared" si="184"/>
        <v>VSU_0212</v>
      </c>
      <c r="B2987" t="str">
        <f t="shared" si="185"/>
        <v>VSU_University Center Bldg #1</v>
      </c>
      <c r="C2987" t="s">
        <v>454</v>
      </c>
      <c r="D2987" s="180" t="s">
        <v>34</v>
      </c>
      <c r="E2987" t="s">
        <v>825</v>
      </c>
      <c r="F2987" t="s">
        <v>5854</v>
      </c>
      <c r="G2987" s="180">
        <v>53614</v>
      </c>
      <c r="H2987">
        <v>1960</v>
      </c>
      <c r="J2987" s="1334" t="s">
        <v>475</v>
      </c>
      <c r="K2987" s="1335" t="s">
        <v>475</v>
      </c>
      <c r="L2987" s="180">
        <v>98</v>
      </c>
      <c r="M2987" t="s">
        <v>68</v>
      </c>
      <c r="N2987" t="str">
        <f t="shared" si="186"/>
        <v>University Center Bldg #1 (0212)</v>
      </c>
      <c r="O2987" t="s">
        <v>50</v>
      </c>
      <c r="P2987" t="str">
        <f t="shared" si="187"/>
        <v>51000_0212</v>
      </c>
      <c r="Q2987" s="180">
        <v>100</v>
      </c>
    </row>
    <row r="2988" spans="1:17">
      <c r="A2988" t="str">
        <f t="shared" si="184"/>
        <v>VSU_0213</v>
      </c>
      <c r="B2988" t="str">
        <f t="shared" si="185"/>
        <v>VSU_University Center Bldg #4</v>
      </c>
      <c r="C2988" t="s">
        <v>454</v>
      </c>
      <c r="D2988" s="180" t="s">
        <v>34</v>
      </c>
      <c r="E2988" t="s">
        <v>4891</v>
      </c>
      <c r="F2988" t="s">
        <v>5826</v>
      </c>
      <c r="G2988" s="180">
        <v>45695</v>
      </c>
      <c r="H2988">
        <v>1960</v>
      </c>
      <c r="J2988" s="1334" t="s">
        <v>475</v>
      </c>
      <c r="K2988" s="1335" t="s">
        <v>475</v>
      </c>
      <c r="L2988" s="180">
        <v>87</v>
      </c>
      <c r="M2988" t="s">
        <v>68</v>
      </c>
      <c r="N2988" t="str">
        <f t="shared" si="186"/>
        <v>University Center Bldg #4 (0213)</v>
      </c>
      <c r="O2988" t="s">
        <v>50</v>
      </c>
      <c r="P2988" t="str">
        <f t="shared" si="187"/>
        <v>51000_0213</v>
      </c>
      <c r="Q2988" s="180">
        <v>100</v>
      </c>
    </row>
    <row r="2989" spans="1:17">
      <c r="A2989" t="str">
        <f t="shared" si="184"/>
        <v>VSU_0218</v>
      </c>
      <c r="B2989" t="str">
        <f t="shared" si="185"/>
        <v>VSU_Chemical Management</v>
      </c>
      <c r="C2989" t="s">
        <v>454</v>
      </c>
      <c r="D2989" s="180" t="s">
        <v>34</v>
      </c>
      <c r="E2989" t="s">
        <v>5896</v>
      </c>
      <c r="F2989" t="s">
        <v>5897</v>
      </c>
      <c r="G2989" s="180">
        <v>1239</v>
      </c>
      <c r="H2989">
        <v>1995</v>
      </c>
      <c r="J2989" s="1334" t="s">
        <v>475</v>
      </c>
      <c r="K2989" s="1335" t="s">
        <v>475</v>
      </c>
      <c r="L2989" s="180">
        <v>100</v>
      </c>
      <c r="M2989" t="s">
        <v>68</v>
      </c>
      <c r="N2989" t="str">
        <f t="shared" si="186"/>
        <v>Chemical Management (0218)</v>
      </c>
      <c r="O2989" t="s">
        <v>50</v>
      </c>
      <c r="P2989" t="str">
        <f t="shared" si="187"/>
        <v>51000_0218</v>
      </c>
      <c r="Q2989" s="180">
        <v>0</v>
      </c>
    </row>
    <row r="2990" spans="1:17">
      <c r="A2990" t="str">
        <f t="shared" si="184"/>
        <v>VSU_0219</v>
      </c>
      <c r="B2990" t="str">
        <f t="shared" si="185"/>
        <v>VSU_ELI</v>
      </c>
      <c r="C2990" t="s">
        <v>454</v>
      </c>
      <c r="D2990" s="180" t="s">
        <v>34</v>
      </c>
      <c r="E2990" t="s">
        <v>5267</v>
      </c>
      <c r="F2990" t="s">
        <v>7778</v>
      </c>
      <c r="G2990" s="180">
        <v>3170</v>
      </c>
      <c r="H2990">
        <v>1920</v>
      </c>
      <c r="J2990" s="1334" t="s">
        <v>475</v>
      </c>
      <c r="K2990" s="1335" t="s">
        <v>520</v>
      </c>
      <c r="L2990" s="180">
        <v>0</v>
      </c>
      <c r="M2990" t="s">
        <v>68</v>
      </c>
      <c r="N2990" t="str">
        <f t="shared" si="186"/>
        <v>ELI (0219)</v>
      </c>
      <c r="O2990" t="s">
        <v>50</v>
      </c>
      <c r="P2990" t="str">
        <f t="shared" si="187"/>
        <v>51000_0219</v>
      </c>
      <c r="Q2990" s="180">
        <v>100</v>
      </c>
    </row>
    <row r="2991" spans="1:17">
      <c r="A2991" t="str">
        <f t="shared" si="184"/>
        <v>VSU_0223</v>
      </c>
      <c r="B2991" t="str">
        <f t="shared" si="185"/>
        <v>VSU_223 W. Moore Street</v>
      </c>
      <c r="C2991" t="s">
        <v>454</v>
      </c>
      <c r="D2991" s="180" t="s">
        <v>34</v>
      </c>
      <c r="E2991" t="s">
        <v>5870</v>
      </c>
      <c r="F2991" t="s">
        <v>5871</v>
      </c>
      <c r="G2991" s="180">
        <v>3596</v>
      </c>
      <c r="H2991">
        <v>1960</v>
      </c>
      <c r="J2991" s="1334" t="s">
        <v>475</v>
      </c>
      <c r="K2991" s="1335" t="s">
        <v>475</v>
      </c>
      <c r="L2991" s="180">
        <v>100</v>
      </c>
      <c r="M2991" t="s">
        <v>68</v>
      </c>
      <c r="N2991" t="str">
        <f t="shared" si="186"/>
        <v>223 W. Moore Street (0223)</v>
      </c>
      <c r="O2991" t="s">
        <v>50</v>
      </c>
      <c r="P2991" t="str">
        <f t="shared" si="187"/>
        <v>51000_0223</v>
      </c>
      <c r="Q2991" s="180">
        <v>100</v>
      </c>
    </row>
    <row r="2992" spans="1:17">
      <c r="A2992" t="str">
        <f t="shared" si="184"/>
        <v>VSU_031A</v>
      </c>
      <c r="B2992" t="str">
        <f t="shared" si="185"/>
        <v>VSU_Jennett Lecture Hall</v>
      </c>
      <c r="C2992" t="s">
        <v>454</v>
      </c>
      <c r="D2992" s="180" t="s">
        <v>34</v>
      </c>
      <c r="E2992" t="s">
        <v>5839</v>
      </c>
      <c r="F2992" t="s">
        <v>5840</v>
      </c>
      <c r="G2992" s="180">
        <v>15780</v>
      </c>
      <c r="H2992">
        <v>2010</v>
      </c>
      <c r="J2992" s="1334" t="s">
        <v>475</v>
      </c>
      <c r="K2992" s="1335" t="s">
        <v>920</v>
      </c>
      <c r="L2992" s="180">
        <v>100</v>
      </c>
      <c r="M2992" t="s">
        <v>68</v>
      </c>
      <c r="N2992" t="str">
        <f t="shared" si="186"/>
        <v>Jennett Lecture Hall (031A)</v>
      </c>
      <c r="O2992" t="s">
        <v>50</v>
      </c>
      <c r="P2992" t="str">
        <f t="shared" si="187"/>
        <v>51000_031A</v>
      </c>
      <c r="Q2992" s="180">
        <v>0</v>
      </c>
    </row>
    <row r="2993" spans="1:17">
      <c r="A2993" t="str">
        <f t="shared" si="184"/>
        <v>VSU_0644</v>
      </c>
      <c r="B2993" t="str">
        <f t="shared" si="185"/>
        <v>VSU_Ticket Booth - Ladies Complex</v>
      </c>
      <c r="C2993" t="s">
        <v>454</v>
      </c>
      <c r="D2993" s="180" t="s">
        <v>34</v>
      </c>
      <c r="E2993" t="s">
        <v>5821</v>
      </c>
      <c r="F2993" t="s">
        <v>5822</v>
      </c>
      <c r="G2993" s="180">
        <v>110</v>
      </c>
      <c r="H2993">
        <v>2002</v>
      </c>
      <c r="J2993" s="1334" t="s">
        <v>475</v>
      </c>
      <c r="K2993" s="1335" t="s">
        <v>920</v>
      </c>
      <c r="L2993" s="180">
        <v>0</v>
      </c>
      <c r="M2993" t="s">
        <v>68</v>
      </c>
      <c r="N2993" t="str">
        <f t="shared" si="186"/>
        <v>Ticket Booth - Ladies Complex (0644)</v>
      </c>
      <c r="O2993" t="s">
        <v>50</v>
      </c>
      <c r="P2993" t="str">
        <f t="shared" si="187"/>
        <v>51000_0644</v>
      </c>
      <c r="Q2993" s="180">
        <v>0</v>
      </c>
    </row>
    <row r="2994" spans="1:17">
      <c r="A2994" t="str">
        <f t="shared" si="184"/>
        <v>VSU_0645</v>
      </c>
      <c r="B2994" t="str">
        <f t="shared" si="185"/>
        <v>VSU_Ladies Softball Complex</v>
      </c>
      <c r="C2994" t="s">
        <v>454</v>
      </c>
      <c r="D2994" s="180" t="s">
        <v>34</v>
      </c>
      <c r="E2994" t="s">
        <v>4684</v>
      </c>
      <c r="F2994" t="s">
        <v>5881</v>
      </c>
      <c r="G2994" s="180">
        <v>2308</v>
      </c>
      <c r="H2994">
        <v>1999</v>
      </c>
      <c r="J2994" s="1334" t="s">
        <v>520</v>
      </c>
      <c r="K2994" s="1335" t="s">
        <v>920</v>
      </c>
      <c r="L2994" s="180">
        <v>90</v>
      </c>
      <c r="M2994" t="s">
        <v>68</v>
      </c>
      <c r="N2994" t="str">
        <f t="shared" si="186"/>
        <v>Ladies Softball Complex (0645)</v>
      </c>
      <c r="O2994" t="s">
        <v>50</v>
      </c>
      <c r="P2994" t="str">
        <f t="shared" si="187"/>
        <v>51000_0645</v>
      </c>
      <c r="Q2994" s="180">
        <v>0</v>
      </c>
    </row>
    <row r="2995" spans="1:17">
      <c r="A2995" t="str">
        <f t="shared" si="184"/>
        <v>VSU_0650</v>
      </c>
      <c r="B2995" t="str">
        <f t="shared" si="185"/>
        <v>VSU_Womens Softball House</v>
      </c>
      <c r="C2995" t="s">
        <v>454</v>
      </c>
      <c r="D2995" s="180" t="s">
        <v>34</v>
      </c>
      <c r="E2995" t="s">
        <v>2585</v>
      </c>
      <c r="F2995" t="s">
        <v>5875</v>
      </c>
      <c r="G2995" s="180">
        <v>2569</v>
      </c>
      <c r="H2995">
        <v>1955</v>
      </c>
      <c r="I2995">
        <v>1993</v>
      </c>
      <c r="J2995" s="1334" t="s">
        <v>475</v>
      </c>
      <c r="K2995" s="1335" t="s">
        <v>475</v>
      </c>
      <c r="L2995" s="180">
        <v>100</v>
      </c>
      <c r="M2995" t="s">
        <v>68</v>
      </c>
      <c r="N2995" t="str">
        <f t="shared" si="186"/>
        <v>Womens Softball House (0650)</v>
      </c>
      <c r="O2995" t="s">
        <v>50</v>
      </c>
      <c r="P2995" t="str">
        <f t="shared" si="187"/>
        <v>51000_0650</v>
      </c>
      <c r="Q2995" s="180">
        <v>100</v>
      </c>
    </row>
    <row r="2996" spans="1:17">
      <c r="A2996" t="str">
        <f t="shared" si="184"/>
        <v>VSU_0651</v>
      </c>
      <c r="B2996" t="str">
        <f t="shared" si="185"/>
        <v>VSU_Intramurals Storage</v>
      </c>
      <c r="C2996" t="s">
        <v>454</v>
      </c>
      <c r="D2996" s="180" t="s">
        <v>34</v>
      </c>
      <c r="E2996" t="s">
        <v>1709</v>
      </c>
      <c r="F2996" t="s">
        <v>5856</v>
      </c>
      <c r="G2996" s="180">
        <v>108</v>
      </c>
      <c r="H2996">
        <v>1969</v>
      </c>
      <c r="J2996" s="1334" t="s">
        <v>475</v>
      </c>
      <c r="K2996" s="1335" t="s">
        <v>475</v>
      </c>
      <c r="L2996" s="180">
        <v>100</v>
      </c>
      <c r="M2996" t="s">
        <v>68</v>
      </c>
      <c r="N2996" t="str">
        <f t="shared" si="186"/>
        <v>Intramurals Storage (0651)</v>
      </c>
      <c r="O2996" t="s">
        <v>50</v>
      </c>
      <c r="P2996" t="str">
        <f t="shared" si="187"/>
        <v>51000_0651</v>
      </c>
      <c r="Q2996" s="180">
        <v>100</v>
      </c>
    </row>
    <row r="2997" spans="1:17">
      <c r="A2997" t="str">
        <f t="shared" si="184"/>
        <v>VSU_0652</v>
      </c>
      <c r="B2997" t="str">
        <f t="shared" si="185"/>
        <v>VSU_Mass Media Building</v>
      </c>
      <c r="C2997" t="s">
        <v>454</v>
      </c>
      <c r="D2997" s="180" t="s">
        <v>34</v>
      </c>
      <c r="E2997" t="s">
        <v>1786</v>
      </c>
      <c r="F2997" t="s">
        <v>5876</v>
      </c>
      <c r="G2997" s="180">
        <v>13183</v>
      </c>
      <c r="H2997">
        <v>1954</v>
      </c>
      <c r="I2997">
        <v>2010</v>
      </c>
      <c r="J2997" s="1334" t="s">
        <v>475</v>
      </c>
      <c r="K2997" s="1335" t="s">
        <v>475</v>
      </c>
      <c r="L2997" s="180">
        <v>100</v>
      </c>
      <c r="M2997" t="s">
        <v>68</v>
      </c>
      <c r="N2997" t="str">
        <f t="shared" si="186"/>
        <v>Mass Media Building (0652)</v>
      </c>
      <c r="O2997" t="s">
        <v>50</v>
      </c>
      <c r="P2997" t="str">
        <f t="shared" si="187"/>
        <v>51000_0652</v>
      </c>
      <c r="Q2997" s="180">
        <v>100</v>
      </c>
    </row>
    <row r="2998" spans="1:17">
      <c r="A2998" t="str">
        <f t="shared" si="184"/>
        <v>VSU_0653</v>
      </c>
      <c r="B2998" t="str">
        <f t="shared" si="185"/>
        <v>VSU_Billy Grant Baseball Complex</v>
      </c>
      <c r="C2998" t="s">
        <v>454</v>
      </c>
      <c r="D2998" s="180" t="s">
        <v>34</v>
      </c>
      <c r="E2998" t="s">
        <v>5886</v>
      </c>
      <c r="F2998" t="s">
        <v>5887</v>
      </c>
      <c r="G2998" s="180">
        <v>2447</v>
      </c>
      <c r="H2998">
        <v>1968</v>
      </c>
      <c r="J2998" s="1334" t="s">
        <v>475</v>
      </c>
      <c r="K2998" s="1335" t="s">
        <v>475</v>
      </c>
      <c r="L2998" s="180">
        <v>92</v>
      </c>
      <c r="M2998" t="s">
        <v>68</v>
      </c>
      <c r="N2998" t="str">
        <f t="shared" si="186"/>
        <v>Billy Grant Baseball Complex (0653)</v>
      </c>
      <c r="O2998" t="s">
        <v>50</v>
      </c>
      <c r="P2998" t="str">
        <f t="shared" si="187"/>
        <v>51000_0653</v>
      </c>
      <c r="Q2998" s="180">
        <v>100</v>
      </c>
    </row>
    <row r="2999" spans="1:17">
      <c r="A2999" t="str">
        <f t="shared" si="184"/>
        <v>VSU_0655</v>
      </c>
      <c r="B2999" t="str">
        <f t="shared" si="185"/>
        <v>VSU_Intramurals Shed</v>
      </c>
      <c r="C2999" t="s">
        <v>454</v>
      </c>
      <c r="D2999" s="180" t="s">
        <v>34</v>
      </c>
      <c r="E2999" t="s">
        <v>5872</v>
      </c>
      <c r="F2999" t="s">
        <v>5873</v>
      </c>
      <c r="G2999" s="180">
        <v>2000</v>
      </c>
      <c r="H2999">
        <v>2021</v>
      </c>
      <c r="J2999" s="1334" t="s">
        <v>475</v>
      </c>
      <c r="K2999" s="1335" t="s">
        <v>475</v>
      </c>
      <c r="L2999" s="180">
        <v>100</v>
      </c>
      <c r="M2999" t="s">
        <v>68</v>
      </c>
      <c r="N2999" t="str">
        <f t="shared" si="186"/>
        <v>Intramurals Shed (0655)</v>
      </c>
      <c r="O2999" t="s">
        <v>50</v>
      </c>
      <c r="P2999" t="str">
        <f t="shared" si="187"/>
        <v>51000_0655</v>
      </c>
      <c r="Q2999" s="180">
        <v>100</v>
      </c>
    </row>
    <row r="3000" spans="1:17">
      <c r="A3000" t="str">
        <f t="shared" si="184"/>
        <v>VSU_0661</v>
      </c>
      <c r="B3000" t="str">
        <f t="shared" si="185"/>
        <v>VSU_Masonic Lodge</v>
      </c>
      <c r="C3000" t="s">
        <v>454</v>
      </c>
      <c r="D3000" s="180" t="s">
        <v>34</v>
      </c>
      <c r="E3000" t="s">
        <v>2486</v>
      </c>
      <c r="F3000" t="s">
        <v>5882</v>
      </c>
      <c r="G3000" s="180">
        <v>5812</v>
      </c>
      <c r="H3000">
        <v>1920</v>
      </c>
      <c r="J3000" s="1334" t="s">
        <v>475</v>
      </c>
      <c r="K3000" s="1335" t="s">
        <v>475</v>
      </c>
      <c r="L3000" s="180">
        <v>100</v>
      </c>
      <c r="M3000" t="s">
        <v>68</v>
      </c>
      <c r="N3000" t="str">
        <f t="shared" si="186"/>
        <v>Masonic Lodge (0661)</v>
      </c>
      <c r="O3000" t="s">
        <v>50</v>
      </c>
      <c r="P3000" t="str">
        <f t="shared" si="187"/>
        <v>51000_0661</v>
      </c>
      <c r="Q3000" s="180">
        <v>100</v>
      </c>
    </row>
    <row r="3001" spans="1:17">
      <c r="A3001" t="str">
        <f t="shared" si="184"/>
        <v>VSU_1204</v>
      </c>
      <c r="B3001" t="str">
        <f t="shared" si="185"/>
        <v>VSU_Campus Mail</v>
      </c>
      <c r="C3001" t="s">
        <v>454</v>
      </c>
      <c r="D3001" s="180" t="s">
        <v>34</v>
      </c>
      <c r="E3001" t="s">
        <v>5900</v>
      </c>
      <c r="F3001" t="s">
        <v>5901</v>
      </c>
      <c r="G3001" s="180">
        <v>4915</v>
      </c>
      <c r="H3001">
        <v>1965</v>
      </c>
      <c r="J3001" s="1334" t="s">
        <v>475</v>
      </c>
      <c r="K3001" s="1335" t="s">
        <v>475</v>
      </c>
      <c r="L3001" s="180">
        <v>100</v>
      </c>
      <c r="M3001" t="s">
        <v>68</v>
      </c>
      <c r="N3001" t="str">
        <f t="shared" si="186"/>
        <v>Campus Mail (1204)</v>
      </c>
      <c r="O3001" t="s">
        <v>50</v>
      </c>
      <c r="P3001" t="str">
        <f t="shared" si="187"/>
        <v>51000_1204</v>
      </c>
      <c r="Q3001" s="180">
        <v>100</v>
      </c>
    </row>
    <row r="3002" spans="1:17">
      <c r="A3002" t="str">
        <f t="shared" si="184"/>
        <v>VSU_1209</v>
      </c>
      <c r="B3002" t="str">
        <f t="shared" si="185"/>
        <v>VSU_Student Rec Storage</v>
      </c>
      <c r="C3002" t="s">
        <v>454</v>
      </c>
      <c r="D3002" s="180" t="s">
        <v>34</v>
      </c>
      <c r="E3002" t="s">
        <v>5827</v>
      </c>
      <c r="F3002" t="s">
        <v>5828</v>
      </c>
      <c r="G3002" s="180">
        <v>1200</v>
      </c>
      <c r="H3002">
        <v>2011</v>
      </c>
      <c r="J3002" s="1334" t="s">
        <v>475</v>
      </c>
      <c r="K3002" s="1335" t="s">
        <v>475</v>
      </c>
      <c r="L3002" s="180">
        <v>100</v>
      </c>
      <c r="M3002" t="s">
        <v>68</v>
      </c>
      <c r="N3002" t="str">
        <f t="shared" si="186"/>
        <v>Student Rec Storage (1209)</v>
      </c>
      <c r="O3002" t="s">
        <v>50</v>
      </c>
      <c r="P3002" t="str">
        <f t="shared" si="187"/>
        <v>51000_1209</v>
      </c>
      <c r="Q3002" s="180">
        <v>100</v>
      </c>
    </row>
    <row r="3003" spans="1:17">
      <c r="A3003" t="str">
        <f t="shared" si="184"/>
        <v>VSU_1300</v>
      </c>
      <c r="B3003" t="str">
        <f t="shared" si="185"/>
        <v>VSU_Student Recreation Center</v>
      </c>
      <c r="C3003" t="s">
        <v>454</v>
      </c>
      <c r="D3003" s="180" t="s">
        <v>34</v>
      </c>
      <c r="E3003" t="s">
        <v>5831</v>
      </c>
      <c r="F3003" t="s">
        <v>4634</v>
      </c>
      <c r="G3003" s="180">
        <v>76372</v>
      </c>
      <c r="H3003">
        <v>2000</v>
      </c>
      <c r="J3003" s="1334" t="s">
        <v>520</v>
      </c>
      <c r="K3003" s="1335" t="s">
        <v>901</v>
      </c>
      <c r="L3003" s="180">
        <v>100</v>
      </c>
      <c r="M3003" t="s">
        <v>68</v>
      </c>
      <c r="N3003" t="str">
        <f t="shared" si="186"/>
        <v>Student Recreation Center (1300)</v>
      </c>
      <c r="O3003" t="s">
        <v>50</v>
      </c>
      <c r="P3003" t="str">
        <f t="shared" si="187"/>
        <v>51000_1300</v>
      </c>
      <c r="Q3003" s="180">
        <v>0</v>
      </c>
    </row>
    <row r="3004" spans="1:17">
      <c r="A3004" t="str">
        <f t="shared" si="184"/>
        <v>VSU_1301</v>
      </c>
      <c r="B3004" t="str">
        <f t="shared" si="185"/>
        <v>VSU_Sustella Parking Garage</v>
      </c>
      <c r="C3004" t="s">
        <v>454</v>
      </c>
      <c r="D3004" s="180" t="s">
        <v>34</v>
      </c>
      <c r="E3004" t="s">
        <v>5866</v>
      </c>
      <c r="F3004" t="s">
        <v>5867</v>
      </c>
      <c r="G3004" s="180">
        <v>399429</v>
      </c>
      <c r="H3004">
        <v>2008</v>
      </c>
      <c r="J3004" s="1334" t="s">
        <v>486</v>
      </c>
      <c r="K3004" s="1335" t="s">
        <v>920</v>
      </c>
      <c r="L3004" s="180">
        <v>1</v>
      </c>
      <c r="M3004" t="s">
        <v>68</v>
      </c>
      <c r="N3004" t="str">
        <f t="shared" si="186"/>
        <v>Sustella Parking Garage (1301)</v>
      </c>
      <c r="O3004" t="s">
        <v>50</v>
      </c>
      <c r="P3004" t="str">
        <f t="shared" si="187"/>
        <v>51000_1301</v>
      </c>
      <c r="Q3004" s="180">
        <v>0</v>
      </c>
    </row>
    <row r="3005" spans="1:17">
      <c r="A3005" t="str">
        <f t="shared" si="184"/>
        <v>VSU_1302</v>
      </c>
      <c r="B3005" t="str">
        <f t="shared" si="185"/>
        <v>VSU_Oak Street Parking Garage</v>
      </c>
      <c r="C3005" t="s">
        <v>454</v>
      </c>
      <c r="D3005" s="180" t="s">
        <v>34</v>
      </c>
      <c r="E3005" t="s">
        <v>5841</v>
      </c>
      <c r="F3005" t="s">
        <v>5842</v>
      </c>
      <c r="G3005" s="180">
        <v>356593</v>
      </c>
      <c r="H3005">
        <v>2008</v>
      </c>
      <c r="J3005" s="1334" t="s">
        <v>486</v>
      </c>
      <c r="K3005" s="1335" t="s">
        <v>920</v>
      </c>
      <c r="L3005" s="180">
        <v>7</v>
      </c>
      <c r="M3005" t="s">
        <v>68</v>
      </c>
      <c r="N3005" t="str">
        <f t="shared" si="186"/>
        <v>Oak Street Parking Garage (1302)</v>
      </c>
      <c r="O3005" t="s">
        <v>50</v>
      </c>
      <c r="P3005" t="str">
        <f t="shared" si="187"/>
        <v>51000_1302</v>
      </c>
      <c r="Q3005" s="180">
        <v>0</v>
      </c>
    </row>
    <row r="3006" spans="1:17">
      <c r="A3006" t="str">
        <f t="shared" si="184"/>
        <v>VSU_1308</v>
      </c>
      <c r="B3006" t="str">
        <f t="shared" si="185"/>
        <v>VSU_Comm Arts / Curric, Lead &amp;Tech</v>
      </c>
      <c r="C3006" t="s">
        <v>454</v>
      </c>
      <c r="D3006" s="180" t="s">
        <v>34</v>
      </c>
      <c r="E3006" t="s">
        <v>5912</v>
      </c>
      <c r="F3006" t="s">
        <v>5913</v>
      </c>
      <c r="G3006" s="180">
        <v>25350</v>
      </c>
      <c r="H3006">
        <v>1998</v>
      </c>
      <c r="J3006" s="1334" t="s">
        <v>475</v>
      </c>
      <c r="K3006" s="1335" t="s">
        <v>475</v>
      </c>
      <c r="L3006" s="180">
        <v>100</v>
      </c>
      <c r="M3006" t="s">
        <v>68</v>
      </c>
      <c r="N3006" t="str">
        <f t="shared" si="186"/>
        <v>Comm Arts / Curric, Lead &amp;Tech (1308)</v>
      </c>
      <c r="O3006" t="s">
        <v>50</v>
      </c>
      <c r="P3006" t="str">
        <f t="shared" si="187"/>
        <v>51000_1308</v>
      </c>
      <c r="Q3006" s="180">
        <v>0</v>
      </c>
    </row>
    <row r="3007" spans="1:17">
      <c r="A3007" t="str">
        <f t="shared" si="184"/>
        <v>VSU_1500</v>
      </c>
      <c r="B3007" t="str">
        <f t="shared" si="185"/>
        <v>VSU_304 Baytree Rd FCA House</v>
      </c>
      <c r="C3007" t="s">
        <v>454</v>
      </c>
      <c r="D3007" s="180" t="s">
        <v>34</v>
      </c>
      <c r="E3007" t="s">
        <v>7050</v>
      </c>
      <c r="F3007" t="s">
        <v>7157</v>
      </c>
      <c r="G3007" s="180">
        <v>3444</v>
      </c>
      <c r="H3007">
        <v>1982</v>
      </c>
      <c r="J3007" s="1334" t="s">
        <v>475</v>
      </c>
      <c r="K3007" s="1335" t="s">
        <v>475</v>
      </c>
      <c r="L3007" s="180">
        <v>0</v>
      </c>
      <c r="M3007" t="s">
        <v>68</v>
      </c>
      <c r="N3007" t="str">
        <f t="shared" si="186"/>
        <v>304 Baytree Rd FCA House (1500)</v>
      </c>
      <c r="O3007" t="s">
        <v>50</v>
      </c>
      <c r="P3007" t="str">
        <f t="shared" si="187"/>
        <v>51000_1500</v>
      </c>
      <c r="Q3007" s="180">
        <v>0</v>
      </c>
    </row>
    <row r="3008" spans="1:17">
      <c r="A3008" t="str">
        <f t="shared" si="184"/>
        <v>VSU_1504</v>
      </c>
      <c r="B3008" t="str">
        <f t="shared" si="185"/>
        <v>VSU_1504 N. Oak Street</v>
      </c>
      <c r="C3008" t="s">
        <v>454</v>
      </c>
      <c r="D3008" s="180" t="s">
        <v>34</v>
      </c>
      <c r="E3008" t="s">
        <v>3885</v>
      </c>
      <c r="F3008" t="s">
        <v>5888</v>
      </c>
      <c r="G3008" s="180">
        <v>2165</v>
      </c>
      <c r="H3008">
        <v>1967</v>
      </c>
      <c r="J3008" s="1334" t="s">
        <v>475</v>
      </c>
      <c r="K3008" s="1335" t="s">
        <v>475</v>
      </c>
      <c r="L3008" s="180">
        <v>100</v>
      </c>
      <c r="M3008" t="s">
        <v>68</v>
      </c>
      <c r="N3008" t="str">
        <f t="shared" si="186"/>
        <v>1504 N. Oak Street (1504)</v>
      </c>
      <c r="O3008" t="s">
        <v>50</v>
      </c>
      <c r="P3008" t="str">
        <f t="shared" si="187"/>
        <v>51000_1504</v>
      </c>
      <c r="Q3008" s="180">
        <v>100</v>
      </c>
    </row>
    <row r="3009" spans="1:17">
      <c r="A3009" t="str">
        <f t="shared" si="184"/>
        <v>VSU_1506</v>
      </c>
      <c r="B3009" t="str">
        <f t="shared" si="185"/>
        <v>VSU_1506 N Oak Street</v>
      </c>
      <c r="C3009" t="s">
        <v>454</v>
      </c>
      <c r="D3009" s="180" t="s">
        <v>34</v>
      </c>
      <c r="E3009" t="s">
        <v>7051</v>
      </c>
      <c r="F3009" t="s">
        <v>7158</v>
      </c>
      <c r="G3009" s="180">
        <v>2772</v>
      </c>
      <c r="H3009">
        <v>1982</v>
      </c>
      <c r="J3009" s="1334" t="s">
        <v>475</v>
      </c>
      <c r="K3009" s="1335" t="s">
        <v>475</v>
      </c>
      <c r="L3009" s="180">
        <v>0</v>
      </c>
      <c r="M3009" t="s">
        <v>68</v>
      </c>
      <c r="N3009" t="str">
        <f t="shared" si="186"/>
        <v>1506 N Oak Street (1506)</v>
      </c>
      <c r="O3009" t="s">
        <v>50</v>
      </c>
      <c r="P3009" t="str">
        <f t="shared" si="187"/>
        <v>51000_1506</v>
      </c>
      <c r="Q3009" s="180">
        <v>0</v>
      </c>
    </row>
    <row r="3010" spans="1:17">
      <c r="A3010" t="str">
        <f t="shared" si="184"/>
        <v>VSU_199A</v>
      </c>
      <c r="B3010" t="str">
        <f t="shared" si="185"/>
        <v>VSU_Web Design Building</v>
      </c>
      <c r="C3010" t="s">
        <v>454</v>
      </c>
      <c r="D3010" s="180" t="s">
        <v>34</v>
      </c>
      <c r="E3010" t="s">
        <v>5889</v>
      </c>
      <c r="F3010" t="s">
        <v>5890</v>
      </c>
      <c r="G3010" s="180">
        <v>2510</v>
      </c>
      <c r="H3010">
        <v>1993</v>
      </c>
      <c r="I3010">
        <v>2012</v>
      </c>
      <c r="J3010" s="1334" t="s">
        <v>475</v>
      </c>
      <c r="K3010" s="1335" t="s">
        <v>475</v>
      </c>
      <c r="L3010" s="180">
        <v>100</v>
      </c>
      <c r="M3010" t="s">
        <v>68</v>
      </c>
      <c r="N3010" t="str">
        <f t="shared" si="186"/>
        <v>Web Design Building (199A)</v>
      </c>
      <c r="O3010" t="s">
        <v>50</v>
      </c>
      <c r="P3010" t="str">
        <f t="shared" si="187"/>
        <v>51000_199A</v>
      </c>
      <c r="Q3010" s="180">
        <v>0</v>
      </c>
    </row>
    <row r="3011" spans="1:17">
      <c r="A3011" t="str">
        <f t="shared" ref="A3011:A3074" si="188">_xlfn.CONCAT(D3011,"_",E3011)</f>
        <v>VSU_2813</v>
      </c>
      <c r="B3011" t="str">
        <f t="shared" ref="B3011:B3074" si="189">_xlfn.CONCAT(D3011,"_",F3011)</f>
        <v>VSU_Softball Batting Cage</v>
      </c>
      <c r="C3011" t="s">
        <v>454</v>
      </c>
      <c r="D3011" s="180" t="s">
        <v>34</v>
      </c>
      <c r="E3011" t="s">
        <v>5893</v>
      </c>
      <c r="F3011" t="s">
        <v>4712</v>
      </c>
      <c r="G3011" s="180">
        <v>2800</v>
      </c>
      <c r="H3011">
        <v>2014</v>
      </c>
      <c r="J3011" s="1334" t="s">
        <v>475</v>
      </c>
      <c r="K3011" s="1335" t="s">
        <v>475</v>
      </c>
      <c r="L3011" s="180">
        <v>100</v>
      </c>
      <c r="M3011" t="s">
        <v>68</v>
      </c>
      <c r="N3011" t="str">
        <f t="shared" ref="N3011:N3074" si="190">_xlfn.CONCAT(F3011," (",E3011,")")</f>
        <v>Softball Batting Cage (2813)</v>
      </c>
      <c r="O3011" t="s">
        <v>50</v>
      </c>
      <c r="P3011" t="str">
        <f t="shared" ref="P3011:P3074" si="191">_xlfn.CONCAT(C3011,"_",E3011)</f>
        <v>51000_2813</v>
      </c>
      <c r="Q3011" s="180">
        <v>100</v>
      </c>
    </row>
    <row r="3012" spans="1:17">
      <c r="A3012" t="str">
        <f t="shared" si="188"/>
        <v>VSU_2839</v>
      </c>
      <c r="B3012" t="str">
        <f t="shared" si="189"/>
        <v>VSU_Baseball Field House</v>
      </c>
      <c r="C3012" t="s">
        <v>454</v>
      </c>
      <c r="D3012" s="180" t="s">
        <v>34</v>
      </c>
      <c r="E3012" t="s">
        <v>5816</v>
      </c>
      <c r="F3012" t="s">
        <v>5817</v>
      </c>
      <c r="G3012" s="180">
        <v>10161</v>
      </c>
      <c r="H3012">
        <v>1997</v>
      </c>
      <c r="J3012" s="1334" t="s">
        <v>475</v>
      </c>
      <c r="K3012" s="1335" t="s">
        <v>475</v>
      </c>
      <c r="L3012" s="180">
        <v>100</v>
      </c>
      <c r="M3012" t="s">
        <v>68</v>
      </c>
      <c r="N3012" t="str">
        <f t="shared" si="190"/>
        <v>Baseball Field House (2839)</v>
      </c>
      <c r="O3012" t="s">
        <v>50</v>
      </c>
      <c r="P3012" t="str">
        <f t="shared" si="191"/>
        <v>51000_2839</v>
      </c>
      <c r="Q3012" s="180">
        <v>100</v>
      </c>
    </row>
    <row r="3013" spans="1:17">
      <c r="A3013" t="str">
        <f t="shared" si="188"/>
        <v>VSU_2903</v>
      </c>
      <c r="B3013" t="str">
        <f t="shared" si="189"/>
        <v>VSU_Plant Operations</v>
      </c>
      <c r="C3013" t="s">
        <v>454</v>
      </c>
      <c r="D3013" s="180" t="s">
        <v>34</v>
      </c>
      <c r="E3013" t="s">
        <v>5818</v>
      </c>
      <c r="F3013" t="s">
        <v>4554</v>
      </c>
      <c r="G3013" s="180">
        <v>50952</v>
      </c>
      <c r="H3013">
        <v>1987</v>
      </c>
      <c r="I3013">
        <v>1997</v>
      </c>
      <c r="J3013" s="1334" t="s">
        <v>475</v>
      </c>
      <c r="K3013" s="1335" t="s">
        <v>475</v>
      </c>
      <c r="L3013" s="180">
        <v>100</v>
      </c>
      <c r="M3013" t="s">
        <v>68</v>
      </c>
      <c r="N3013" t="str">
        <f t="shared" si="190"/>
        <v>Plant Operations (2903)</v>
      </c>
      <c r="O3013" t="s">
        <v>50</v>
      </c>
      <c r="P3013" t="str">
        <f t="shared" si="191"/>
        <v>51000_2903</v>
      </c>
      <c r="Q3013" s="180">
        <v>0</v>
      </c>
    </row>
    <row r="3014" spans="1:17">
      <c r="A3014" t="str">
        <f t="shared" si="188"/>
        <v>VSU_2904</v>
      </c>
      <c r="B3014" t="str">
        <f t="shared" si="189"/>
        <v>VSU_Plant Ops Storage Bldg</v>
      </c>
      <c r="C3014" t="s">
        <v>454</v>
      </c>
      <c r="D3014" s="180" t="s">
        <v>34</v>
      </c>
      <c r="E3014" t="s">
        <v>5843</v>
      </c>
      <c r="F3014" t="s">
        <v>5844</v>
      </c>
      <c r="G3014" s="180">
        <v>10571</v>
      </c>
      <c r="H3014">
        <v>1999</v>
      </c>
      <c r="J3014" s="1334" t="s">
        <v>475</v>
      </c>
      <c r="K3014" s="1335" t="s">
        <v>920</v>
      </c>
      <c r="L3014" s="180">
        <v>100</v>
      </c>
      <c r="M3014" t="s">
        <v>68</v>
      </c>
      <c r="N3014" t="str">
        <f t="shared" si="190"/>
        <v>Plant Ops Storage Bldg (2904)</v>
      </c>
      <c r="O3014" t="s">
        <v>50</v>
      </c>
      <c r="P3014" t="str">
        <f t="shared" si="191"/>
        <v>51000_2904</v>
      </c>
      <c r="Q3014" s="180">
        <v>100</v>
      </c>
    </row>
    <row r="3015" spans="1:17">
      <c r="A3015" t="str">
        <f t="shared" si="188"/>
        <v>VSU_2905</v>
      </c>
      <c r="B3015" t="str">
        <f t="shared" si="189"/>
        <v>VSU_112 Georgia Avenue</v>
      </c>
      <c r="C3015" t="s">
        <v>454</v>
      </c>
      <c r="D3015" s="180" t="s">
        <v>34</v>
      </c>
      <c r="E3015" t="s">
        <v>7052</v>
      </c>
      <c r="F3015" t="s">
        <v>7159</v>
      </c>
      <c r="G3015" s="180">
        <v>1942</v>
      </c>
      <c r="H3015">
        <v>1929</v>
      </c>
      <c r="J3015" s="1334" t="s">
        <v>475</v>
      </c>
      <c r="K3015" s="1335" t="s">
        <v>475</v>
      </c>
      <c r="L3015" s="180">
        <v>100</v>
      </c>
      <c r="M3015" t="s">
        <v>68</v>
      </c>
      <c r="N3015" t="str">
        <f t="shared" si="190"/>
        <v>112 Georgia Avenue (2905)</v>
      </c>
      <c r="O3015" t="s">
        <v>50</v>
      </c>
      <c r="P3015" t="str">
        <f t="shared" si="191"/>
        <v>51000_2905</v>
      </c>
      <c r="Q3015" s="180">
        <v>100</v>
      </c>
    </row>
    <row r="3016" spans="1:17">
      <c r="A3016" t="str">
        <f t="shared" si="188"/>
        <v>UNG_141</v>
      </c>
      <c r="B3016" t="str">
        <f t="shared" si="189"/>
        <v>UNG_DA-Hospital</v>
      </c>
      <c r="C3016" t="s">
        <v>455</v>
      </c>
      <c r="D3016" s="180" t="s">
        <v>64</v>
      </c>
      <c r="E3016" t="s">
        <v>5940</v>
      </c>
      <c r="F3016" t="s">
        <v>7779</v>
      </c>
      <c r="G3016" s="180">
        <v>80000</v>
      </c>
      <c r="H3016">
        <v>1974</v>
      </c>
      <c r="J3016" s="1334" t="s">
        <v>475</v>
      </c>
      <c r="K3016" s="1335" t="s">
        <v>520</v>
      </c>
      <c r="L3016" s="180">
        <v>100</v>
      </c>
      <c r="M3016" t="s">
        <v>107</v>
      </c>
      <c r="N3016" t="str">
        <f t="shared" si="190"/>
        <v>DA-Hospital (141)</v>
      </c>
      <c r="O3016" t="s">
        <v>65</v>
      </c>
      <c r="P3016" t="str">
        <f t="shared" si="191"/>
        <v>53000_141</v>
      </c>
      <c r="Q3016" s="180">
        <v>100</v>
      </c>
    </row>
    <row r="3017" spans="1:17">
      <c r="A3017" t="str">
        <f t="shared" si="188"/>
        <v>UNG_B101</v>
      </c>
      <c r="B3017" t="str">
        <f t="shared" si="189"/>
        <v>UNG_BR-Blue Ridge Campus</v>
      </c>
      <c r="C3017" t="s">
        <v>455</v>
      </c>
      <c r="D3017" s="180" t="s">
        <v>64</v>
      </c>
      <c r="E3017" t="s">
        <v>6002</v>
      </c>
      <c r="F3017" t="s">
        <v>6003</v>
      </c>
      <c r="G3017" s="180">
        <v>12941</v>
      </c>
      <c r="H3017">
        <v>2020</v>
      </c>
      <c r="J3017" s="1334" t="s">
        <v>520</v>
      </c>
      <c r="K3017" s="1335" t="s">
        <v>475</v>
      </c>
      <c r="L3017" s="180">
        <v>100</v>
      </c>
      <c r="M3017" t="s">
        <v>183</v>
      </c>
      <c r="N3017" t="str">
        <f t="shared" si="190"/>
        <v>BR-Blue Ridge Campus (B101)</v>
      </c>
      <c r="O3017" t="s">
        <v>65</v>
      </c>
      <c r="P3017" t="str">
        <f t="shared" si="191"/>
        <v>53000_B101</v>
      </c>
      <c r="Q3017" s="180">
        <v>100</v>
      </c>
    </row>
    <row r="3018" spans="1:17">
      <c r="A3018" t="str">
        <f t="shared" si="188"/>
        <v>UNG_B102</v>
      </c>
      <c r="B3018" t="str">
        <f t="shared" si="189"/>
        <v>UNG_BR-Maintenance Building</v>
      </c>
      <c r="C3018" t="s">
        <v>455</v>
      </c>
      <c r="D3018" s="180" t="s">
        <v>64</v>
      </c>
      <c r="E3018" t="s">
        <v>7045</v>
      </c>
      <c r="F3018" t="s">
        <v>7150</v>
      </c>
      <c r="G3018" s="180">
        <v>400</v>
      </c>
      <c r="H3018">
        <v>2021</v>
      </c>
      <c r="J3018" s="1334" t="s">
        <v>475</v>
      </c>
      <c r="K3018" s="1335" t="s">
        <v>475</v>
      </c>
      <c r="L3018" s="180">
        <v>100</v>
      </c>
      <c r="M3018" t="s">
        <v>183</v>
      </c>
      <c r="N3018" t="str">
        <f t="shared" si="190"/>
        <v>BR-Maintenance Building (B102)</v>
      </c>
      <c r="O3018" t="s">
        <v>65</v>
      </c>
      <c r="P3018" t="str">
        <f t="shared" si="191"/>
        <v>53000_B102</v>
      </c>
      <c r="Q3018" s="180">
        <v>100</v>
      </c>
    </row>
    <row r="3019" spans="1:17">
      <c r="A3019" t="str">
        <f t="shared" si="188"/>
        <v>UNG_B103</v>
      </c>
      <c r="B3019" t="str">
        <f t="shared" si="189"/>
        <v>UNG_BR-Expansion</v>
      </c>
      <c r="C3019" t="s">
        <v>455</v>
      </c>
      <c r="D3019" s="180" t="s">
        <v>64</v>
      </c>
      <c r="E3019" t="s">
        <v>7632</v>
      </c>
      <c r="F3019" t="s">
        <v>7780</v>
      </c>
      <c r="G3019" s="180">
        <v>22848</v>
      </c>
      <c r="H3019">
        <v>2024</v>
      </c>
      <c r="J3019" s="1334" t="s">
        <v>475</v>
      </c>
      <c r="K3019" s="1335" t="s">
        <v>901</v>
      </c>
      <c r="L3019" s="180">
        <v>100</v>
      </c>
      <c r="M3019" t="s">
        <v>183</v>
      </c>
      <c r="N3019" t="str">
        <f t="shared" si="190"/>
        <v>BR-Expansion (B103)</v>
      </c>
      <c r="O3019" t="s">
        <v>65</v>
      </c>
      <c r="P3019" t="str">
        <f t="shared" si="191"/>
        <v>53000_B103</v>
      </c>
      <c r="Q3019" s="180">
        <v>100</v>
      </c>
    </row>
    <row r="3020" spans="1:17">
      <c r="A3020" t="str">
        <f t="shared" si="188"/>
        <v>UNG_C001</v>
      </c>
      <c r="B3020" t="str">
        <f t="shared" si="189"/>
        <v>UNG_CG-Maintenance Shop</v>
      </c>
      <c r="C3020" t="s">
        <v>455</v>
      </c>
      <c r="D3020" s="180" t="s">
        <v>64</v>
      </c>
      <c r="E3020" t="s">
        <v>1088</v>
      </c>
      <c r="F3020" t="s">
        <v>6067</v>
      </c>
      <c r="G3020" s="180">
        <v>2400</v>
      </c>
      <c r="H3020">
        <v>2013</v>
      </c>
      <c r="J3020" s="1334" t="s">
        <v>475</v>
      </c>
      <c r="K3020" s="1335" t="s">
        <v>475</v>
      </c>
      <c r="L3020" s="180">
        <v>100</v>
      </c>
      <c r="M3020" t="s">
        <v>110</v>
      </c>
      <c r="N3020" t="str">
        <f t="shared" si="190"/>
        <v>CG-Maintenance Shop (C001)</v>
      </c>
      <c r="O3020" t="s">
        <v>65</v>
      </c>
      <c r="P3020" t="str">
        <f t="shared" si="191"/>
        <v>53000_C001</v>
      </c>
      <c r="Q3020" s="180">
        <v>100</v>
      </c>
    </row>
    <row r="3021" spans="1:17">
      <c r="A3021" t="str">
        <f t="shared" si="188"/>
        <v>UNG_C002</v>
      </c>
      <c r="B3021" t="str">
        <f t="shared" si="189"/>
        <v>UNG_CG-Pavilion</v>
      </c>
      <c r="C3021" t="s">
        <v>455</v>
      </c>
      <c r="D3021" s="180" t="s">
        <v>64</v>
      </c>
      <c r="E3021" t="s">
        <v>1107</v>
      </c>
      <c r="F3021" t="s">
        <v>6083</v>
      </c>
      <c r="G3021" s="180">
        <v>1152</v>
      </c>
      <c r="H3021">
        <v>2013</v>
      </c>
      <c r="J3021" s="1334" t="s">
        <v>475</v>
      </c>
      <c r="K3021" s="1335" t="s">
        <v>475</v>
      </c>
      <c r="L3021" s="180">
        <v>100</v>
      </c>
      <c r="M3021" t="s">
        <v>110</v>
      </c>
      <c r="N3021" t="str">
        <f t="shared" si="190"/>
        <v>CG-Pavilion (C002)</v>
      </c>
      <c r="O3021" t="s">
        <v>65</v>
      </c>
      <c r="P3021" t="str">
        <f t="shared" si="191"/>
        <v>53000_C002</v>
      </c>
      <c r="Q3021" s="180">
        <v>100</v>
      </c>
    </row>
    <row r="3022" spans="1:17">
      <c r="A3022" t="str">
        <f t="shared" si="188"/>
        <v>UNG_C124</v>
      </c>
      <c r="B3022" t="str">
        <f t="shared" si="189"/>
        <v>UNG_CG - Cumming Academic</v>
      </c>
      <c r="C3022" t="s">
        <v>455</v>
      </c>
      <c r="D3022" s="180" t="s">
        <v>64</v>
      </c>
      <c r="E3022" t="s">
        <v>6009</v>
      </c>
      <c r="F3022" t="s">
        <v>7781</v>
      </c>
      <c r="G3022" s="180">
        <v>64435</v>
      </c>
      <c r="H3022">
        <v>2012</v>
      </c>
      <c r="J3022" s="1334" t="s">
        <v>475</v>
      </c>
      <c r="K3022" s="1335" t="s">
        <v>475</v>
      </c>
      <c r="L3022" s="180">
        <v>100</v>
      </c>
      <c r="M3022" t="s">
        <v>110</v>
      </c>
      <c r="N3022" t="str">
        <f t="shared" si="190"/>
        <v>CG - Cumming Academic (C124)</v>
      </c>
      <c r="O3022" t="s">
        <v>65</v>
      </c>
      <c r="P3022" t="str">
        <f t="shared" si="191"/>
        <v>53000_C124</v>
      </c>
      <c r="Q3022" s="180">
        <v>100</v>
      </c>
    </row>
    <row r="3023" spans="1:17">
      <c r="A3023" t="str">
        <f t="shared" si="188"/>
        <v>UNG_D001</v>
      </c>
      <c r="B3023" t="str">
        <f t="shared" si="189"/>
        <v>UNG_DA-Price Memorial</v>
      </c>
      <c r="C3023" t="s">
        <v>455</v>
      </c>
      <c r="D3023" s="180" t="s">
        <v>64</v>
      </c>
      <c r="E3023" t="s">
        <v>5926</v>
      </c>
      <c r="F3023" t="s">
        <v>5927</v>
      </c>
      <c r="G3023" s="180">
        <v>24922</v>
      </c>
      <c r="H3023">
        <v>1879</v>
      </c>
      <c r="I3023">
        <v>1999</v>
      </c>
      <c r="J3023" s="1334" t="s">
        <v>475</v>
      </c>
      <c r="K3023" s="1335" t="s">
        <v>475</v>
      </c>
      <c r="L3023" s="180">
        <v>100</v>
      </c>
      <c r="M3023" t="s">
        <v>107</v>
      </c>
      <c r="N3023" t="str">
        <f t="shared" si="190"/>
        <v>DA-Price Memorial (D001)</v>
      </c>
      <c r="O3023" t="s">
        <v>65</v>
      </c>
      <c r="P3023" t="str">
        <f t="shared" si="191"/>
        <v>53000_D001</v>
      </c>
      <c r="Q3023" s="180">
        <v>100</v>
      </c>
    </row>
    <row r="3024" spans="1:17">
      <c r="A3024" t="str">
        <f t="shared" si="188"/>
        <v>UNG_D002</v>
      </c>
      <c r="B3024" t="str">
        <f t="shared" si="189"/>
        <v>UNG_DA-Young Hall</v>
      </c>
      <c r="C3024" t="s">
        <v>455</v>
      </c>
      <c r="D3024" s="180" t="s">
        <v>64</v>
      </c>
      <c r="E3024" t="s">
        <v>5978</v>
      </c>
      <c r="F3024" t="s">
        <v>5979</v>
      </c>
      <c r="G3024" s="180">
        <v>15837</v>
      </c>
      <c r="H3024">
        <v>1938</v>
      </c>
      <c r="I3024">
        <v>2011</v>
      </c>
      <c r="J3024" s="1334" t="s">
        <v>475</v>
      </c>
      <c r="K3024" s="1335" t="s">
        <v>1520</v>
      </c>
      <c r="L3024" s="180">
        <v>100</v>
      </c>
      <c r="M3024" t="s">
        <v>107</v>
      </c>
      <c r="N3024" t="str">
        <f t="shared" si="190"/>
        <v>DA-Young Hall (D002)</v>
      </c>
      <c r="O3024" t="s">
        <v>65</v>
      </c>
      <c r="P3024" t="str">
        <f t="shared" si="191"/>
        <v>53000_D002</v>
      </c>
      <c r="Q3024" s="180">
        <v>100</v>
      </c>
    </row>
    <row r="3025" spans="1:17">
      <c r="A3025" t="str">
        <f t="shared" si="188"/>
        <v>UNG_D003</v>
      </c>
      <c r="B3025" t="str">
        <f t="shared" si="189"/>
        <v>UNG_DA-Hoag Student Center</v>
      </c>
      <c r="C3025" t="s">
        <v>455</v>
      </c>
      <c r="D3025" s="180" t="s">
        <v>64</v>
      </c>
      <c r="E3025" t="s">
        <v>5994</v>
      </c>
      <c r="F3025" t="s">
        <v>5995</v>
      </c>
      <c r="G3025" s="180">
        <v>48077</v>
      </c>
      <c r="H3025">
        <v>1969</v>
      </c>
      <c r="I3025">
        <v>2012</v>
      </c>
      <c r="J3025" s="1334" t="s">
        <v>475</v>
      </c>
      <c r="K3025" s="1335" t="s">
        <v>1520</v>
      </c>
      <c r="L3025" s="180">
        <v>89</v>
      </c>
      <c r="M3025" t="s">
        <v>107</v>
      </c>
      <c r="N3025" t="str">
        <f t="shared" si="190"/>
        <v>DA-Hoag Student Center (D003)</v>
      </c>
      <c r="O3025" t="s">
        <v>65</v>
      </c>
      <c r="P3025" t="str">
        <f t="shared" si="191"/>
        <v>53000_D003</v>
      </c>
      <c r="Q3025" s="180">
        <v>100</v>
      </c>
    </row>
    <row r="3026" spans="1:17">
      <c r="A3026" t="str">
        <f t="shared" si="188"/>
        <v>UNG_D005</v>
      </c>
      <c r="B3026" t="str">
        <f t="shared" si="189"/>
        <v>UNG_DA-Nix</v>
      </c>
      <c r="C3026" t="s">
        <v>455</v>
      </c>
      <c r="D3026" s="180" t="s">
        <v>64</v>
      </c>
      <c r="E3026" t="s">
        <v>5984</v>
      </c>
      <c r="F3026" t="s">
        <v>5985</v>
      </c>
      <c r="G3026" s="180">
        <v>27075</v>
      </c>
      <c r="H3026">
        <v>1936</v>
      </c>
      <c r="I3026">
        <v>1987</v>
      </c>
      <c r="J3026" s="1334" t="s">
        <v>475</v>
      </c>
      <c r="K3026" s="1335" t="s">
        <v>475</v>
      </c>
      <c r="L3026" s="180">
        <v>100</v>
      </c>
      <c r="M3026" t="s">
        <v>107</v>
      </c>
      <c r="N3026" t="str">
        <f t="shared" si="190"/>
        <v>DA-Nix (D005)</v>
      </c>
      <c r="O3026" t="s">
        <v>65</v>
      </c>
      <c r="P3026" t="str">
        <f t="shared" si="191"/>
        <v>53000_D005</v>
      </c>
      <c r="Q3026" s="180">
        <v>100</v>
      </c>
    </row>
    <row r="3027" spans="1:17">
      <c r="A3027" t="str">
        <f t="shared" si="188"/>
        <v>UNG_D006</v>
      </c>
      <c r="B3027" t="str">
        <f t="shared" si="189"/>
        <v>UNG_DA-Barnes Hall</v>
      </c>
      <c r="C3027" t="s">
        <v>455</v>
      </c>
      <c r="D3027" s="180" t="s">
        <v>64</v>
      </c>
      <c r="E3027" t="s">
        <v>6110</v>
      </c>
      <c r="F3027" t="s">
        <v>6111</v>
      </c>
      <c r="G3027" s="180">
        <v>19701</v>
      </c>
      <c r="H3027">
        <v>1935</v>
      </c>
      <c r="I3027">
        <v>1979</v>
      </c>
      <c r="J3027" s="1334" t="s">
        <v>475</v>
      </c>
      <c r="K3027" s="1335" t="s">
        <v>481</v>
      </c>
      <c r="L3027" s="180">
        <v>100</v>
      </c>
      <c r="M3027" t="s">
        <v>107</v>
      </c>
      <c r="N3027" t="str">
        <f t="shared" si="190"/>
        <v>DA-Barnes Hall (D006)</v>
      </c>
      <c r="O3027" t="s">
        <v>65</v>
      </c>
      <c r="P3027" t="str">
        <f t="shared" si="191"/>
        <v>53000_D006</v>
      </c>
      <c r="Q3027" s="180">
        <v>100</v>
      </c>
    </row>
    <row r="3028" spans="1:17">
      <c r="A3028" t="str">
        <f t="shared" si="188"/>
        <v>UNG_D007</v>
      </c>
      <c r="B3028" t="str">
        <f t="shared" si="189"/>
        <v>UNG_DA-Stewart Success Center</v>
      </c>
      <c r="C3028" t="s">
        <v>455</v>
      </c>
      <c r="D3028" s="180" t="s">
        <v>64</v>
      </c>
      <c r="E3028" t="s">
        <v>6093</v>
      </c>
      <c r="F3028" t="s">
        <v>6094</v>
      </c>
      <c r="G3028" s="180">
        <v>34085</v>
      </c>
      <c r="H3028">
        <v>1971</v>
      </c>
      <c r="J3028" s="1334" t="s">
        <v>475</v>
      </c>
      <c r="K3028" s="1335" t="s">
        <v>481</v>
      </c>
      <c r="L3028" s="180">
        <v>100</v>
      </c>
      <c r="M3028" t="s">
        <v>107</v>
      </c>
      <c r="N3028" t="str">
        <f t="shared" si="190"/>
        <v>DA-Stewart Success Center (D007)</v>
      </c>
      <c r="O3028" t="s">
        <v>65</v>
      </c>
      <c r="P3028" t="str">
        <f t="shared" si="191"/>
        <v>53000_D007</v>
      </c>
      <c r="Q3028" s="180">
        <v>100</v>
      </c>
    </row>
    <row r="3029" spans="1:17">
      <c r="A3029" t="str">
        <f t="shared" si="188"/>
        <v>UNG_D011</v>
      </c>
      <c r="B3029" t="str">
        <f t="shared" si="189"/>
        <v>UNG_DA-Memorial Hall</v>
      </c>
      <c r="C3029" t="s">
        <v>455</v>
      </c>
      <c r="D3029" s="180" t="s">
        <v>64</v>
      </c>
      <c r="E3029" t="s">
        <v>5946</v>
      </c>
      <c r="F3029" t="s">
        <v>5947</v>
      </c>
      <c r="G3029" s="180">
        <v>79127</v>
      </c>
      <c r="H3029">
        <v>1960</v>
      </c>
      <c r="I3029">
        <v>2017</v>
      </c>
      <c r="J3029" s="1334" t="s">
        <v>475</v>
      </c>
      <c r="K3029" s="1335" t="s">
        <v>475</v>
      </c>
      <c r="L3029" s="180">
        <v>100</v>
      </c>
      <c r="M3029" t="s">
        <v>107</v>
      </c>
      <c r="N3029" t="str">
        <f t="shared" si="190"/>
        <v>DA-Memorial Hall (D011)</v>
      </c>
      <c r="O3029" t="s">
        <v>65</v>
      </c>
      <c r="P3029" t="str">
        <f t="shared" si="191"/>
        <v>53000_D011</v>
      </c>
      <c r="Q3029" s="180">
        <v>88</v>
      </c>
    </row>
    <row r="3030" spans="1:17">
      <c r="A3030" t="str">
        <f t="shared" si="188"/>
        <v>UNG_D017</v>
      </c>
      <c r="B3030" t="str">
        <f t="shared" si="189"/>
        <v>UNG_DA-Military Leadership Center</v>
      </c>
      <c r="C3030" t="s">
        <v>455</v>
      </c>
      <c r="D3030" s="180" t="s">
        <v>64</v>
      </c>
      <c r="E3030" t="s">
        <v>5952</v>
      </c>
      <c r="F3030" t="s">
        <v>5953</v>
      </c>
      <c r="G3030" s="180">
        <v>28653</v>
      </c>
      <c r="H3030">
        <v>1971</v>
      </c>
      <c r="I3030">
        <v>2004</v>
      </c>
      <c r="J3030" s="1334" t="s">
        <v>475</v>
      </c>
      <c r="K3030" s="1335" t="s">
        <v>481</v>
      </c>
      <c r="L3030" s="180">
        <v>100</v>
      </c>
      <c r="M3030" t="s">
        <v>107</v>
      </c>
      <c r="N3030" t="str">
        <f t="shared" si="190"/>
        <v>DA-Military Leadership Center (D017)</v>
      </c>
      <c r="O3030" t="s">
        <v>65</v>
      </c>
      <c r="P3030" t="str">
        <f t="shared" si="191"/>
        <v>53000_D017</v>
      </c>
      <c r="Q3030" s="180">
        <v>100</v>
      </c>
    </row>
    <row r="3031" spans="1:17">
      <c r="A3031" t="str">
        <f t="shared" si="188"/>
        <v>UNG_D019</v>
      </c>
      <c r="B3031" t="str">
        <f t="shared" si="189"/>
        <v>UNG_DA-Continuing Education</v>
      </c>
      <c r="C3031" t="s">
        <v>455</v>
      </c>
      <c r="D3031" s="180" t="s">
        <v>64</v>
      </c>
      <c r="E3031" t="s">
        <v>5980</v>
      </c>
      <c r="F3031" t="s">
        <v>5981</v>
      </c>
      <c r="G3031" s="180">
        <v>7488</v>
      </c>
      <c r="H3031">
        <v>1989</v>
      </c>
      <c r="J3031" s="1334" t="s">
        <v>475</v>
      </c>
      <c r="K3031" s="1335" t="s">
        <v>475</v>
      </c>
      <c r="L3031" s="180">
        <v>100</v>
      </c>
      <c r="M3031" t="s">
        <v>107</v>
      </c>
      <c r="N3031" t="str">
        <f t="shared" si="190"/>
        <v>DA-Continuing Education (D019)</v>
      </c>
      <c r="O3031" t="s">
        <v>65</v>
      </c>
      <c r="P3031" t="str">
        <f t="shared" si="191"/>
        <v>53000_D019</v>
      </c>
      <c r="Q3031" s="180">
        <v>100</v>
      </c>
    </row>
    <row r="3032" spans="1:17">
      <c r="A3032" t="str">
        <f t="shared" si="188"/>
        <v>UNG_D020</v>
      </c>
      <c r="B3032" t="str">
        <f t="shared" si="189"/>
        <v>UNG_DA-Athletic Field Building</v>
      </c>
      <c r="C3032" t="s">
        <v>455</v>
      </c>
      <c r="D3032" s="180" t="s">
        <v>64</v>
      </c>
      <c r="E3032" t="s">
        <v>5988</v>
      </c>
      <c r="F3032" t="s">
        <v>5989</v>
      </c>
      <c r="G3032" s="180">
        <v>2244</v>
      </c>
      <c r="H3032">
        <v>1983</v>
      </c>
      <c r="J3032" s="1334" t="s">
        <v>475</v>
      </c>
      <c r="K3032" s="1335" t="s">
        <v>475</v>
      </c>
      <c r="L3032" s="180">
        <v>100</v>
      </c>
      <c r="M3032" t="s">
        <v>107</v>
      </c>
      <c r="N3032" t="str">
        <f t="shared" si="190"/>
        <v>DA-Athletic Field Building (D020)</v>
      </c>
      <c r="O3032" t="s">
        <v>65</v>
      </c>
      <c r="P3032" t="str">
        <f t="shared" si="191"/>
        <v>53000_D020</v>
      </c>
      <c r="Q3032" s="180">
        <v>100</v>
      </c>
    </row>
    <row r="3033" spans="1:17">
      <c r="A3033" t="str">
        <f t="shared" si="188"/>
        <v>UNG_D022</v>
      </c>
      <c r="B3033" t="str">
        <f t="shared" si="189"/>
        <v>UNG_DA-Coleman Field House</v>
      </c>
      <c r="C3033" t="s">
        <v>455</v>
      </c>
      <c r="D3033" s="180" t="s">
        <v>64</v>
      </c>
      <c r="E3033" t="s">
        <v>6055</v>
      </c>
      <c r="F3033" t="s">
        <v>6056</v>
      </c>
      <c r="G3033" s="180">
        <v>5215</v>
      </c>
      <c r="H3033">
        <v>2013</v>
      </c>
      <c r="J3033" s="1334" t="s">
        <v>475</v>
      </c>
      <c r="K3033" s="1335" t="s">
        <v>475</v>
      </c>
      <c r="L3033" s="180">
        <v>0</v>
      </c>
      <c r="M3033" t="s">
        <v>107</v>
      </c>
      <c r="N3033" t="str">
        <f t="shared" si="190"/>
        <v>DA-Coleman Field House (D022)</v>
      </c>
      <c r="O3033" t="s">
        <v>65</v>
      </c>
      <c r="P3033" t="str">
        <f t="shared" si="191"/>
        <v>53000_D022</v>
      </c>
      <c r="Q3033" s="180">
        <v>100</v>
      </c>
    </row>
    <row r="3034" spans="1:17">
      <c r="A3034" t="str">
        <f t="shared" si="188"/>
        <v>UNG_D024</v>
      </c>
      <c r="B3034" t="str">
        <f t="shared" si="189"/>
        <v>UNG_DA-Alumni House</v>
      </c>
      <c r="C3034" t="s">
        <v>455</v>
      </c>
      <c r="D3034" s="180" t="s">
        <v>64</v>
      </c>
      <c r="E3034" t="s">
        <v>6070</v>
      </c>
      <c r="F3034" t="s">
        <v>6071</v>
      </c>
      <c r="G3034" s="180">
        <v>6934</v>
      </c>
      <c r="H3034">
        <v>1954</v>
      </c>
      <c r="I3034">
        <v>1998</v>
      </c>
      <c r="J3034" s="1334" t="s">
        <v>475</v>
      </c>
      <c r="K3034" s="1335" t="s">
        <v>475</v>
      </c>
      <c r="L3034" s="180">
        <v>100</v>
      </c>
      <c r="M3034" t="s">
        <v>107</v>
      </c>
      <c r="N3034" t="str">
        <f t="shared" si="190"/>
        <v>DA-Alumni House (D024)</v>
      </c>
      <c r="O3034" t="s">
        <v>65</v>
      </c>
      <c r="P3034" t="str">
        <f t="shared" si="191"/>
        <v>53000_D024</v>
      </c>
      <c r="Q3034" s="180">
        <v>100</v>
      </c>
    </row>
    <row r="3035" spans="1:17">
      <c r="A3035" t="str">
        <f t="shared" si="188"/>
        <v>UNG_D025</v>
      </c>
      <c r="B3035" t="str">
        <f t="shared" si="189"/>
        <v>UNG_DA-Observatory</v>
      </c>
      <c r="C3035" t="s">
        <v>455</v>
      </c>
      <c r="D3035" s="180" t="s">
        <v>64</v>
      </c>
      <c r="E3035" t="s">
        <v>5918</v>
      </c>
      <c r="F3035" t="s">
        <v>5919</v>
      </c>
      <c r="G3035" s="180">
        <v>3200</v>
      </c>
      <c r="H3035">
        <v>1998</v>
      </c>
      <c r="J3035" s="1334" t="s">
        <v>475</v>
      </c>
      <c r="K3035" s="1335" t="s">
        <v>475</v>
      </c>
      <c r="L3035" s="180">
        <v>100</v>
      </c>
      <c r="M3035" t="s">
        <v>107</v>
      </c>
      <c r="N3035" t="str">
        <f t="shared" si="190"/>
        <v>DA-Observatory (D025)</v>
      </c>
      <c r="O3035" t="s">
        <v>65</v>
      </c>
      <c r="P3035" t="str">
        <f t="shared" si="191"/>
        <v>53000_D025</v>
      </c>
      <c r="Q3035" s="180">
        <v>100</v>
      </c>
    </row>
    <row r="3036" spans="1:17">
      <c r="A3036" t="str">
        <f t="shared" si="188"/>
        <v>UNG_D026</v>
      </c>
      <c r="B3036" t="str">
        <f t="shared" si="189"/>
        <v>UNG_DA-Gaillard Hall</v>
      </c>
      <c r="C3036" t="s">
        <v>455</v>
      </c>
      <c r="D3036" s="180" t="s">
        <v>64</v>
      </c>
      <c r="E3036" t="s">
        <v>6042</v>
      </c>
      <c r="F3036" t="s">
        <v>6043</v>
      </c>
      <c r="G3036" s="180">
        <v>46897</v>
      </c>
      <c r="H3036">
        <v>1954</v>
      </c>
      <c r="I3036">
        <v>2012</v>
      </c>
      <c r="J3036" s="1334" t="s">
        <v>486</v>
      </c>
      <c r="K3036" s="1335" t="s">
        <v>1520</v>
      </c>
      <c r="L3036" s="180">
        <v>0</v>
      </c>
      <c r="M3036" t="s">
        <v>107</v>
      </c>
      <c r="N3036" t="str">
        <f t="shared" si="190"/>
        <v>DA-Gaillard Hall (D026)</v>
      </c>
      <c r="O3036" t="s">
        <v>65</v>
      </c>
      <c r="P3036" t="str">
        <f t="shared" si="191"/>
        <v>53000_D026</v>
      </c>
      <c r="Q3036" s="180">
        <v>100</v>
      </c>
    </row>
    <row r="3037" spans="1:17">
      <c r="A3037" t="str">
        <f t="shared" si="188"/>
        <v>UNG_D027</v>
      </c>
      <c r="B3037" t="str">
        <f t="shared" si="189"/>
        <v>UNG_DA-Donovan Hall</v>
      </c>
      <c r="C3037" t="s">
        <v>455</v>
      </c>
      <c r="D3037" s="180" t="s">
        <v>64</v>
      </c>
      <c r="E3037" t="s">
        <v>6044</v>
      </c>
      <c r="F3037" t="s">
        <v>6045</v>
      </c>
      <c r="G3037" s="180">
        <v>50667</v>
      </c>
      <c r="H3037">
        <v>1975</v>
      </c>
      <c r="I3037">
        <v>2018</v>
      </c>
      <c r="J3037" s="1334" t="s">
        <v>475</v>
      </c>
      <c r="K3037" s="1335" t="s">
        <v>1520</v>
      </c>
      <c r="L3037" s="180">
        <v>0</v>
      </c>
      <c r="M3037" t="s">
        <v>107</v>
      </c>
      <c r="N3037" t="str">
        <f t="shared" si="190"/>
        <v>DA-Donovan Hall (D027)</v>
      </c>
      <c r="O3037" t="s">
        <v>65</v>
      </c>
      <c r="P3037" t="str">
        <f t="shared" si="191"/>
        <v>53000_D027</v>
      </c>
      <c r="Q3037" s="180">
        <v>100</v>
      </c>
    </row>
    <row r="3038" spans="1:17">
      <c r="A3038" t="str">
        <f t="shared" si="188"/>
        <v>UNG_D028</v>
      </c>
      <c r="B3038" t="str">
        <f t="shared" si="189"/>
        <v>UNG_DA-Lewis Hall</v>
      </c>
      <c r="C3038" t="s">
        <v>455</v>
      </c>
      <c r="D3038" s="180" t="s">
        <v>64</v>
      </c>
      <c r="E3038" t="s">
        <v>5950</v>
      </c>
      <c r="F3038" t="s">
        <v>5951</v>
      </c>
      <c r="G3038" s="180">
        <v>41664</v>
      </c>
      <c r="H3038">
        <v>1952</v>
      </c>
      <c r="I3038">
        <v>2002</v>
      </c>
      <c r="J3038" s="1334" t="s">
        <v>475</v>
      </c>
      <c r="K3038" s="1335" t="s">
        <v>475</v>
      </c>
      <c r="L3038" s="180">
        <v>0</v>
      </c>
      <c r="M3038" t="s">
        <v>107</v>
      </c>
      <c r="N3038" t="str">
        <f t="shared" si="190"/>
        <v>DA-Lewis Hall (D028)</v>
      </c>
      <c r="O3038" t="s">
        <v>65</v>
      </c>
      <c r="P3038" t="str">
        <f t="shared" si="191"/>
        <v>53000_D028</v>
      </c>
      <c r="Q3038" s="180">
        <v>100</v>
      </c>
    </row>
    <row r="3039" spans="1:17">
      <c r="A3039" t="str">
        <f t="shared" si="188"/>
        <v>UNG_D029</v>
      </c>
      <c r="B3039" t="str">
        <f t="shared" si="189"/>
        <v>UNG_DA-Lewis Hall Annex</v>
      </c>
      <c r="C3039" t="s">
        <v>455</v>
      </c>
      <c r="D3039" s="180" t="s">
        <v>64</v>
      </c>
      <c r="E3039" t="s">
        <v>5966</v>
      </c>
      <c r="F3039" t="s">
        <v>5967</v>
      </c>
      <c r="G3039" s="180">
        <v>31089</v>
      </c>
      <c r="H3039">
        <v>1966</v>
      </c>
      <c r="J3039" s="1334" t="s">
        <v>475</v>
      </c>
      <c r="K3039" s="1335" t="s">
        <v>475</v>
      </c>
      <c r="L3039" s="180">
        <v>0</v>
      </c>
      <c r="M3039" t="s">
        <v>107</v>
      </c>
      <c r="N3039" t="str">
        <f t="shared" si="190"/>
        <v>DA-Lewis Hall Annex (D029)</v>
      </c>
      <c r="O3039" t="s">
        <v>65</v>
      </c>
      <c r="P3039" t="str">
        <f t="shared" si="191"/>
        <v>53000_D029</v>
      </c>
      <c r="Q3039" s="180">
        <v>100</v>
      </c>
    </row>
    <row r="3040" spans="1:17">
      <c r="A3040" t="str">
        <f t="shared" si="188"/>
        <v>UNG_D031</v>
      </c>
      <c r="B3040" t="str">
        <f t="shared" si="189"/>
        <v>UNG_DA-Rogers Hall</v>
      </c>
      <c r="C3040" t="s">
        <v>455</v>
      </c>
      <c r="D3040" s="180" t="s">
        <v>64</v>
      </c>
      <c r="E3040" t="s">
        <v>6023</v>
      </c>
      <c r="F3040" t="s">
        <v>6024</v>
      </c>
      <c r="G3040" s="180">
        <v>33127</v>
      </c>
      <c r="H3040">
        <v>1948</v>
      </c>
      <c r="I3040">
        <v>1980</v>
      </c>
      <c r="J3040" s="1334" t="s">
        <v>475</v>
      </c>
      <c r="K3040" s="1335" t="s">
        <v>475</v>
      </c>
      <c r="L3040" s="180">
        <v>100</v>
      </c>
      <c r="M3040" t="s">
        <v>107</v>
      </c>
      <c r="N3040" t="str">
        <f t="shared" si="190"/>
        <v>DA-Rogers Hall (D031)</v>
      </c>
      <c r="O3040" t="s">
        <v>65</v>
      </c>
      <c r="P3040" t="str">
        <f t="shared" si="191"/>
        <v>53000_D031</v>
      </c>
      <c r="Q3040" s="180">
        <v>100</v>
      </c>
    </row>
    <row r="3041" spans="1:17">
      <c r="A3041" t="str">
        <f t="shared" si="188"/>
        <v>UNG_D032</v>
      </c>
      <c r="B3041" t="str">
        <f t="shared" si="189"/>
        <v>UNG_DA-Hansford Hall</v>
      </c>
      <c r="C3041" t="s">
        <v>455</v>
      </c>
      <c r="D3041" s="180" t="s">
        <v>64</v>
      </c>
      <c r="E3041" t="s">
        <v>5948</v>
      </c>
      <c r="F3041" t="s">
        <v>5949</v>
      </c>
      <c r="G3041" s="180">
        <v>26626</v>
      </c>
      <c r="H3041">
        <v>1895</v>
      </c>
      <c r="I3041">
        <v>2008</v>
      </c>
      <c r="J3041" s="1334" t="s">
        <v>475</v>
      </c>
      <c r="K3041" s="1335" t="s">
        <v>475</v>
      </c>
      <c r="L3041" s="180">
        <v>100</v>
      </c>
      <c r="M3041" t="s">
        <v>107</v>
      </c>
      <c r="N3041" t="str">
        <f t="shared" si="190"/>
        <v>DA-Hansford Hall (D032)</v>
      </c>
      <c r="O3041" t="s">
        <v>65</v>
      </c>
      <c r="P3041" t="str">
        <f t="shared" si="191"/>
        <v>53000_D032</v>
      </c>
      <c r="Q3041" s="180">
        <v>100</v>
      </c>
    </row>
    <row r="3042" spans="1:17">
      <c r="A3042" t="str">
        <f t="shared" si="188"/>
        <v>UNG_D043</v>
      </c>
      <c r="B3042" t="str">
        <f t="shared" si="189"/>
        <v>UNG_DA-Ecology Protection Lab</v>
      </c>
      <c r="C3042" t="s">
        <v>455</v>
      </c>
      <c r="D3042" s="180" t="s">
        <v>64</v>
      </c>
      <c r="E3042" t="s">
        <v>5942</v>
      </c>
      <c r="F3042" t="s">
        <v>5943</v>
      </c>
      <c r="G3042" s="180">
        <v>1473</v>
      </c>
      <c r="H3042">
        <v>1948</v>
      </c>
      <c r="J3042" s="1334" t="s">
        <v>475</v>
      </c>
      <c r="K3042" s="1335" t="s">
        <v>475</v>
      </c>
      <c r="L3042" s="180">
        <v>100</v>
      </c>
      <c r="M3042" t="s">
        <v>107</v>
      </c>
      <c r="N3042" t="str">
        <f t="shared" si="190"/>
        <v>DA-Ecology Protection Lab (D043)</v>
      </c>
      <c r="O3042" t="s">
        <v>65</v>
      </c>
      <c r="P3042" t="str">
        <f t="shared" si="191"/>
        <v>53000_D043</v>
      </c>
      <c r="Q3042" s="180">
        <v>99</v>
      </c>
    </row>
    <row r="3043" spans="1:17">
      <c r="A3043" t="str">
        <f t="shared" si="188"/>
        <v>UNG_D08A</v>
      </c>
      <c r="B3043" t="str">
        <f t="shared" si="189"/>
        <v>UNG_DA-Dunlap Hall</v>
      </c>
      <c r="C3043" t="s">
        <v>455</v>
      </c>
      <c r="D3043" s="180" t="s">
        <v>64</v>
      </c>
      <c r="E3043" t="s">
        <v>6046</v>
      </c>
      <c r="F3043" t="s">
        <v>6047</v>
      </c>
      <c r="G3043" s="180">
        <v>43158</v>
      </c>
      <c r="H3043">
        <v>1965</v>
      </c>
      <c r="I3043">
        <v>1994</v>
      </c>
      <c r="J3043" s="1334" t="s">
        <v>475</v>
      </c>
      <c r="K3043" s="1335" t="s">
        <v>475</v>
      </c>
      <c r="L3043" s="180">
        <v>100</v>
      </c>
      <c r="M3043" t="s">
        <v>107</v>
      </c>
      <c r="N3043" t="str">
        <f t="shared" si="190"/>
        <v>DA-Dunlap Hall (D08A)</v>
      </c>
      <c r="O3043" t="s">
        <v>65</v>
      </c>
      <c r="P3043" t="str">
        <f t="shared" si="191"/>
        <v>53000_D08A</v>
      </c>
      <c r="Q3043" s="180">
        <v>90</v>
      </c>
    </row>
    <row r="3044" spans="1:17">
      <c r="A3044" t="str">
        <f t="shared" si="188"/>
        <v>UNG_D08B</v>
      </c>
      <c r="B3044" t="str">
        <f t="shared" si="189"/>
        <v>UNG_DA-Newton Oakes Center</v>
      </c>
      <c r="C3044" t="s">
        <v>455</v>
      </c>
      <c r="D3044" s="180" t="s">
        <v>64</v>
      </c>
      <c r="E3044" t="s">
        <v>6057</v>
      </c>
      <c r="F3044" t="s">
        <v>6058</v>
      </c>
      <c r="G3044" s="180">
        <v>44092</v>
      </c>
      <c r="H3044">
        <v>1994</v>
      </c>
      <c r="J3044" s="1334" t="s">
        <v>475</v>
      </c>
      <c r="K3044" s="1335" t="s">
        <v>475</v>
      </c>
      <c r="L3044" s="180">
        <v>100</v>
      </c>
      <c r="M3044" t="s">
        <v>107</v>
      </c>
      <c r="N3044" t="str">
        <f t="shared" si="190"/>
        <v>DA-Newton Oakes Center (D08B)</v>
      </c>
      <c r="O3044" t="s">
        <v>65</v>
      </c>
      <c r="P3044" t="str">
        <f t="shared" si="191"/>
        <v>53000_D08B</v>
      </c>
      <c r="Q3044" s="180">
        <v>100</v>
      </c>
    </row>
    <row r="3045" spans="1:17">
      <c r="A3045" t="str">
        <f t="shared" si="188"/>
        <v>UNG_D090</v>
      </c>
      <c r="B3045" t="str">
        <f t="shared" si="189"/>
        <v>UNG_DA-Pine Valley House</v>
      </c>
      <c r="C3045" t="s">
        <v>455</v>
      </c>
      <c r="D3045" s="180" t="s">
        <v>64</v>
      </c>
      <c r="E3045" t="s">
        <v>5954</v>
      </c>
      <c r="F3045" t="s">
        <v>5955</v>
      </c>
      <c r="G3045" s="180">
        <v>1824</v>
      </c>
      <c r="H3045">
        <v>1970</v>
      </c>
      <c r="J3045" s="1334" t="s">
        <v>475</v>
      </c>
      <c r="K3045" s="1335" t="s">
        <v>475</v>
      </c>
      <c r="L3045" s="180">
        <v>0</v>
      </c>
      <c r="M3045" t="s">
        <v>107</v>
      </c>
      <c r="N3045" t="str">
        <f t="shared" si="190"/>
        <v>DA-Pine Valley House (D090)</v>
      </c>
      <c r="O3045" t="s">
        <v>65</v>
      </c>
      <c r="P3045" t="str">
        <f t="shared" si="191"/>
        <v>53000_D090</v>
      </c>
      <c r="Q3045" s="180">
        <v>100</v>
      </c>
    </row>
    <row r="3046" spans="1:17">
      <c r="A3046" t="str">
        <f t="shared" si="188"/>
        <v>UNG_D091</v>
      </c>
      <c r="B3046" t="str">
        <f t="shared" si="189"/>
        <v>UNG_DA-Pine Valley Pavilion</v>
      </c>
      <c r="C3046" t="s">
        <v>455</v>
      </c>
      <c r="D3046" s="180" t="s">
        <v>64</v>
      </c>
      <c r="E3046" t="s">
        <v>5986</v>
      </c>
      <c r="F3046" t="s">
        <v>5987</v>
      </c>
      <c r="G3046" s="180">
        <v>3648</v>
      </c>
      <c r="H3046">
        <v>1978</v>
      </c>
      <c r="I3046">
        <v>2017</v>
      </c>
      <c r="J3046" s="1334" t="s">
        <v>475</v>
      </c>
      <c r="K3046" s="1335" t="s">
        <v>475</v>
      </c>
      <c r="L3046" s="180">
        <v>100</v>
      </c>
      <c r="M3046" t="s">
        <v>107</v>
      </c>
      <c r="N3046" t="str">
        <f t="shared" si="190"/>
        <v>DA-Pine Valley Pavilion (D091)</v>
      </c>
      <c r="O3046" t="s">
        <v>65</v>
      </c>
      <c r="P3046" t="str">
        <f t="shared" si="191"/>
        <v>53000_D091</v>
      </c>
      <c r="Q3046" s="180">
        <v>0</v>
      </c>
    </row>
    <row r="3047" spans="1:17">
      <c r="A3047" t="str">
        <f t="shared" si="188"/>
        <v>UNG_D092</v>
      </c>
      <c r="B3047" t="str">
        <f t="shared" si="189"/>
        <v>UNG_DA-Pine Valley Restrooms</v>
      </c>
      <c r="C3047" t="s">
        <v>455</v>
      </c>
      <c r="D3047" s="180" t="s">
        <v>64</v>
      </c>
      <c r="E3047" t="s">
        <v>5968</v>
      </c>
      <c r="F3047" t="s">
        <v>5969</v>
      </c>
      <c r="G3047" s="180">
        <v>231</v>
      </c>
      <c r="H3047">
        <v>1978</v>
      </c>
      <c r="I3047">
        <v>2015</v>
      </c>
      <c r="J3047" s="1334" t="s">
        <v>475</v>
      </c>
      <c r="K3047" s="1335" t="s">
        <v>475</v>
      </c>
      <c r="L3047" s="180">
        <v>100</v>
      </c>
      <c r="M3047" t="s">
        <v>107</v>
      </c>
      <c r="N3047" t="str">
        <f t="shared" si="190"/>
        <v>DA-Pine Valley Restrooms (D092)</v>
      </c>
      <c r="O3047" t="s">
        <v>65</v>
      </c>
      <c r="P3047" t="str">
        <f t="shared" si="191"/>
        <v>53000_D092</v>
      </c>
      <c r="Q3047" s="180">
        <v>100</v>
      </c>
    </row>
    <row r="3048" spans="1:17">
      <c r="A3048" t="str">
        <f t="shared" si="188"/>
        <v>UNG_D093</v>
      </c>
      <c r="B3048" t="str">
        <f t="shared" si="189"/>
        <v>UNG_DA-Guest House</v>
      </c>
      <c r="C3048" t="s">
        <v>455</v>
      </c>
      <c r="D3048" s="180" t="s">
        <v>64</v>
      </c>
      <c r="E3048" t="s">
        <v>5993</v>
      </c>
      <c r="F3048" t="s">
        <v>7151</v>
      </c>
      <c r="G3048" s="180">
        <v>4448</v>
      </c>
      <c r="H3048">
        <v>1900</v>
      </c>
      <c r="I3048">
        <v>2019</v>
      </c>
      <c r="J3048" s="1334" t="s">
        <v>475</v>
      </c>
      <c r="K3048" s="1335" t="s">
        <v>475</v>
      </c>
      <c r="L3048" s="180">
        <v>0</v>
      </c>
      <c r="M3048" t="s">
        <v>107</v>
      </c>
      <c r="N3048" t="str">
        <f t="shared" si="190"/>
        <v>DA-Guest House (D093)</v>
      </c>
      <c r="O3048" t="s">
        <v>65</v>
      </c>
      <c r="P3048" t="str">
        <f t="shared" si="191"/>
        <v>53000_D093</v>
      </c>
      <c r="Q3048" s="180">
        <v>100</v>
      </c>
    </row>
    <row r="3049" spans="1:17">
      <c r="A3049" t="str">
        <f t="shared" si="188"/>
        <v>UNG_D095</v>
      </c>
      <c r="B3049" t="str">
        <f t="shared" si="189"/>
        <v>UNG_DA-Baseball Dugout - 1</v>
      </c>
      <c r="C3049" t="s">
        <v>455</v>
      </c>
      <c r="D3049" s="180" t="s">
        <v>64</v>
      </c>
      <c r="E3049" t="s">
        <v>6010</v>
      </c>
      <c r="F3049" t="s">
        <v>6011</v>
      </c>
      <c r="G3049" s="180">
        <v>600</v>
      </c>
      <c r="H3049">
        <v>2000</v>
      </c>
      <c r="J3049" s="1334" t="s">
        <v>475</v>
      </c>
      <c r="K3049" s="1335" t="s">
        <v>475</v>
      </c>
      <c r="L3049" s="180">
        <v>0</v>
      </c>
      <c r="M3049" t="s">
        <v>107</v>
      </c>
      <c r="N3049" t="str">
        <f t="shared" si="190"/>
        <v>DA-Baseball Dugout - 1 (D095)</v>
      </c>
      <c r="O3049" t="s">
        <v>65</v>
      </c>
      <c r="P3049" t="str">
        <f t="shared" si="191"/>
        <v>53000_D095</v>
      </c>
      <c r="Q3049" s="180">
        <v>100</v>
      </c>
    </row>
    <row r="3050" spans="1:17">
      <c r="A3050" t="str">
        <f t="shared" si="188"/>
        <v>UNG_D096</v>
      </c>
      <c r="B3050" t="str">
        <f t="shared" si="189"/>
        <v>UNG_DA-Baseball Dugout - 2</v>
      </c>
      <c r="C3050" t="s">
        <v>455</v>
      </c>
      <c r="D3050" s="180" t="s">
        <v>64</v>
      </c>
      <c r="E3050" t="s">
        <v>6032</v>
      </c>
      <c r="F3050" t="s">
        <v>6033</v>
      </c>
      <c r="G3050" s="180">
        <v>600</v>
      </c>
      <c r="H3050">
        <v>2000</v>
      </c>
      <c r="J3050" s="1334" t="s">
        <v>475</v>
      </c>
      <c r="K3050" s="1335" t="s">
        <v>475</v>
      </c>
      <c r="L3050" s="180">
        <v>0</v>
      </c>
      <c r="M3050" t="s">
        <v>107</v>
      </c>
      <c r="N3050" t="str">
        <f t="shared" si="190"/>
        <v>DA-Baseball Dugout - 2 (D096)</v>
      </c>
      <c r="O3050" t="s">
        <v>65</v>
      </c>
      <c r="P3050" t="str">
        <f t="shared" si="191"/>
        <v>53000_D096</v>
      </c>
      <c r="Q3050" s="180">
        <v>100</v>
      </c>
    </row>
    <row r="3051" spans="1:17">
      <c r="A3051" t="str">
        <f t="shared" si="188"/>
        <v>UNG_D097</v>
      </c>
      <c r="B3051" t="str">
        <f t="shared" si="189"/>
        <v>UNG_DA-Softball Dugout - 1</v>
      </c>
      <c r="C3051" t="s">
        <v>455</v>
      </c>
      <c r="D3051" s="180" t="s">
        <v>64</v>
      </c>
      <c r="E3051" t="s">
        <v>6026</v>
      </c>
      <c r="F3051" t="s">
        <v>6027</v>
      </c>
      <c r="G3051" s="180">
        <v>400</v>
      </c>
      <c r="H3051">
        <v>2000</v>
      </c>
      <c r="J3051" s="1334" t="s">
        <v>475</v>
      </c>
      <c r="K3051" s="1335" t="s">
        <v>475</v>
      </c>
      <c r="L3051" s="180">
        <v>0</v>
      </c>
      <c r="M3051" t="s">
        <v>107</v>
      </c>
      <c r="N3051" t="str">
        <f t="shared" si="190"/>
        <v>DA-Softball Dugout - 1 (D097)</v>
      </c>
      <c r="O3051" t="s">
        <v>65</v>
      </c>
      <c r="P3051" t="str">
        <f t="shared" si="191"/>
        <v>53000_D097</v>
      </c>
      <c r="Q3051" s="180">
        <v>100</v>
      </c>
    </row>
    <row r="3052" spans="1:17">
      <c r="A3052" t="str">
        <f t="shared" si="188"/>
        <v>UNG_D098</v>
      </c>
      <c r="B3052" t="str">
        <f t="shared" si="189"/>
        <v>UNG_DA-Softball Dugout - 2</v>
      </c>
      <c r="C3052" t="s">
        <v>455</v>
      </c>
      <c r="D3052" s="180" t="s">
        <v>64</v>
      </c>
      <c r="E3052" t="s">
        <v>6076</v>
      </c>
      <c r="F3052" t="s">
        <v>6077</v>
      </c>
      <c r="G3052" s="180">
        <v>400</v>
      </c>
      <c r="H3052">
        <v>2000</v>
      </c>
      <c r="J3052" s="1334" t="s">
        <v>475</v>
      </c>
      <c r="K3052" s="1335" t="s">
        <v>475</v>
      </c>
      <c r="L3052" s="180">
        <v>0</v>
      </c>
      <c r="M3052" t="s">
        <v>107</v>
      </c>
      <c r="N3052" t="str">
        <f t="shared" si="190"/>
        <v>DA-Softball Dugout - 2 (D098)</v>
      </c>
      <c r="O3052" t="s">
        <v>65</v>
      </c>
      <c r="P3052" t="str">
        <f t="shared" si="191"/>
        <v>53000_D098</v>
      </c>
      <c r="Q3052" s="180">
        <v>100</v>
      </c>
    </row>
    <row r="3053" spans="1:17">
      <c r="A3053" t="str">
        <f t="shared" si="188"/>
        <v>UNG_D09A</v>
      </c>
      <c r="B3053" t="str">
        <f t="shared" si="189"/>
        <v>UNG_DA-Pine Valley Pump House</v>
      </c>
      <c r="C3053" t="s">
        <v>455</v>
      </c>
      <c r="D3053" s="180" t="s">
        <v>64</v>
      </c>
      <c r="E3053" t="s">
        <v>6053</v>
      </c>
      <c r="F3053" t="s">
        <v>6054</v>
      </c>
      <c r="G3053" s="180">
        <v>200</v>
      </c>
      <c r="H3053">
        <v>2014</v>
      </c>
      <c r="J3053" s="1334" t="s">
        <v>475</v>
      </c>
      <c r="K3053" s="1335" t="s">
        <v>475</v>
      </c>
      <c r="L3053" s="180">
        <v>100</v>
      </c>
      <c r="M3053" t="s">
        <v>107</v>
      </c>
      <c r="N3053" t="str">
        <f t="shared" si="190"/>
        <v>DA-Pine Valley Pump House (D09A)</v>
      </c>
      <c r="O3053" t="s">
        <v>65</v>
      </c>
      <c r="P3053" t="str">
        <f t="shared" si="191"/>
        <v>53000_D09A</v>
      </c>
      <c r="Q3053" s="180">
        <v>100</v>
      </c>
    </row>
    <row r="3054" spans="1:17">
      <c r="A3054" t="str">
        <f t="shared" si="188"/>
        <v>UNG_D100</v>
      </c>
      <c r="B3054" t="str">
        <f t="shared" si="189"/>
        <v>UNG_DA-Softball Press Box</v>
      </c>
      <c r="C3054" t="s">
        <v>455</v>
      </c>
      <c r="D3054" s="180" t="s">
        <v>64</v>
      </c>
      <c r="E3054" t="s">
        <v>5924</v>
      </c>
      <c r="F3054" t="s">
        <v>5925</v>
      </c>
      <c r="G3054" s="180">
        <v>296</v>
      </c>
      <c r="H3054">
        <v>2000</v>
      </c>
      <c r="I3054">
        <v>2009</v>
      </c>
      <c r="J3054" s="1334" t="s">
        <v>475</v>
      </c>
      <c r="K3054" s="1335" t="s">
        <v>475</v>
      </c>
      <c r="L3054" s="180">
        <v>0</v>
      </c>
      <c r="M3054" t="s">
        <v>107</v>
      </c>
      <c r="N3054" t="str">
        <f t="shared" si="190"/>
        <v>DA-Softball Press Box (D100)</v>
      </c>
      <c r="O3054" t="s">
        <v>65</v>
      </c>
      <c r="P3054" t="str">
        <f t="shared" si="191"/>
        <v>53000_D100</v>
      </c>
      <c r="Q3054" s="180">
        <v>100</v>
      </c>
    </row>
    <row r="3055" spans="1:17">
      <c r="A3055" t="str">
        <f t="shared" si="188"/>
        <v>UNG_D101</v>
      </c>
      <c r="B3055" t="str">
        <f t="shared" si="189"/>
        <v>UNG_DA-Baseball Press Bx</v>
      </c>
      <c r="C3055" t="s">
        <v>455</v>
      </c>
      <c r="D3055" s="180" t="s">
        <v>64</v>
      </c>
      <c r="E3055" t="s">
        <v>6035</v>
      </c>
      <c r="F3055" t="s">
        <v>6036</v>
      </c>
      <c r="G3055" s="180">
        <v>288</v>
      </c>
      <c r="H3055">
        <v>2000</v>
      </c>
      <c r="I3055">
        <v>2008</v>
      </c>
      <c r="J3055" s="1334" t="s">
        <v>475</v>
      </c>
      <c r="K3055" s="1335" t="s">
        <v>475</v>
      </c>
      <c r="L3055" s="180">
        <v>0</v>
      </c>
      <c r="M3055" t="s">
        <v>107</v>
      </c>
      <c r="N3055" t="str">
        <f t="shared" si="190"/>
        <v>DA-Baseball Press Bx (D101)</v>
      </c>
      <c r="O3055" t="s">
        <v>65</v>
      </c>
      <c r="P3055" t="str">
        <f t="shared" si="191"/>
        <v>53000_D101</v>
      </c>
      <c r="Q3055" s="180">
        <v>100</v>
      </c>
    </row>
    <row r="3056" spans="1:17">
      <c r="A3056" t="str">
        <f t="shared" si="188"/>
        <v>UNG_D102</v>
      </c>
      <c r="B3056" t="str">
        <f t="shared" si="189"/>
        <v>UNG_DA-Health and Natural Sciences</v>
      </c>
      <c r="C3056" t="s">
        <v>455</v>
      </c>
      <c r="D3056" s="180" t="s">
        <v>64</v>
      </c>
      <c r="E3056" t="s">
        <v>6028</v>
      </c>
      <c r="F3056" t="s">
        <v>6029</v>
      </c>
      <c r="G3056" s="180">
        <v>94000</v>
      </c>
      <c r="H3056">
        <v>2000</v>
      </c>
      <c r="J3056" s="1334" t="s">
        <v>520</v>
      </c>
      <c r="K3056" s="1335" t="s">
        <v>475</v>
      </c>
      <c r="L3056" s="180">
        <v>100</v>
      </c>
      <c r="M3056" t="s">
        <v>107</v>
      </c>
      <c r="N3056" t="str">
        <f t="shared" si="190"/>
        <v>DA-Health and Natural Sciences (D102)</v>
      </c>
      <c r="O3056" t="s">
        <v>65</v>
      </c>
      <c r="P3056" t="str">
        <f t="shared" si="191"/>
        <v>53000_D102</v>
      </c>
      <c r="Q3056" s="180">
        <v>100</v>
      </c>
    </row>
    <row r="3057" spans="1:17">
      <c r="A3057" t="str">
        <f t="shared" si="188"/>
        <v>UNG_D104</v>
      </c>
      <c r="B3057" t="str">
        <f t="shared" si="189"/>
        <v>UNG_DA-Facilities &amp; Materials Mgmt</v>
      </c>
      <c r="C3057" t="s">
        <v>455</v>
      </c>
      <c r="D3057" s="180" t="s">
        <v>64</v>
      </c>
      <c r="E3057" t="s">
        <v>5970</v>
      </c>
      <c r="F3057" t="s">
        <v>5971</v>
      </c>
      <c r="G3057" s="180">
        <v>33272</v>
      </c>
      <c r="H3057">
        <v>2004</v>
      </c>
      <c r="J3057" s="1334" t="s">
        <v>520</v>
      </c>
      <c r="K3057" s="1335" t="s">
        <v>475</v>
      </c>
      <c r="L3057" s="180">
        <v>100</v>
      </c>
      <c r="M3057" t="s">
        <v>107</v>
      </c>
      <c r="N3057" t="str">
        <f t="shared" si="190"/>
        <v>DA-Facilities &amp; Materials Mgmt (D104)</v>
      </c>
      <c r="O3057" t="s">
        <v>65</v>
      </c>
      <c r="P3057" t="str">
        <f t="shared" si="191"/>
        <v>53000_D104</v>
      </c>
      <c r="Q3057" s="180">
        <v>100</v>
      </c>
    </row>
    <row r="3058" spans="1:17">
      <c r="A3058" t="str">
        <f t="shared" si="188"/>
        <v>UNG_D105</v>
      </c>
      <c r="B3058" t="str">
        <f t="shared" si="189"/>
        <v>UNG_DA-Baseball Maintenance Garage</v>
      </c>
      <c r="C3058" t="s">
        <v>455</v>
      </c>
      <c r="D3058" s="180" t="s">
        <v>64</v>
      </c>
      <c r="E3058" t="s">
        <v>6001</v>
      </c>
      <c r="F3058" t="s">
        <v>7782</v>
      </c>
      <c r="G3058" s="180">
        <v>1200</v>
      </c>
      <c r="H3058">
        <v>2004</v>
      </c>
      <c r="J3058" s="1334" t="s">
        <v>475</v>
      </c>
      <c r="K3058" s="1335" t="s">
        <v>475</v>
      </c>
      <c r="L3058" s="180">
        <v>0</v>
      </c>
      <c r="M3058" t="s">
        <v>107</v>
      </c>
      <c r="N3058" t="str">
        <f t="shared" si="190"/>
        <v>DA-Baseball Maintenance Garage (D105)</v>
      </c>
      <c r="O3058" t="s">
        <v>65</v>
      </c>
      <c r="P3058" t="str">
        <f t="shared" si="191"/>
        <v>53000_D105</v>
      </c>
      <c r="Q3058" s="180">
        <v>100</v>
      </c>
    </row>
    <row r="3059" spans="1:17">
      <c r="A3059" t="str">
        <f t="shared" si="188"/>
        <v>UNG_D106</v>
      </c>
      <c r="B3059" t="str">
        <f t="shared" si="189"/>
        <v>UNG_DA-Downtown Office Building</v>
      </c>
      <c r="C3059" t="s">
        <v>455</v>
      </c>
      <c r="D3059" s="180" t="s">
        <v>64</v>
      </c>
      <c r="E3059" t="s">
        <v>6048</v>
      </c>
      <c r="F3059" t="s">
        <v>6049</v>
      </c>
      <c r="G3059" s="180">
        <v>33812</v>
      </c>
      <c r="H3059">
        <v>1964</v>
      </c>
      <c r="I3059">
        <v>1976</v>
      </c>
      <c r="J3059" s="1334" t="s">
        <v>486</v>
      </c>
      <c r="K3059" s="1335" t="s">
        <v>475</v>
      </c>
      <c r="L3059" s="180">
        <v>99</v>
      </c>
      <c r="M3059" t="s">
        <v>107</v>
      </c>
      <c r="N3059" t="str">
        <f t="shared" si="190"/>
        <v>DA-Downtown Office Building (D106)</v>
      </c>
      <c r="O3059" t="s">
        <v>65</v>
      </c>
      <c r="P3059" t="str">
        <f t="shared" si="191"/>
        <v>53000_D106</v>
      </c>
      <c r="Q3059" s="180">
        <v>100</v>
      </c>
    </row>
    <row r="3060" spans="1:17">
      <c r="A3060" t="str">
        <f t="shared" si="188"/>
        <v>UNG_D108</v>
      </c>
      <c r="B3060" t="str">
        <f t="shared" si="189"/>
        <v>UNG_DA-Vickery House</v>
      </c>
      <c r="C3060" t="s">
        <v>455</v>
      </c>
      <c r="D3060" s="180" t="s">
        <v>64</v>
      </c>
      <c r="E3060" t="s">
        <v>5935</v>
      </c>
      <c r="F3060" t="s">
        <v>5936</v>
      </c>
      <c r="G3060" s="180">
        <v>3440</v>
      </c>
      <c r="H3060">
        <v>1860</v>
      </c>
      <c r="J3060" s="1334" t="s">
        <v>475</v>
      </c>
      <c r="K3060" s="1335" t="s">
        <v>475</v>
      </c>
      <c r="L3060" s="180">
        <v>100</v>
      </c>
      <c r="M3060" t="s">
        <v>107</v>
      </c>
      <c r="N3060" t="str">
        <f t="shared" si="190"/>
        <v>DA-Vickery House (D108)</v>
      </c>
      <c r="O3060" t="s">
        <v>65</v>
      </c>
      <c r="P3060" t="str">
        <f t="shared" si="191"/>
        <v>53000_D108</v>
      </c>
      <c r="Q3060" s="180">
        <v>100</v>
      </c>
    </row>
    <row r="3061" spans="1:17">
      <c r="A3061" t="str">
        <f t="shared" si="188"/>
        <v>UNG_D109</v>
      </c>
      <c r="B3061" t="str">
        <f t="shared" si="189"/>
        <v>UNG_DA-Library Technology Center</v>
      </c>
      <c r="C3061" t="s">
        <v>455</v>
      </c>
      <c r="D3061" s="180" t="s">
        <v>64</v>
      </c>
      <c r="E3061" t="s">
        <v>6086</v>
      </c>
      <c r="F3061" t="s">
        <v>6087</v>
      </c>
      <c r="G3061" s="180">
        <v>88873</v>
      </c>
      <c r="H3061">
        <v>2008</v>
      </c>
      <c r="J3061" s="1334" t="s">
        <v>475</v>
      </c>
      <c r="K3061" s="1335" t="s">
        <v>475</v>
      </c>
      <c r="L3061" s="180">
        <v>100</v>
      </c>
      <c r="M3061" t="s">
        <v>107</v>
      </c>
      <c r="N3061" t="str">
        <f t="shared" si="190"/>
        <v>DA-Library Technology Center (D109)</v>
      </c>
      <c r="O3061" t="s">
        <v>65</v>
      </c>
      <c r="P3061" t="str">
        <f t="shared" si="191"/>
        <v>53000_D109</v>
      </c>
      <c r="Q3061" s="180">
        <v>100</v>
      </c>
    </row>
    <row r="3062" spans="1:17">
      <c r="A3062" t="str">
        <f t="shared" si="188"/>
        <v>UNG_D113</v>
      </c>
      <c r="B3062" t="str">
        <f t="shared" si="189"/>
        <v>UNG_DA-Rec Deck</v>
      </c>
      <c r="C3062" t="s">
        <v>455</v>
      </c>
      <c r="D3062" s="180" t="s">
        <v>64</v>
      </c>
      <c r="E3062" t="s">
        <v>6078</v>
      </c>
      <c r="F3062" t="s">
        <v>6079</v>
      </c>
      <c r="G3062" s="180">
        <v>210878</v>
      </c>
      <c r="H3062">
        <v>2008</v>
      </c>
      <c r="J3062" s="1334" t="s">
        <v>486</v>
      </c>
      <c r="K3062" s="1335" t="s">
        <v>475</v>
      </c>
      <c r="L3062" s="180">
        <v>0</v>
      </c>
      <c r="M3062" t="s">
        <v>107</v>
      </c>
      <c r="N3062" t="str">
        <f t="shared" si="190"/>
        <v>DA-Rec Deck (D113)</v>
      </c>
      <c r="O3062" t="s">
        <v>65</v>
      </c>
      <c r="P3062" t="str">
        <f t="shared" si="191"/>
        <v>53000_D113</v>
      </c>
      <c r="Q3062" s="180">
        <v>100</v>
      </c>
    </row>
    <row r="3063" spans="1:17">
      <c r="A3063" t="str">
        <f t="shared" si="188"/>
        <v>UNG_D114</v>
      </c>
      <c r="B3063" t="str">
        <f t="shared" si="189"/>
        <v>UNG_DA-Recreation Center</v>
      </c>
      <c r="C3063" t="s">
        <v>455</v>
      </c>
      <c r="D3063" s="180" t="s">
        <v>64</v>
      </c>
      <c r="E3063" t="s">
        <v>5928</v>
      </c>
      <c r="F3063" t="s">
        <v>5929</v>
      </c>
      <c r="G3063" s="180">
        <v>57000</v>
      </c>
      <c r="H3063">
        <v>2008</v>
      </c>
      <c r="J3063" s="1334" t="s">
        <v>486</v>
      </c>
      <c r="K3063" s="1335" t="s">
        <v>475</v>
      </c>
      <c r="L3063" s="180">
        <v>100</v>
      </c>
      <c r="M3063" t="s">
        <v>107</v>
      </c>
      <c r="N3063" t="str">
        <f t="shared" si="190"/>
        <v>DA-Recreation Center (D114)</v>
      </c>
      <c r="O3063" t="s">
        <v>65</v>
      </c>
      <c r="P3063" t="str">
        <f t="shared" si="191"/>
        <v>53000_D114</v>
      </c>
      <c r="Q3063" s="180">
        <v>100</v>
      </c>
    </row>
    <row r="3064" spans="1:17">
      <c r="A3064" t="str">
        <f t="shared" si="188"/>
        <v>UNG_D118</v>
      </c>
      <c r="B3064" t="str">
        <f t="shared" si="189"/>
        <v>UNG_DA-Patriot Hall</v>
      </c>
      <c r="C3064" t="s">
        <v>455</v>
      </c>
      <c r="D3064" s="180" t="s">
        <v>64</v>
      </c>
      <c r="E3064" t="s">
        <v>6059</v>
      </c>
      <c r="F3064" t="s">
        <v>6060</v>
      </c>
      <c r="G3064" s="180">
        <v>87124</v>
      </c>
      <c r="H3064">
        <v>2010</v>
      </c>
      <c r="J3064" s="1334" t="s">
        <v>486</v>
      </c>
      <c r="K3064" s="1335" t="s">
        <v>475</v>
      </c>
      <c r="L3064" s="180">
        <v>0</v>
      </c>
      <c r="M3064" t="s">
        <v>107</v>
      </c>
      <c r="N3064" t="str">
        <f t="shared" si="190"/>
        <v>DA-Patriot Hall (D118)</v>
      </c>
      <c r="O3064" t="s">
        <v>65</v>
      </c>
      <c r="P3064" t="str">
        <f t="shared" si="191"/>
        <v>53000_D118</v>
      </c>
      <c r="Q3064" s="180">
        <v>100</v>
      </c>
    </row>
    <row r="3065" spans="1:17">
      <c r="A3065" t="str">
        <f t="shared" si="188"/>
        <v>UNG_D119</v>
      </c>
      <c r="B3065" t="str">
        <f t="shared" si="189"/>
        <v>UNG_DA-North Georgia Suites</v>
      </c>
      <c r="C3065" t="s">
        <v>455</v>
      </c>
      <c r="D3065" s="180" t="s">
        <v>64</v>
      </c>
      <c r="E3065" t="s">
        <v>6037</v>
      </c>
      <c r="F3065" t="s">
        <v>6038</v>
      </c>
      <c r="G3065" s="180">
        <v>147347</v>
      </c>
      <c r="H3065">
        <v>2010</v>
      </c>
      <c r="J3065" s="1334" t="s">
        <v>486</v>
      </c>
      <c r="K3065" s="1335" t="s">
        <v>475</v>
      </c>
      <c r="L3065" s="180">
        <v>0</v>
      </c>
      <c r="M3065" t="s">
        <v>107</v>
      </c>
      <c r="N3065" t="str">
        <f t="shared" si="190"/>
        <v>DA-North Georgia Suites (D119)</v>
      </c>
      <c r="O3065" t="s">
        <v>65</v>
      </c>
      <c r="P3065" t="str">
        <f t="shared" si="191"/>
        <v>53000_D119</v>
      </c>
      <c r="Q3065" s="180">
        <v>100</v>
      </c>
    </row>
    <row r="3066" spans="1:17">
      <c r="A3066" t="str">
        <f t="shared" si="188"/>
        <v>UNG_D120</v>
      </c>
      <c r="B3066" t="str">
        <f t="shared" si="189"/>
        <v>UNG_DA-Walker Deck</v>
      </c>
      <c r="C3066" t="s">
        <v>455</v>
      </c>
      <c r="D3066" s="180" t="s">
        <v>64</v>
      </c>
      <c r="E3066" t="s">
        <v>6063</v>
      </c>
      <c r="F3066" t="s">
        <v>6064</v>
      </c>
      <c r="G3066" s="180">
        <v>345336</v>
      </c>
      <c r="H3066">
        <v>2010</v>
      </c>
      <c r="J3066" s="1334" t="s">
        <v>486</v>
      </c>
      <c r="K3066" s="1335" t="s">
        <v>475</v>
      </c>
      <c r="L3066" s="180">
        <v>0</v>
      </c>
      <c r="M3066" t="s">
        <v>107</v>
      </c>
      <c r="N3066" t="str">
        <f t="shared" si="190"/>
        <v>DA-Walker Deck (D120)</v>
      </c>
      <c r="O3066" t="s">
        <v>65</v>
      </c>
      <c r="P3066" t="str">
        <f t="shared" si="191"/>
        <v>53000_D120</v>
      </c>
      <c r="Q3066" s="180">
        <v>100</v>
      </c>
    </row>
    <row r="3067" spans="1:17">
      <c r="A3067" t="str">
        <f t="shared" si="188"/>
        <v>UNG_D121</v>
      </c>
      <c r="B3067" t="str">
        <f t="shared" si="189"/>
        <v>UNG_DA-Dining Hall</v>
      </c>
      <c r="C3067" t="s">
        <v>455</v>
      </c>
      <c r="D3067" s="180" t="s">
        <v>64</v>
      </c>
      <c r="E3067" t="s">
        <v>6072</v>
      </c>
      <c r="F3067" t="s">
        <v>6073</v>
      </c>
      <c r="G3067" s="180">
        <v>36860</v>
      </c>
      <c r="H3067">
        <v>2011</v>
      </c>
      <c r="J3067" s="1334" t="s">
        <v>486</v>
      </c>
      <c r="K3067" s="1335" t="s">
        <v>475</v>
      </c>
      <c r="L3067" s="180">
        <v>0</v>
      </c>
      <c r="M3067" t="s">
        <v>107</v>
      </c>
      <c r="N3067" t="str">
        <f t="shared" si="190"/>
        <v>DA-Dining Hall (D121)</v>
      </c>
      <c r="O3067" t="s">
        <v>65</v>
      </c>
      <c r="P3067" t="str">
        <f t="shared" si="191"/>
        <v>53000_D121</v>
      </c>
      <c r="Q3067" s="180">
        <v>100</v>
      </c>
    </row>
    <row r="3068" spans="1:17">
      <c r="A3068" t="str">
        <f t="shared" si="188"/>
        <v>UNG_D122</v>
      </c>
      <c r="B3068" t="str">
        <f t="shared" si="189"/>
        <v>UNG_DA-Chestatee Building</v>
      </c>
      <c r="C3068" t="s">
        <v>455</v>
      </c>
      <c r="D3068" s="180" t="s">
        <v>64</v>
      </c>
      <c r="E3068" t="s">
        <v>6040</v>
      </c>
      <c r="F3068" t="s">
        <v>6041</v>
      </c>
      <c r="G3068" s="180">
        <v>47000</v>
      </c>
      <c r="H3068">
        <v>2011</v>
      </c>
      <c r="J3068" s="1334" t="s">
        <v>486</v>
      </c>
      <c r="K3068" s="1335" t="s">
        <v>475</v>
      </c>
      <c r="L3068" s="180">
        <v>54</v>
      </c>
      <c r="M3068" t="s">
        <v>107</v>
      </c>
      <c r="N3068" t="str">
        <f t="shared" si="190"/>
        <v>DA-Chestatee Building (D122)</v>
      </c>
      <c r="O3068" t="s">
        <v>65</v>
      </c>
      <c r="P3068" t="str">
        <f t="shared" si="191"/>
        <v>53000_D122</v>
      </c>
      <c r="Q3068" s="180">
        <v>100</v>
      </c>
    </row>
    <row r="3069" spans="1:17">
      <c r="A3069" t="str">
        <f t="shared" si="188"/>
        <v>UNG_D123</v>
      </c>
      <c r="B3069" t="str">
        <f t="shared" si="189"/>
        <v>UNG_DA-Liberty Hall</v>
      </c>
      <c r="C3069" t="s">
        <v>455</v>
      </c>
      <c r="D3069" s="180" t="s">
        <v>64</v>
      </c>
      <c r="E3069" t="s">
        <v>6095</v>
      </c>
      <c r="F3069" t="s">
        <v>6096</v>
      </c>
      <c r="G3069" s="180">
        <v>65609</v>
      </c>
      <c r="H3069">
        <v>2011</v>
      </c>
      <c r="J3069" s="1334" t="s">
        <v>486</v>
      </c>
      <c r="K3069" s="1335" t="s">
        <v>475</v>
      </c>
      <c r="L3069" s="180">
        <v>0</v>
      </c>
      <c r="M3069" t="s">
        <v>107</v>
      </c>
      <c r="N3069" t="str">
        <f t="shared" si="190"/>
        <v>DA-Liberty Hall (D123)</v>
      </c>
      <c r="O3069" t="s">
        <v>65</v>
      </c>
      <c r="P3069" t="str">
        <f t="shared" si="191"/>
        <v>53000_D123</v>
      </c>
      <c r="Q3069" s="180">
        <v>100</v>
      </c>
    </row>
    <row r="3070" spans="1:17">
      <c r="A3070" t="str">
        <f t="shared" si="188"/>
        <v>UNG_D127</v>
      </c>
      <c r="B3070" t="str">
        <f t="shared" si="189"/>
        <v>UNG_DA-Choice St Arts Complex A</v>
      </c>
      <c r="C3070" t="s">
        <v>455</v>
      </c>
      <c r="D3070" s="180" t="s">
        <v>64</v>
      </c>
      <c r="E3070" t="s">
        <v>5960</v>
      </c>
      <c r="F3070" t="s">
        <v>5961</v>
      </c>
      <c r="G3070" s="180">
        <v>2870</v>
      </c>
      <c r="H3070">
        <v>1944</v>
      </c>
      <c r="I3070">
        <v>2014</v>
      </c>
      <c r="J3070" s="1334" t="s">
        <v>475</v>
      </c>
      <c r="K3070" s="1335" t="s">
        <v>475</v>
      </c>
      <c r="L3070" s="180">
        <v>100</v>
      </c>
      <c r="M3070" t="s">
        <v>107</v>
      </c>
      <c r="N3070" t="str">
        <f t="shared" si="190"/>
        <v>DA-Choice St Arts Complex A (D127)</v>
      </c>
      <c r="O3070" t="s">
        <v>65</v>
      </c>
      <c r="P3070" t="str">
        <f t="shared" si="191"/>
        <v>53000_D127</v>
      </c>
      <c r="Q3070" s="180">
        <v>100</v>
      </c>
    </row>
    <row r="3071" spans="1:17">
      <c r="A3071" t="str">
        <f t="shared" si="188"/>
        <v>UNG_D128</v>
      </c>
      <c r="B3071" t="str">
        <f t="shared" si="189"/>
        <v>UNG_DA-Choice St Arts Complex B</v>
      </c>
      <c r="C3071" t="s">
        <v>455</v>
      </c>
      <c r="D3071" s="180" t="s">
        <v>64</v>
      </c>
      <c r="E3071" t="s">
        <v>5996</v>
      </c>
      <c r="F3071" t="s">
        <v>5997</v>
      </c>
      <c r="G3071" s="180">
        <v>2849</v>
      </c>
      <c r="H3071">
        <v>1944</v>
      </c>
      <c r="I3071">
        <v>2014</v>
      </c>
      <c r="J3071" s="1334" t="s">
        <v>475</v>
      </c>
      <c r="K3071" s="1335" t="s">
        <v>475</v>
      </c>
      <c r="L3071" s="180">
        <v>100</v>
      </c>
      <c r="M3071" t="s">
        <v>107</v>
      </c>
      <c r="N3071" t="str">
        <f t="shared" si="190"/>
        <v>DA-Choice St Arts Complex B (D128)</v>
      </c>
      <c r="O3071" t="s">
        <v>65</v>
      </c>
      <c r="P3071" t="str">
        <f t="shared" si="191"/>
        <v>53000_D128</v>
      </c>
      <c r="Q3071" s="180">
        <v>98</v>
      </c>
    </row>
    <row r="3072" spans="1:17">
      <c r="A3072" t="str">
        <f t="shared" si="188"/>
        <v>UNG_D129</v>
      </c>
      <c r="B3072" t="str">
        <f t="shared" si="189"/>
        <v>UNG_DA-Choice St Arts Complex C</v>
      </c>
      <c r="C3072" t="s">
        <v>455</v>
      </c>
      <c r="D3072" s="180" t="s">
        <v>64</v>
      </c>
      <c r="E3072" t="s">
        <v>6089</v>
      </c>
      <c r="F3072" t="s">
        <v>6090</v>
      </c>
      <c r="G3072" s="180">
        <v>6480</v>
      </c>
      <c r="H3072">
        <v>1838</v>
      </c>
      <c r="I3072">
        <v>2013</v>
      </c>
      <c r="J3072" s="1334" t="s">
        <v>475</v>
      </c>
      <c r="K3072" s="1335" t="s">
        <v>475</v>
      </c>
      <c r="L3072" s="180">
        <v>100</v>
      </c>
      <c r="M3072" t="s">
        <v>107</v>
      </c>
      <c r="N3072" t="str">
        <f t="shared" si="190"/>
        <v>DA-Choice St Arts Complex C (D129)</v>
      </c>
      <c r="O3072" t="s">
        <v>65</v>
      </c>
      <c r="P3072" t="str">
        <f t="shared" si="191"/>
        <v>53000_D129</v>
      </c>
      <c r="Q3072" s="180">
        <v>100</v>
      </c>
    </row>
    <row r="3073" spans="1:17">
      <c r="A3073" t="str">
        <f t="shared" si="188"/>
        <v>UNG_D130</v>
      </c>
      <c r="B3073" t="str">
        <f t="shared" si="189"/>
        <v>UNG_DA-Choice St Arts Complex D</v>
      </c>
      <c r="C3073" t="s">
        <v>455</v>
      </c>
      <c r="D3073" s="180" t="s">
        <v>64</v>
      </c>
      <c r="E3073" t="s">
        <v>6097</v>
      </c>
      <c r="F3073" t="s">
        <v>6098</v>
      </c>
      <c r="G3073" s="180">
        <v>7540</v>
      </c>
      <c r="H3073">
        <v>1944</v>
      </c>
      <c r="I3073">
        <v>2014</v>
      </c>
      <c r="J3073" s="1334" t="s">
        <v>475</v>
      </c>
      <c r="K3073" s="1335" t="s">
        <v>475</v>
      </c>
      <c r="L3073" s="180">
        <v>100</v>
      </c>
      <c r="M3073" t="s">
        <v>107</v>
      </c>
      <c r="N3073" t="str">
        <f t="shared" si="190"/>
        <v>DA-Choice St Arts Complex D (D130)</v>
      </c>
      <c r="O3073" t="s">
        <v>65</v>
      </c>
      <c r="P3073" t="str">
        <f t="shared" si="191"/>
        <v>53000_D130</v>
      </c>
      <c r="Q3073" s="180">
        <v>100</v>
      </c>
    </row>
    <row r="3074" spans="1:17">
      <c r="A3074" t="str">
        <f t="shared" si="188"/>
        <v>UNG_D134</v>
      </c>
      <c r="B3074" t="str">
        <f t="shared" si="189"/>
        <v>UNG_DA-Convocation Center</v>
      </c>
      <c r="C3074" t="s">
        <v>455</v>
      </c>
      <c r="D3074" s="180" t="s">
        <v>64</v>
      </c>
      <c r="E3074" t="s">
        <v>6101</v>
      </c>
      <c r="F3074" t="s">
        <v>6102</v>
      </c>
      <c r="G3074" s="180">
        <v>102369</v>
      </c>
      <c r="H3074">
        <v>2018</v>
      </c>
      <c r="J3074" s="1334" t="s">
        <v>475</v>
      </c>
      <c r="K3074" s="1335" t="s">
        <v>475</v>
      </c>
      <c r="L3074" s="180">
        <v>100</v>
      </c>
      <c r="M3074" t="s">
        <v>107</v>
      </c>
      <c r="N3074" t="str">
        <f t="shared" si="190"/>
        <v>DA-Convocation Center (D134)</v>
      </c>
      <c r="O3074" t="s">
        <v>65</v>
      </c>
      <c r="P3074" t="str">
        <f t="shared" si="191"/>
        <v>53000_D134</v>
      </c>
      <c r="Q3074" s="180">
        <v>100</v>
      </c>
    </row>
    <row r="3075" spans="1:17">
      <c r="A3075" t="str">
        <f t="shared" ref="A3075:A3138" si="192">_xlfn.CONCAT(D3075,"_",E3075)</f>
        <v>UNG_D135</v>
      </c>
      <c r="B3075" t="str">
        <f t="shared" ref="B3075:B3138" si="193">_xlfn.CONCAT(D3075,"_",F3075)</f>
        <v>UNG_DA-South Deck</v>
      </c>
      <c r="C3075" t="s">
        <v>455</v>
      </c>
      <c r="D3075" s="180" t="s">
        <v>64</v>
      </c>
      <c r="E3075" t="s">
        <v>6106</v>
      </c>
      <c r="F3075" t="s">
        <v>6107</v>
      </c>
      <c r="G3075" s="180">
        <v>173363</v>
      </c>
      <c r="H3075">
        <v>2017</v>
      </c>
      <c r="J3075" s="1334" t="s">
        <v>486</v>
      </c>
      <c r="K3075" s="1335" t="s">
        <v>475</v>
      </c>
      <c r="L3075" s="180">
        <v>0</v>
      </c>
      <c r="M3075" t="s">
        <v>107</v>
      </c>
      <c r="N3075" t="str">
        <f t="shared" ref="N3075:N3138" si="194">_xlfn.CONCAT(F3075," (",E3075,")")</f>
        <v>DA-South Deck (D135)</v>
      </c>
      <c r="O3075" t="s">
        <v>65</v>
      </c>
      <c r="P3075" t="str">
        <f t="shared" ref="P3075:P3138" si="195">_xlfn.CONCAT(C3075,"_",E3075)</f>
        <v>53000_D135</v>
      </c>
      <c r="Q3075" s="180">
        <v>100</v>
      </c>
    </row>
    <row r="3076" spans="1:17">
      <c r="A3076" t="str">
        <f t="shared" si="192"/>
        <v>UNG_D137</v>
      </c>
      <c r="B3076" t="str">
        <f t="shared" si="193"/>
        <v>UNG_DA-Walker Drive Building</v>
      </c>
      <c r="C3076" t="s">
        <v>455</v>
      </c>
      <c r="D3076" s="180" t="s">
        <v>64</v>
      </c>
      <c r="E3076" t="s">
        <v>6018</v>
      </c>
      <c r="F3076" t="s">
        <v>6019</v>
      </c>
      <c r="G3076" s="180">
        <v>3579</v>
      </c>
      <c r="H3076">
        <v>1993</v>
      </c>
      <c r="J3076" s="1334" t="s">
        <v>475</v>
      </c>
      <c r="K3076" s="1335" t="s">
        <v>475</v>
      </c>
      <c r="L3076" s="180">
        <v>100</v>
      </c>
      <c r="M3076" t="s">
        <v>107</v>
      </c>
      <c r="N3076" t="str">
        <f t="shared" si="194"/>
        <v>DA-Walker Drive Building (D137)</v>
      </c>
      <c r="O3076" t="s">
        <v>65</v>
      </c>
      <c r="P3076" t="str">
        <f t="shared" si="195"/>
        <v>53000_D137</v>
      </c>
      <c r="Q3076" s="180">
        <v>100</v>
      </c>
    </row>
    <row r="3077" spans="1:17">
      <c r="A3077" t="str">
        <f t="shared" si="192"/>
        <v>UNG_D144</v>
      </c>
      <c r="B3077" t="str">
        <f t="shared" si="193"/>
        <v>UNG_DA-Public Safety Headquarters</v>
      </c>
      <c r="C3077" t="s">
        <v>455</v>
      </c>
      <c r="D3077" s="180" t="s">
        <v>64</v>
      </c>
      <c r="E3077" t="s">
        <v>5956</v>
      </c>
      <c r="F3077" t="s">
        <v>5957</v>
      </c>
      <c r="G3077" s="180">
        <v>7000</v>
      </c>
      <c r="H3077">
        <v>2020</v>
      </c>
      <c r="J3077" s="1334" t="s">
        <v>475</v>
      </c>
      <c r="K3077" s="1335" t="s">
        <v>475</v>
      </c>
      <c r="L3077" s="180">
        <v>100</v>
      </c>
      <c r="M3077" t="s">
        <v>107</v>
      </c>
      <c r="N3077" t="str">
        <f t="shared" si="194"/>
        <v>DA-Public Safety Headquarters (D144)</v>
      </c>
      <c r="O3077" t="s">
        <v>65</v>
      </c>
      <c r="P3077" t="str">
        <f t="shared" si="195"/>
        <v>53000_D144</v>
      </c>
      <c r="Q3077" s="180">
        <v>100</v>
      </c>
    </row>
    <row r="3078" spans="1:17">
      <c r="A3078" t="str">
        <f t="shared" si="192"/>
        <v>UNG_D145</v>
      </c>
      <c r="B3078" t="str">
        <f t="shared" si="193"/>
        <v>UNG_DA-Facilities Equipment Shed</v>
      </c>
      <c r="C3078" t="s">
        <v>455</v>
      </c>
      <c r="D3078" s="180" t="s">
        <v>64</v>
      </c>
      <c r="E3078" t="s">
        <v>6007</v>
      </c>
      <c r="F3078" t="s">
        <v>6008</v>
      </c>
      <c r="G3078" s="180">
        <v>4000</v>
      </c>
      <c r="H3078">
        <v>2018</v>
      </c>
      <c r="J3078" s="1334" t="s">
        <v>475</v>
      </c>
      <c r="K3078" s="1335" t="s">
        <v>475</v>
      </c>
      <c r="L3078" s="180">
        <v>100</v>
      </c>
      <c r="M3078" t="s">
        <v>107</v>
      </c>
      <c r="N3078" t="str">
        <f t="shared" si="194"/>
        <v>DA-Facilities Equipment Shed (D145)</v>
      </c>
      <c r="O3078" t="s">
        <v>65</v>
      </c>
      <c r="P3078" t="str">
        <f t="shared" si="195"/>
        <v>53000_D145</v>
      </c>
      <c r="Q3078" s="180">
        <v>0</v>
      </c>
    </row>
    <row r="3079" spans="1:17">
      <c r="A3079" t="str">
        <f t="shared" si="192"/>
        <v>UNG_D146</v>
      </c>
      <c r="B3079" t="str">
        <f t="shared" si="193"/>
        <v>UNG_DA-Review Stand</v>
      </c>
      <c r="C3079" t="s">
        <v>455</v>
      </c>
      <c r="D3079" s="180" t="s">
        <v>64</v>
      </c>
      <c r="E3079" t="s">
        <v>6099</v>
      </c>
      <c r="F3079" t="s">
        <v>6100</v>
      </c>
      <c r="G3079" s="180">
        <v>2100</v>
      </c>
      <c r="H3079">
        <v>2020</v>
      </c>
      <c r="J3079" s="1334" t="s">
        <v>475</v>
      </c>
      <c r="K3079" s="1335" t="s">
        <v>475</v>
      </c>
      <c r="L3079" s="180">
        <v>100</v>
      </c>
      <c r="M3079" t="s">
        <v>107</v>
      </c>
      <c r="N3079" t="str">
        <f t="shared" si="194"/>
        <v>DA-Review Stand (D146)</v>
      </c>
      <c r="O3079" t="s">
        <v>65</v>
      </c>
      <c r="P3079" t="str">
        <f t="shared" si="195"/>
        <v>53000_D146</v>
      </c>
      <c r="Q3079" s="180">
        <v>100</v>
      </c>
    </row>
    <row r="3080" spans="1:17">
      <c r="A3080" t="str">
        <f t="shared" si="192"/>
        <v>UNG_D147</v>
      </c>
      <c r="B3080" t="str">
        <f t="shared" si="193"/>
        <v>UNG_DA-Cottrell Center</v>
      </c>
      <c r="C3080" t="s">
        <v>455</v>
      </c>
      <c r="D3080" s="180" t="s">
        <v>64</v>
      </c>
      <c r="E3080" t="s">
        <v>7046</v>
      </c>
      <c r="F3080" t="s">
        <v>7152</v>
      </c>
      <c r="G3080" s="180">
        <v>86483</v>
      </c>
      <c r="H3080">
        <v>2021</v>
      </c>
      <c r="J3080" s="1334" t="s">
        <v>520</v>
      </c>
      <c r="K3080" s="1335" t="s">
        <v>475</v>
      </c>
      <c r="L3080" s="180">
        <v>100</v>
      </c>
      <c r="M3080" t="s">
        <v>107</v>
      </c>
      <c r="N3080" t="str">
        <f t="shared" si="194"/>
        <v>DA-Cottrell Center (D147)</v>
      </c>
      <c r="O3080" t="s">
        <v>65</v>
      </c>
      <c r="P3080" t="str">
        <f t="shared" si="195"/>
        <v>53000_D147</v>
      </c>
      <c r="Q3080" s="180">
        <v>0</v>
      </c>
    </row>
    <row r="3081" spans="1:17">
      <c r="A3081" t="str">
        <f t="shared" si="192"/>
        <v>UNG_D148</v>
      </c>
      <c r="B3081" t="str">
        <f t="shared" si="193"/>
        <v>UNG_DA-Carcass Specimen Shed</v>
      </c>
      <c r="C3081" t="s">
        <v>455</v>
      </c>
      <c r="D3081" s="180" t="s">
        <v>64</v>
      </c>
      <c r="E3081" t="s">
        <v>7047</v>
      </c>
      <c r="F3081" t="s">
        <v>7153</v>
      </c>
      <c r="G3081" s="180">
        <v>192</v>
      </c>
      <c r="H3081">
        <v>2020</v>
      </c>
      <c r="J3081" s="1334" t="s">
        <v>475</v>
      </c>
      <c r="K3081" s="1335" t="s">
        <v>475</v>
      </c>
      <c r="L3081" s="180">
        <v>100</v>
      </c>
      <c r="M3081" t="s">
        <v>107</v>
      </c>
      <c r="N3081" t="str">
        <f t="shared" si="194"/>
        <v>DA-Carcass Specimen Shed (D148)</v>
      </c>
      <c r="O3081" t="s">
        <v>65</v>
      </c>
      <c r="P3081" t="str">
        <f t="shared" si="195"/>
        <v>53000_D148</v>
      </c>
      <c r="Q3081" s="180">
        <v>0</v>
      </c>
    </row>
    <row r="3082" spans="1:17">
      <c r="A3082" t="str">
        <f t="shared" si="192"/>
        <v>UNG_D149</v>
      </c>
      <c r="B3082" t="str">
        <f t="shared" si="193"/>
        <v>UNG_DA-Green House</v>
      </c>
      <c r="C3082" t="s">
        <v>455</v>
      </c>
      <c r="D3082" s="180" t="s">
        <v>64</v>
      </c>
      <c r="E3082" t="s">
        <v>7633</v>
      </c>
      <c r="F3082" t="s">
        <v>7783</v>
      </c>
      <c r="G3082" s="180">
        <v>805</v>
      </c>
      <c r="H3082">
        <v>2004</v>
      </c>
      <c r="J3082" s="1334" t="s">
        <v>475</v>
      </c>
      <c r="K3082" s="1335" t="s">
        <v>475</v>
      </c>
      <c r="L3082" s="180">
        <v>100</v>
      </c>
      <c r="M3082" t="s">
        <v>107</v>
      </c>
      <c r="N3082" t="str">
        <f t="shared" si="194"/>
        <v>DA-Green House (D149)</v>
      </c>
      <c r="O3082" t="s">
        <v>65</v>
      </c>
      <c r="P3082" t="str">
        <f t="shared" si="195"/>
        <v>53000_D149</v>
      </c>
      <c r="Q3082" s="180">
        <v>100</v>
      </c>
    </row>
    <row r="3083" spans="1:17">
      <c r="A3083" t="str">
        <f t="shared" si="192"/>
        <v>UNG_D150</v>
      </c>
      <c r="B3083" t="str">
        <f t="shared" si="193"/>
        <v>UNG_DA-National Guard Storage</v>
      </c>
      <c r="C3083" t="s">
        <v>455</v>
      </c>
      <c r="D3083" s="180" t="s">
        <v>64</v>
      </c>
      <c r="E3083" t="s">
        <v>7634</v>
      </c>
      <c r="F3083" t="s">
        <v>7784</v>
      </c>
      <c r="G3083" s="180">
        <v>1073</v>
      </c>
      <c r="H3083">
        <v>1983</v>
      </c>
      <c r="J3083" s="1334" t="s">
        <v>475</v>
      </c>
      <c r="K3083" s="1335" t="s">
        <v>475</v>
      </c>
      <c r="L3083" s="180">
        <v>100</v>
      </c>
      <c r="M3083" t="s">
        <v>107</v>
      </c>
      <c r="N3083" t="str">
        <f t="shared" si="194"/>
        <v>DA-National Guard Storage (D150)</v>
      </c>
      <c r="O3083" t="s">
        <v>65</v>
      </c>
      <c r="P3083" t="str">
        <f t="shared" si="195"/>
        <v>53000_D150</v>
      </c>
      <c r="Q3083" s="180">
        <v>94</v>
      </c>
    </row>
    <row r="3084" spans="1:17">
      <c r="A3084" t="str">
        <f t="shared" si="192"/>
        <v>UNG_D151</v>
      </c>
      <c r="B3084" t="str">
        <f t="shared" si="193"/>
        <v>UNG_DA-Rec Fields Restrooms</v>
      </c>
      <c r="C3084" t="s">
        <v>455</v>
      </c>
      <c r="D3084" s="180" t="s">
        <v>64</v>
      </c>
      <c r="E3084" t="s">
        <v>7635</v>
      </c>
      <c r="F3084" t="s">
        <v>7785</v>
      </c>
      <c r="G3084" s="180">
        <v>280</v>
      </c>
      <c r="H3084">
        <v>2021</v>
      </c>
      <c r="J3084" s="1334" t="s">
        <v>475</v>
      </c>
      <c r="K3084" s="1335" t="s">
        <v>475</v>
      </c>
      <c r="L3084" s="180">
        <v>100</v>
      </c>
      <c r="M3084" t="s">
        <v>107</v>
      </c>
      <c r="N3084" t="str">
        <f t="shared" si="194"/>
        <v>DA-Rec Fields Restrooms (D151)</v>
      </c>
      <c r="O3084" t="s">
        <v>65</v>
      </c>
      <c r="P3084" t="str">
        <f t="shared" si="195"/>
        <v>53000_D151</v>
      </c>
      <c r="Q3084" s="180">
        <v>0</v>
      </c>
    </row>
    <row r="3085" spans="1:17">
      <c r="A3085" t="str">
        <f t="shared" si="192"/>
        <v>UNG_D152</v>
      </c>
      <c r="B3085" t="str">
        <f t="shared" si="193"/>
        <v>UNG_DA-Rec Fields Storage</v>
      </c>
      <c r="C3085" t="s">
        <v>455</v>
      </c>
      <c r="D3085" s="180" t="s">
        <v>64</v>
      </c>
      <c r="E3085" t="s">
        <v>7636</v>
      </c>
      <c r="F3085" t="s">
        <v>7786</v>
      </c>
      <c r="G3085" s="180">
        <v>338</v>
      </c>
      <c r="H3085">
        <v>2022</v>
      </c>
      <c r="J3085" s="1334" t="s">
        <v>475</v>
      </c>
      <c r="K3085" s="1335" t="s">
        <v>475</v>
      </c>
      <c r="L3085" s="180">
        <v>100</v>
      </c>
      <c r="M3085" t="s">
        <v>107</v>
      </c>
      <c r="N3085" t="str">
        <f t="shared" si="194"/>
        <v>DA-Rec Fields Storage (D152)</v>
      </c>
      <c r="O3085" t="s">
        <v>65</v>
      </c>
      <c r="P3085" t="str">
        <f t="shared" si="195"/>
        <v>53000_D152</v>
      </c>
      <c r="Q3085" s="180">
        <v>55</v>
      </c>
    </row>
    <row r="3086" spans="1:17">
      <c r="A3086" t="str">
        <f t="shared" si="192"/>
        <v>UNG_D153</v>
      </c>
      <c r="B3086" t="str">
        <f t="shared" si="193"/>
        <v>UNG_DA-Soccer Locker Room</v>
      </c>
      <c r="C3086" t="s">
        <v>455</v>
      </c>
      <c r="D3086" s="180" t="s">
        <v>64</v>
      </c>
      <c r="E3086" t="s">
        <v>7637</v>
      </c>
      <c r="F3086" t="s">
        <v>7787</v>
      </c>
      <c r="G3086" s="180">
        <v>4000</v>
      </c>
      <c r="H3086">
        <v>2022</v>
      </c>
      <c r="J3086" s="1334" t="s">
        <v>475</v>
      </c>
      <c r="K3086" s="1335" t="s">
        <v>475</v>
      </c>
      <c r="L3086" s="180">
        <v>0</v>
      </c>
      <c r="M3086" t="s">
        <v>107</v>
      </c>
      <c r="N3086" t="str">
        <f t="shared" si="194"/>
        <v>DA-Soccer Locker Room (D153)</v>
      </c>
      <c r="O3086" t="s">
        <v>65</v>
      </c>
      <c r="P3086" t="str">
        <f t="shared" si="195"/>
        <v>53000_D153</v>
      </c>
      <c r="Q3086" s="180">
        <v>100</v>
      </c>
    </row>
    <row r="3087" spans="1:17">
      <c r="A3087" t="str">
        <f t="shared" si="192"/>
        <v>UNG_D154</v>
      </c>
      <c r="B3087" t="str">
        <f t="shared" si="193"/>
        <v>UNG_DA-Hamp Mill Art Annex Shed 1</v>
      </c>
      <c r="C3087" t="s">
        <v>455</v>
      </c>
      <c r="D3087" s="180" t="s">
        <v>64</v>
      </c>
      <c r="E3087" t="s">
        <v>7638</v>
      </c>
      <c r="F3087" t="s">
        <v>7788</v>
      </c>
      <c r="G3087" s="180">
        <v>744</v>
      </c>
      <c r="H3087">
        <v>2021</v>
      </c>
      <c r="J3087" s="1334" t="s">
        <v>475</v>
      </c>
      <c r="K3087" s="1335" t="s">
        <v>475</v>
      </c>
      <c r="L3087" s="180">
        <v>100</v>
      </c>
      <c r="M3087" t="s">
        <v>107</v>
      </c>
      <c r="N3087" t="str">
        <f t="shared" si="194"/>
        <v>DA-Hamp Mill Art Annex Shed 1 (D154)</v>
      </c>
      <c r="O3087" t="s">
        <v>65</v>
      </c>
      <c r="P3087" t="str">
        <f t="shared" si="195"/>
        <v>53000_D154</v>
      </c>
      <c r="Q3087" s="180">
        <v>100</v>
      </c>
    </row>
    <row r="3088" spans="1:17">
      <c r="A3088" t="str">
        <f t="shared" si="192"/>
        <v>UNG_D155</v>
      </c>
      <c r="B3088" t="str">
        <f t="shared" si="193"/>
        <v>UNG_DA-Hamp Mill Art Annex Shed 2</v>
      </c>
      <c r="C3088" t="s">
        <v>455</v>
      </c>
      <c r="D3088" s="180" t="s">
        <v>64</v>
      </c>
      <c r="E3088" t="s">
        <v>7639</v>
      </c>
      <c r="F3088" t="s">
        <v>7789</v>
      </c>
      <c r="G3088" s="180">
        <v>754</v>
      </c>
      <c r="H3088">
        <v>2021</v>
      </c>
      <c r="J3088" s="1334" t="s">
        <v>475</v>
      </c>
      <c r="K3088" s="1335" t="s">
        <v>475</v>
      </c>
      <c r="L3088" s="180">
        <v>100</v>
      </c>
      <c r="M3088" t="s">
        <v>107</v>
      </c>
      <c r="N3088" t="str">
        <f t="shared" si="194"/>
        <v>DA-Hamp Mill Art Annex Shed 2 (D155)</v>
      </c>
      <c r="O3088" t="s">
        <v>65</v>
      </c>
      <c r="P3088" t="str">
        <f t="shared" si="195"/>
        <v>53000_D155</v>
      </c>
      <c r="Q3088" s="180">
        <v>100</v>
      </c>
    </row>
    <row r="3089" spans="1:17">
      <c r="A3089" t="str">
        <f t="shared" si="192"/>
        <v>UNG_D156</v>
      </c>
      <c r="B3089" t="str">
        <f t="shared" si="193"/>
        <v>UNG_DA-MLC Addition</v>
      </c>
      <c r="C3089" t="s">
        <v>455</v>
      </c>
      <c r="D3089" s="180" t="s">
        <v>64</v>
      </c>
      <c r="E3089" t="s">
        <v>7640</v>
      </c>
      <c r="F3089" t="s">
        <v>7790</v>
      </c>
      <c r="G3089" s="180">
        <v>3667</v>
      </c>
      <c r="H3089">
        <v>2025</v>
      </c>
      <c r="J3089" s="1334" t="s">
        <v>475</v>
      </c>
      <c r="K3089" s="1335" t="s">
        <v>920</v>
      </c>
      <c r="L3089" s="180">
        <v>100</v>
      </c>
      <c r="M3089" t="s">
        <v>107</v>
      </c>
      <c r="N3089" t="str">
        <f t="shared" si="194"/>
        <v>DA-MLC Addition (D156)</v>
      </c>
      <c r="O3089" t="s">
        <v>65</v>
      </c>
      <c r="P3089" t="str">
        <f t="shared" si="195"/>
        <v>53000_D156</v>
      </c>
      <c r="Q3089" s="180">
        <v>0</v>
      </c>
    </row>
    <row r="3090" spans="1:17">
      <c r="A3090" t="str">
        <f t="shared" si="192"/>
        <v>UNG_D25A</v>
      </c>
      <c r="B3090" t="str">
        <f t="shared" si="193"/>
        <v>UNG_DA - Pump House</v>
      </c>
      <c r="C3090" t="s">
        <v>455</v>
      </c>
      <c r="D3090" s="180" t="s">
        <v>64</v>
      </c>
      <c r="E3090" t="s">
        <v>7641</v>
      </c>
      <c r="F3090" t="s">
        <v>7791</v>
      </c>
      <c r="G3090" s="180">
        <v>64</v>
      </c>
      <c r="H3090">
        <v>2021</v>
      </c>
      <c r="J3090" s="1334" t="s">
        <v>475</v>
      </c>
      <c r="K3090" s="1335" t="s">
        <v>475</v>
      </c>
      <c r="L3090" s="180">
        <v>0</v>
      </c>
      <c r="M3090" t="s">
        <v>107</v>
      </c>
      <c r="N3090" t="str">
        <f t="shared" si="194"/>
        <v>DA - Pump House (D25A)</v>
      </c>
      <c r="O3090" t="s">
        <v>65</v>
      </c>
      <c r="P3090" t="str">
        <f t="shared" si="195"/>
        <v>53000_D25A</v>
      </c>
      <c r="Q3090" s="180">
        <v>100</v>
      </c>
    </row>
    <row r="3091" spans="1:17">
      <c r="A3091" t="str">
        <f t="shared" si="192"/>
        <v>UNG_G001</v>
      </c>
      <c r="B3091" t="str">
        <f t="shared" si="193"/>
        <v>UNG_GV-Administration Building</v>
      </c>
      <c r="C3091" t="s">
        <v>455</v>
      </c>
      <c r="D3091" s="180" t="s">
        <v>64</v>
      </c>
      <c r="E3091" t="s">
        <v>5920</v>
      </c>
      <c r="F3091" t="s">
        <v>5921</v>
      </c>
      <c r="G3091" s="180">
        <v>13088</v>
      </c>
      <c r="H3091">
        <v>1966</v>
      </c>
      <c r="I3091">
        <v>2005</v>
      </c>
      <c r="J3091" s="1334" t="s">
        <v>475</v>
      </c>
      <c r="K3091" s="1335" t="s">
        <v>475</v>
      </c>
      <c r="L3091" s="180">
        <v>100</v>
      </c>
      <c r="M3091" t="s">
        <v>108</v>
      </c>
      <c r="N3091" t="str">
        <f t="shared" si="194"/>
        <v>GV-Administration Building (G001)</v>
      </c>
      <c r="O3091" t="s">
        <v>65</v>
      </c>
      <c r="P3091" t="str">
        <f t="shared" si="195"/>
        <v>53000_G001</v>
      </c>
      <c r="Q3091" s="180">
        <v>100</v>
      </c>
    </row>
    <row r="3092" spans="1:17">
      <c r="A3092" t="str">
        <f t="shared" si="192"/>
        <v>UNG_G002</v>
      </c>
      <c r="B3092" t="str">
        <f t="shared" si="193"/>
        <v>UNG_GV-Dunlap-Mathis</v>
      </c>
      <c r="C3092" t="s">
        <v>455</v>
      </c>
      <c r="D3092" s="180" t="s">
        <v>64</v>
      </c>
      <c r="E3092" t="s">
        <v>6005</v>
      </c>
      <c r="F3092" t="s">
        <v>6006</v>
      </c>
      <c r="G3092" s="180">
        <v>27961</v>
      </c>
      <c r="H3092">
        <v>1966</v>
      </c>
      <c r="J3092" s="1334" t="s">
        <v>475</v>
      </c>
      <c r="K3092" s="1335" t="s">
        <v>475</v>
      </c>
      <c r="L3092" s="180">
        <v>100</v>
      </c>
      <c r="M3092" t="s">
        <v>108</v>
      </c>
      <c r="N3092" t="str">
        <f t="shared" si="194"/>
        <v>GV-Dunlap-Mathis (G002)</v>
      </c>
      <c r="O3092" t="s">
        <v>65</v>
      </c>
      <c r="P3092" t="str">
        <f t="shared" si="195"/>
        <v>53000_G002</v>
      </c>
      <c r="Q3092" s="180">
        <v>100</v>
      </c>
    </row>
    <row r="3093" spans="1:17">
      <c r="A3093" t="str">
        <f t="shared" si="192"/>
        <v>UNG_G003</v>
      </c>
      <c r="B3093" t="str">
        <f t="shared" si="193"/>
        <v>UNG_GV-Student Center</v>
      </c>
      <c r="C3093" t="s">
        <v>455</v>
      </c>
      <c r="D3093" s="180" t="s">
        <v>64</v>
      </c>
      <c r="E3093" t="s">
        <v>5964</v>
      </c>
      <c r="F3093" t="s">
        <v>5965</v>
      </c>
      <c r="G3093" s="180">
        <v>57450</v>
      </c>
      <c r="H3093">
        <v>1967</v>
      </c>
      <c r="I3093">
        <v>2008</v>
      </c>
      <c r="J3093" s="1334" t="s">
        <v>475</v>
      </c>
      <c r="K3093" s="1335" t="s">
        <v>475</v>
      </c>
      <c r="L3093" s="180">
        <v>88</v>
      </c>
      <c r="M3093" t="s">
        <v>108</v>
      </c>
      <c r="N3093" t="str">
        <f t="shared" si="194"/>
        <v>GV-Student Center (G003)</v>
      </c>
      <c r="O3093" t="s">
        <v>65</v>
      </c>
      <c r="P3093" t="str">
        <f t="shared" si="195"/>
        <v>53000_G003</v>
      </c>
      <c r="Q3093" s="180">
        <v>100</v>
      </c>
    </row>
    <row r="3094" spans="1:17">
      <c r="A3094" t="str">
        <f t="shared" si="192"/>
        <v>UNG_G004</v>
      </c>
      <c r="B3094" t="str">
        <f t="shared" si="193"/>
        <v>UNG_GV-Music</v>
      </c>
      <c r="C3094" t="s">
        <v>455</v>
      </c>
      <c r="D3094" s="180" t="s">
        <v>64</v>
      </c>
      <c r="E3094" t="s">
        <v>6065</v>
      </c>
      <c r="F3094" t="s">
        <v>6066</v>
      </c>
      <c r="G3094" s="180">
        <v>7351</v>
      </c>
      <c r="H3094">
        <v>1966</v>
      </c>
      <c r="I3094">
        <v>2008</v>
      </c>
      <c r="J3094" s="1334" t="s">
        <v>475</v>
      </c>
      <c r="K3094" s="1335" t="s">
        <v>475</v>
      </c>
      <c r="L3094" s="180">
        <v>100</v>
      </c>
      <c r="M3094" t="s">
        <v>108</v>
      </c>
      <c r="N3094" t="str">
        <f t="shared" si="194"/>
        <v>GV-Music (G004)</v>
      </c>
      <c r="O3094" t="s">
        <v>65</v>
      </c>
      <c r="P3094" t="str">
        <f t="shared" si="195"/>
        <v>53000_G004</v>
      </c>
      <c r="Q3094" s="180">
        <v>100</v>
      </c>
    </row>
    <row r="3095" spans="1:17">
      <c r="A3095" t="str">
        <f t="shared" si="192"/>
        <v>UNG_G005</v>
      </c>
      <c r="B3095" t="str">
        <f t="shared" si="193"/>
        <v>UNG_GV-Physical Education Building</v>
      </c>
      <c r="C3095" t="s">
        <v>455</v>
      </c>
      <c r="D3095" s="180" t="s">
        <v>64</v>
      </c>
      <c r="E3095" t="s">
        <v>6030</v>
      </c>
      <c r="F3095" t="s">
        <v>6031</v>
      </c>
      <c r="G3095" s="180">
        <v>39658</v>
      </c>
      <c r="H3095">
        <v>1967</v>
      </c>
      <c r="I3095">
        <v>2013</v>
      </c>
      <c r="J3095" s="1334" t="s">
        <v>475</v>
      </c>
      <c r="K3095" s="1335" t="s">
        <v>486</v>
      </c>
      <c r="L3095" s="180">
        <v>100</v>
      </c>
      <c r="M3095" t="s">
        <v>108</v>
      </c>
      <c r="N3095" t="str">
        <f t="shared" si="194"/>
        <v>GV-Physical Education Building (G005)</v>
      </c>
      <c r="O3095" t="s">
        <v>65</v>
      </c>
      <c r="P3095" t="str">
        <f t="shared" si="195"/>
        <v>53000_G005</v>
      </c>
      <c r="Q3095" s="180">
        <v>100</v>
      </c>
    </row>
    <row r="3096" spans="1:17">
      <c r="A3096" t="str">
        <f t="shared" si="192"/>
        <v>UNG_G006</v>
      </c>
      <c r="B3096" t="str">
        <f t="shared" si="193"/>
        <v>UNG_GV-Strickland Academic</v>
      </c>
      <c r="C3096" t="s">
        <v>455</v>
      </c>
      <c r="D3096" s="180" t="s">
        <v>64</v>
      </c>
      <c r="E3096" t="s">
        <v>6051</v>
      </c>
      <c r="F3096" t="s">
        <v>6052</v>
      </c>
      <c r="G3096" s="180">
        <v>33581</v>
      </c>
      <c r="H3096">
        <v>1970</v>
      </c>
      <c r="I3096">
        <v>2011</v>
      </c>
      <c r="J3096" s="1334" t="s">
        <v>475</v>
      </c>
      <c r="K3096" s="1335" t="s">
        <v>475</v>
      </c>
      <c r="L3096" s="180">
        <v>100</v>
      </c>
      <c r="M3096" t="s">
        <v>108</v>
      </c>
      <c r="N3096" t="str">
        <f t="shared" si="194"/>
        <v>GV-Strickland Academic (G006)</v>
      </c>
      <c r="O3096" t="s">
        <v>65</v>
      </c>
      <c r="P3096" t="str">
        <f t="shared" si="195"/>
        <v>53000_G006</v>
      </c>
      <c r="Q3096" s="180">
        <v>100</v>
      </c>
    </row>
    <row r="3097" spans="1:17">
      <c r="A3097" t="str">
        <f t="shared" si="192"/>
        <v>UNG_G007</v>
      </c>
      <c r="B3097" t="str">
        <f t="shared" si="193"/>
        <v>UNG_GV-John Harrison Hosch Library</v>
      </c>
      <c r="C3097" t="s">
        <v>455</v>
      </c>
      <c r="D3097" s="180" t="s">
        <v>64</v>
      </c>
      <c r="E3097" t="s">
        <v>5972</v>
      </c>
      <c r="F3097" t="s">
        <v>5973</v>
      </c>
      <c r="G3097" s="180">
        <v>30415</v>
      </c>
      <c r="H3097">
        <v>1972</v>
      </c>
      <c r="J3097" s="1334" t="s">
        <v>475</v>
      </c>
      <c r="K3097" s="1335" t="s">
        <v>475</v>
      </c>
      <c r="L3097" s="180">
        <v>100</v>
      </c>
      <c r="M3097" t="s">
        <v>108</v>
      </c>
      <c r="N3097" t="str">
        <f t="shared" si="194"/>
        <v>GV-John Harrison Hosch Library (G007)</v>
      </c>
      <c r="O3097" t="s">
        <v>65</v>
      </c>
      <c r="P3097" t="str">
        <f t="shared" si="195"/>
        <v>53000_G007</v>
      </c>
      <c r="Q3097" s="180">
        <v>100</v>
      </c>
    </row>
    <row r="3098" spans="1:17">
      <c r="A3098" t="str">
        <f t="shared" si="192"/>
        <v>UNG_G008</v>
      </c>
      <c r="B3098" t="str">
        <f t="shared" si="193"/>
        <v>UNG_GV-Maintenance &amp; Shops</v>
      </c>
      <c r="C3098" t="s">
        <v>455</v>
      </c>
      <c r="D3098" s="180" t="s">
        <v>64</v>
      </c>
      <c r="E3098" t="s">
        <v>5938</v>
      </c>
      <c r="F3098" t="s">
        <v>5939</v>
      </c>
      <c r="G3098" s="180">
        <v>11014</v>
      </c>
      <c r="H3098">
        <v>1975</v>
      </c>
      <c r="J3098" s="1334" t="s">
        <v>475</v>
      </c>
      <c r="K3098" s="1335" t="s">
        <v>475</v>
      </c>
      <c r="L3098" s="180">
        <v>100</v>
      </c>
      <c r="M3098" t="s">
        <v>108</v>
      </c>
      <c r="N3098" t="str">
        <f t="shared" si="194"/>
        <v>GV-Maintenance &amp; Shops (G008)</v>
      </c>
      <c r="O3098" t="s">
        <v>65</v>
      </c>
      <c r="P3098" t="str">
        <f t="shared" si="195"/>
        <v>53000_G008</v>
      </c>
      <c r="Q3098" s="180">
        <v>100</v>
      </c>
    </row>
    <row r="3099" spans="1:17">
      <c r="A3099" t="str">
        <f t="shared" si="192"/>
        <v>UNG_G009</v>
      </c>
      <c r="B3099" t="str">
        <f t="shared" si="193"/>
        <v>UNG_GV-Field House</v>
      </c>
      <c r="C3099" t="s">
        <v>455</v>
      </c>
      <c r="D3099" s="180" t="s">
        <v>64</v>
      </c>
      <c r="E3099" t="s">
        <v>6080</v>
      </c>
      <c r="F3099" t="s">
        <v>6081</v>
      </c>
      <c r="G3099" s="180">
        <v>670</v>
      </c>
      <c r="H3099">
        <v>1986</v>
      </c>
      <c r="I3099">
        <v>2011</v>
      </c>
      <c r="J3099" s="1334" t="s">
        <v>475</v>
      </c>
      <c r="K3099" s="1335" t="s">
        <v>475</v>
      </c>
      <c r="L3099" s="180">
        <v>100</v>
      </c>
      <c r="M3099" t="s">
        <v>108</v>
      </c>
      <c r="N3099" t="str">
        <f t="shared" si="194"/>
        <v>GV-Field House (G009)</v>
      </c>
      <c r="O3099" t="s">
        <v>65</v>
      </c>
      <c r="P3099" t="str">
        <f t="shared" si="195"/>
        <v>53000_G009</v>
      </c>
      <c r="Q3099" s="180">
        <v>100</v>
      </c>
    </row>
    <row r="3100" spans="1:17">
      <c r="A3100" t="str">
        <f t="shared" si="192"/>
        <v>UNG_G010</v>
      </c>
      <c r="B3100" t="str">
        <f t="shared" si="193"/>
        <v>UNG_GV-Performing Arts</v>
      </c>
      <c r="C3100" t="s">
        <v>455</v>
      </c>
      <c r="D3100" s="180" t="s">
        <v>64</v>
      </c>
      <c r="E3100" t="s">
        <v>6082</v>
      </c>
      <c r="F3100" t="s">
        <v>7792</v>
      </c>
      <c r="G3100" s="180">
        <v>45950</v>
      </c>
      <c r="H3100">
        <v>1990</v>
      </c>
      <c r="I3100">
        <v>2011</v>
      </c>
      <c r="J3100" s="1334" t="s">
        <v>475</v>
      </c>
      <c r="K3100" s="1335" t="s">
        <v>475</v>
      </c>
      <c r="L3100" s="180">
        <v>100</v>
      </c>
      <c r="M3100" t="s">
        <v>108</v>
      </c>
      <c r="N3100" t="str">
        <f t="shared" si="194"/>
        <v>GV-Performing Arts (G010)</v>
      </c>
      <c r="O3100" t="s">
        <v>65</v>
      </c>
      <c r="P3100" t="str">
        <f t="shared" si="195"/>
        <v>53000_G010</v>
      </c>
      <c r="Q3100" s="180">
        <v>100</v>
      </c>
    </row>
    <row r="3101" spans="1:17">
      <c r="A3101" t="str">
        <f t="shared" si="192"/>
        <v>UNG_G011</v>
      </c>
      <c r="B3101" t="str">
        <f t="shared" si="193"/>
        <v>UNG_GV-Drama Storage</v>
      </c>
      <c r="C3101" t="s">
        <v>455</v>
      </c>
      <c r="D3101" s="180" t="s">
        <v>64</v>
      </c>
      <c r="E3101" t="s">
        <v>6016</v>
      </c>
      <c r="F3101" t="s">
        <v>6017</v>
      </c>
      <c r="G3101" s="180">
        <v>3172</v>
      </c>
      <c r="H3101">
        <v>1995</v>
      </c>
      <c r="I3101">
        <v>2012</v>
      </c>
      <c r="J3101" s="1334" t="s">
        <v>475</v>
      </c>
      <c r="K3101" s="1335" t="s">
        <v>475</v>
      </c>
      <c r="L3101" s="180">
        <v>100</v>
      </c>
      <c r="M3101" t="s">
        <v>108</v>
      </c>
      <c r="N3101" t="str">
        <f t="shared" si="194"/>
        <v>GV-Drama Storage (G011)</v>
      </c>
      <c r="O3101" t="s">
        <v>65</v>
      </c>
      <c r="P3101" t="str">
        <f t="shared" si="195"/>
        <v>53000_G011</v>
      </c>
      <c r="Q3101" s="180">
        <v>100</v>
      </c>
    </row>
    <row r="3102" spans="1:17">
      <c r="A3102" t="str">
        <f t="shared" si="192"/>
        <v>UNG_G012</v>
      </c>
      <c r="B3102" t="str">
        <f t="shared" si="193"/>
        <v>UNG_GV-Watkins Academic Building</v>
      </c>
      <c r="C3102" t="s">
        <v>455</v>
      </c>
      <c r="D3102" s="180" t="s">
        <v>64</v>
      </c>
      <c r="E3102" t="s">
        <v>5974</v>
      </c>
      <c r="F3102" t="s">
        <v>5975</v>
      </c>
      <c r="G3102" s="180">
        <v>37537</v>
      </c>
      <c r="H3102">
        <v>1994</v>
      </c>
      <c r="I3102">
        <v>2011</v>
      </c>
      <c r="J3102" s="1334" t="s">
        <v>520</v>
      </c>
      <c r="K3102" s="1335" t="s">
        <v>475</v>
      </c>
      <c r="L3102" s="180">
        <v>100</v>
      </c>
      <c r="M3102" t="s">
        <v>108</v>
      </c>
      <c r="N3102" t="str">
        <f t="shared" si="194"/>
        <v>GV-Watkins Academic Building (G012)</v>
      </c>
      <c r="O3102" t="s">
        <v>65</v>
      </c>
      <c r="P3102" t="str">
        <f t="shared" si="195"/>
        <v>53000_G012</v>
      </c>
      <c r="Q3102" s="180">
        <v>0</v>
      </c>
    </row>
    <row r="3103" spans="1:17">
      <c r="A3103" t="str">
        <f t="shared" si="192"/>
        <v>UNG_G013</v>
      </c>
      <c r="B3103" t="str">
        <f t="shared" si="193"/>
        <v>UNG_GV-Science, Engineering, Tech</v>
      </c>
      <c r="C3103" t="s">
        <v>455</v>
      </c>
      <c r="D3103" s="180" t="s">
        <v>64</v>
      </c>
      <c r="E3103" t="s">
        <v>5958</v>
      </c>
      <c r="F3103" t="s">
        <v>5959</v>
      </c>
      <c r="G3103" s="180">
        <v>59655</v>
      </c>
      <c r="H3103">
        <v>1999</v>
      </c>
      <c r="I3103">
        <v>2014</v>
      </c>
      <c r="J3103" s="1334" t="s">
        <v>520</v>
      </c>
      <c r="K3103" s="1335" t="s">
        <v>475</v>
      </c>
      <c r="L3103" s="180">
        <v>100</v>
      </c>
      <c r="M3103" t="s">
        <v>108</v>
      </c>
      <c r="N3103" t="str">
        <f t="shared" si="194"/>
        <v>GV-Science, Engineering, Tech (G013)</v>
      </c>
      <c r="O3103" t="s">
        <v>65</v>
      </c>
      <c r="P3103" t="str">
        <f t="shared" si="195"/>
        <v>53000_G013</v>
      </c>
      <c r="Q3103" s="180">
        <v>29</v>
      </c>
    </row>
    <row r="3104" spans="1:17">
      <c r="A3104" t="str">
        <f t="shared" si="192"/>
        <v>UNG_G014</v>
      </c>
      <c r="B3104" t="str">
        <f t="shared" si="193"/>
        <v>UNG_GV-Public Safety</v>
      </c>
      <c r="C3104" t="s">
        <v>455</v>
      </c>
      <c r="D3104" s="180" t="s">
        <v>64</v>
      </c>
      <c r="E3104" t="s">
        <v>5944</v>
      </c>
      <c r="F3104" t="s">
        <v>5945</v>
      </c>
      <c r="G3104" s="180">
        <v>3174</v>
      </c>
      <c r="H3104">
        <v>2007</v>
      </c>
      <c r="I3104">
        <v>2009</v>
      </c>
      <c r="J3104" s="1334" t="s">
        <v>475</v>
      </c>
      <c r="K3104" s="1335" t="s">
        <v>475</v>
      </c>
      <c r="L3104" s="180">
        <v>100</v>
      </c>
      <c r="M3104" t="s">
        <v>108</v>
      </c>
      <c r="N3104" t="str">
        <f t="shared" si="194"/>
        <v>GV-Public Safety (G014)</v>
      </c>
      <c r="O3104" t="s">
        <v>65</v>
      </c>
      <c r="P3104" t="str">
        <f t="shared" si="195"/>
        <v>53000_G014</v>
      </c>
      <c r="Q3104" s="180">
        <v>100</v>
      </c>
    </row>
    <row r="3105" spans="1:17">
      <c r="A3105" t="str">
        <f t="shared" si="192"/>
        <v>UNG_G015</v>
      </c>
      <c r="B3105" t="str">
        <f t="shared" si="193"/>
        <v>UNG_GV-Parking Deck</v>
      </c>
      <c r="C3105" t="s">
        <v>455</v>
      </c>
      <c r="D3105" s="180" t="s">
        <v>64</v>
      </c>
      <c r="E3105" t="s">
        <v>6012</v>
      </c>
      <c r="F3105" t="s">
        <v>6013</v>
      </c>
      <c r="G3105" s="180">
        <v>90560</v>
      </c>
      <c r="H3105">
        <v>2009</v>
      </c>
      <c r="I3105">
        <v>2014</v>
      </c>
      <c r="J3105" s="1334" t="s">
        <v>1520</v>
      </c>
      <c r="K3105" s="1335" t="s">
        <v>475</v>
      </c>
      <c r="L3105" s="180">
        <v>0</v>
      </c>
      <c r="M3105" t="s">
        <v>108</v>
      </c>
      <c r="N3105" t="str">
        <f t="shared" si="194"/>
        <v>GV-Parking Deck (G015)</v>
      </c>
      <c r="O3105" t="s">
        <v>65</v>
      </c>
      <c r="P3105" t="str">
        <f t="shared" si="195"/>
        <v>53000_G015</v>
      </c>
      <c r="Q3105" s="180">
        <v>100</v>
      </c>
    </row>
    <row r="3106" spans="1:17">
      <c r="A3106" t="str">
        <f t="shared" si="192"/>
        <v>UNG_G016</v>
      </c>
      <c r="B3106" t="str">
        <f t="shared" si="193"/>
        <v>UNG_GV-Oakwood Building</v>
      </c>
      <c r="C3106" t="s">
        <v>455</v>
      </c>
      <c r="D3106" s="180" t="s">
        <v>64</v>
      </c>
      <c r="E3106" t="s">
        <v>5962</v>
      </c>
      <c r="F3106" t="s">
        <v>5963</v>
      </c>
      <c r="G3106" s="180">
        <v>6720</v>
      </c>
      <c r="H3106">
        <v>2009</v>
      </c>
      <c r="I3106">
        <v>2015</v>
      </c>
      <c r="J3106" s="1334" t="s">
        <v>475</v>
      </c>
      <c r="K3106" s="1335" t="s">
        <v>486</v>
      </c>
      <c r="L3106" s="180">
        <v>100</v>
      </c>
      <c r="M3106" t="s">
        <v>108</v>
      </c>
      <c r="N3106" t="str">
        <f t="shared" si="194"/>
        <v>GV-Oakwood Building (G016)</v>
      </c>
      <c r="O3106" t="s">
        <v>65</v>
      </c>
      <c r="P3106" t="str">
        <f t="shared" si="195"/>
        <v>53000_G016</v>
      </c>
      <c r="Q3106" s="180">
        <v>100</v>
      </c>
    </row>
    <row r="3107" spans="1:17">
      <c r="A3107" t="str">
        <f t="shared" si="192"/>
        <v>UNG_G017</v>
      </c>
      <c r="B3107" t="str">
        <f t="shared" si="193"/>
        <v>UNG_GV-Nesbitt Academic Building</v>
      </c>
      <c r="C3107" t="s">
        <v>455</v>
      </c>
      <c r="D3107" s="180" t="s">
        <v>64</v>
      </c>
      <c r="E3107" t="s">
        <v>6020</v>
      </c>
      <c r="F3107" t="s">
        <v>6021</v>
      </c>
      <c r="G3107" s="180">
        <v>134053</v>
      </c>
      <c r="H3107">
        <v>2010</v>
      </c>
      <c r="J3107" s="1334" t="s">
        <v>520</v>
      </c>
      <c r="K3107" s="1335" t="s">
        <v>475</v>
      </c>
      <c r="L3107" s="180">
        <v>99</v>
      </c>
      <c r="M3107" t="s">
        <v>108</v>
      </c>
      <c r="N3107" t="str">
        <f t="shared" si="194"/>
        <v>GV-Nesbitt Academic Building (G017)</v>
      </c>
      <c r="O3107" t="s">
        <v>65</v>
      </c>
      <c r="P3107" t="str">
        <f t="shared" si="195"/>
        <v>53000_G017</v>
      </c>
      <c r="Q3107" s="180">
        <v>100</v>
      </c>
    </row>
    <row r="3108" spans="1:17">
      <c r="A3108" t="str">
        <f t="shared" si="192"/>
        <v>UNG_G020</v>
      </c>
      <c r="B3108" t="str">
        <f t="shared" si="193"/>
        <v>UNG_GV-Health Sciences</v>
      </c>
      <c r="C3108" t="s">
        <v>455</v>
      </c>
      <c r="D3108" s="180" t="s">
        <v>64</v>
      </c>
      <c r="E3108" t="s">
        <v>5990</v>
      </c>
      <c r="F3108" t="s">
        <v>5991</v>
      </c>
      <c r="G3108" s="180">
        <v>65498</v>
      </c>
      <c r="H3108">
        <v>1982</v>
      </c>
      <c r="I3108">
        <v>2019</v>
      </c>
      <c r="J3108" s="1334" t="s">
        <v>475</v>
      </c>
      <c r="K3108" s="1335" t="s">
        <v>475</v>
      </c>
      <c r="L3108" s="180">
        <v>90</v>
      </c>
      <c r="M3108" t="s">
        <v>108</v>
      </c>
      <c r="N3108" t="str">
        <f t="shared" si="194"/>
        <v>GV-Health Sciences (G020)</v>
      </c>
      <c r="O3108" t="s">
        <v>65</v>
      </c>
      <c r="P3108" t="str">
        <f t="shared" si="195"/>
        <v>53000_G020</v>
      </c>
      <c r="Q3108" s="180">
        <v>100</v>
      </c>
    </row>
    <row r="3109" spans="1:17">
      <c r="A3109" t="str">
        <f t="shared" si="192"/>
        <v>UNG_G021</v>
      </c>
      <c r="B3109" t="str">
        <f t="shared" si="193"/>
        <v>UNG_GV-Arts and Technology</v>
      </c>
      <c r="C3109" t="s">
        <v>455</v>
      </c>
      <c r="D3109" s="180" t="s">
        <v>64</v>
      </c>
      <c r="E3109" t="s">
        <v>5930</v>
      </c>
      <c r="F3109" t="s">
        <v>5931</v>
      </c>
      <c r="G3109" s="180">
        <v>60044</v>
      </c>
      <c r="H3109">
        <v>1963</v>
      </c>
      <c r="I3109">
        <v>2020</v>
      </c>
      <c r="J3109" s="1334" t="s">
        <v>475</v>
      </c>
      <c r="K3109" s="1335" t="s">
        <v>475</v>
      </c>
      <c r="L3109" s="180">
        <v>100</v>
      </c>
      <c r="M3109" t="s">
        <v>108</v>
      </c>
      <c r="N3109" t="str">
        <f t="shared" si="194"/>
        <v>GV-Arts and Technology (G021)</v>
      </c>
      <c r="O3109" t="s">
        <v>65</v>
      </c>
      <c r="P3109" t="str">
        <f t="shared" si="195"/>
        <v>53000_G021</v>
      </c>
      <c r="Q3109" s="180">
        <v>100</v>
      </c>
    </row>
    <row r="3110" spans="1:17">
      <c r="A3110" t="str">
        <f t="shared" si="192"/>
        <v>UNG_G022</v>
      </c>
      <c r="B3110" t="str">
        <f t="shared" si="193"/>
        <v>UNG_GV-Central Plant Building</v>
      </c>
      <c r="C3110" t="s">
        <v>455</v>
      </c>
      <c r="D3110" s="180" t="s">
        <v>64</v>
      </c>
      <c r="E3110" t="s">
        <v>5922</v>
      </c>
      <c r="F3110" t="s">
        <v>5923</v>
      </c>
      <c r="G3110" s="180">
        <v>2976</v>
      </c>
      <c r="H3110">
        <v>1975</v>
      </c>
      <c r="J3110" s="1334" t="s">
        <v>475</v>
      </c>
      <c r="K3110" s="1335" t="s">
        <v>486</v>
      </c>
      <c r="L3110" s="180">
        <v>100</v>
      </c>
      <c r="M3110" t="s">
        <v>108</v>
      </c>
      <c r="N3110" t="str">
        <f t="shared" si="194"/>
        <v>GV-Central Plant Building (G022)</v>
      </c>
      <c r="O3110" t="s">
        <v>65</v>
      </c>
      <c r="P3110" t="str">
        <f t="shared" si="195"/>
        <v>53000_G022</v>
      </c>
      <c r="Q3110" s="180">
        <v>100</v>
      </c>
    </row>
    <row r="3111" spans="1:17">
      <c r="A3111" t="str">
        <f t="shared" si="192"/>
        <v>UNG_G023</v>
      </c>
      <c r="B3111" t="str">
        <f t="shared" si="193"/>
        <v>UNG_GV-Student Health</v>
      </c>
      <c r="C3111" t="s">
        <v>455</v>
      </c>
      <c r="D3111" s="180" t="s">
        <v>64</v>
      </c>
      <c r="E3111" t="s">
        <v>6103</v>
      </c>
      <c r="F3111" t="s">
        <v>6104</v>
      </c>
      <c r="G3111" s="180">
        <v>5868</v>
      </c>
      <c r="H3111">
        <v>2003</v>
      </c>
      <c r="I3111">
        <v>2019</v>
      </c>
      <c r="J3111" s="1334" t="s">
        <v>475</v>
      </c>
      <c r="K3111" s="1335" t="s">
        <v>475</v>
      </c>
      <c r="L3111" s="180">
        <v>0</v>
      </c>
      <c r="M3111" t="s">
        <v>108</v>
      </c>
      <c r="N3111" t="str">
        <f t="shared" si="194"/>
        <v>GV-Student Health (G023)</v>
      </c>
      <c r="O3111" t="s">
        <v>65</v>
      </c>
      <c r="P3111" t="str">
        <f t="shared" si="195"/>
        <v>53000_G023</v>
      </c>
      <c r="Q3111" s="180">
        <v>100</v>
      </c>
    </row>
    <row r="3112" spans="1:17">
      <c r="A3112" t="str">
        <f t="shared" si="192"/>
        <v>UNG_G024</v>
      </c>
      <c r="B3112" t="str">
        <f t="shared" si="193"/>
        <v>UNG_GV-Film and Media Building</v>
      </c>
      <c r="C3112" t="s">
        <v>455</v>
      </c>
      <c r="D3112" s="180" t="s">
        <v>64</v>
      </c>
      <c r="E3112" t="s">
        <v>5982</v>
      </c>
      <c r="F3112" t="s">
        <v>5983</v>
      </c>
      <c r="G3112" s="180">
        <v>19517</v>
      </c>
      <c r="H3112">
        <v>1990</v>
      </c>
      <c r="I3112">
        <v>2020</v>
      </c>
      <c r="J3112" s="1334" t="s">
        <v>475</v>
      </c>
      <c r="K3112" s="1335" t="s">
        <v>475</v>
      </c>
      <c r="L3112" s="180">
        <v>100</v>
      </c>
      <c r="M3112" t="s">
        <v>108</v>
      </c>
      <c r="N3112" t="str">
        <f t="shared" si="194"/>
        <v>GV-Film and Media Building (G024)</v>
      </c>
      <c r="O3112" t="s">
        <v>65</v>
      </c>
      <c r="P3112" t="str">
        <f t="shared" si="195"/>
        <v>53000_G024</v>
      </c>
      <c r="Q3112" s="180">
        <v>100</v>
      </c>
    </row>
    <row r="3113" spans="1:17">
      <c r="A3113" t="str">
        <f t="shared" si="192"/>
        <v>UNG_G025</v>
      </c>
      <c r="B3113" t="str">
        <f t="shared" si="193"/>
        <v>UNG_GV-Sculpture Building</v>
      </c>
      <c r="C3113" t="s">
        <v>455</v>
      </c>
      <c r="D3113" s="180" t="s">
        <v>64</v>
      </c>
      <c r="E3113" t="s">
        <v>6061</v>
      </c>
      <c r="F3113" t="s">
        <v>6062</v>
      </c>
      <c r="G3113" s="180">
        <v>3785</v>
      </c>
      <c r="H3113">
        <v>2001</v>
      </c>
      <c r="I3113">
        <v>2020</v>
      </c>
      <c r="J3113" s="1334" t="s">
        <v>475</v>
      </c>
      <c r="K3113" s="1335" t="s">
        <v>475</v>
      </c>
      <c r="L3113" s="180">
        <v>100</v>
      </c>
      <c r="M3113" t="s">
        <v>108</v>
      </c>
      <c r="N3113" t="str">
        <f t="shared" si="194"/>
        <v>GV-Sculpture Building (G025)</v>
      </c>
      <c r="O3113" t="s">
        <v>65</v>
      </c>
      <c r="P3113" t="str">
        <f t="shared" si="195"/>
        <v>53000_G025</v>
      </c>
      <c r="Q3113" s="180">
        <v>100</v>
      </c>
    </row>
    <row r="3114" spans="1:17">
      <c r="A3114" t="str">
        <f t="shared" si="192"/>
        <v>UNG_G027</v>
      </c>
      <c r="B3114" t="str">
        <f t="shared" si="193"/>
        <v>UNG_GV-Carcass Specimen Shed</v>
      </c>
      <c r="C3114" t="s">
        <v>455</v>
      </c>
      <c r="D3114" s="180" t="s">
        <v>64</v>
      </c>
      <c r="E3114" t="s">
        <v>7048</v>
      </c>
      <c r="F3114" t="s">
        <v>7154</v>
      </c>
      <c r="G3114" s="180">
        <v>192</v>
      </c>
      <c r="H3114">
        <v>2021</v>
      </c>
      <c r="J3114" s="1334" t="s">
        <v>475</v>
      </c>
      <c r="K3114" s="1335" t="s">
        <v>475</v>
      </c>
      <c r="L3114" s="180">
        <v>100</v>
      </c>
      <c r="M3114" t="s">
        <v>108</v>
      </c>
      <c r="N3114" t="str">
        <f t="shared" si="194"/>
        <v>GV-Carcass Specimen Shed (G027)</v>
      </c>
      <c r="O3114" t="s">
        <v>65</v>
      </c>
      <c r="P3114" t="str">
        <f t="shared" si="195"/>
        <v>53000_G027</v>
      </c>
      <c r="Q3114" s="180">
        <v>100</v>
      </c>
    </row>
    <row r="3115" spans="1:17">
      <c r="A3115" t="str">
        <f t="shared" si="192"/>
        <v>UNG_G028</v>
      </c>
      <c r="B3115" t="str">
        <f t="shared" si="193"/>
        <v>UNG_GV-Amphitheater</v>
      </c>
      <c r="C3115" t="s">
        <v>455</v>
      </c>
      <c r="D3115" s="180" t="s">
        <v>64</v>
      </c>
      <c r="E3115" t="s">
        <v>7642</v>
      </c>
      <c r="F3115" t="s">
        <v>7793</v>
      </c>
      <c r="G3115" s="180">
        <v>750</v>
      </c>
      <c r="H3115">
        <v>1970</v>
      </c>
      <c r="J3115" s="1334" t="s">
        <v>475</v>
      </c>
      <c r="K3115" s="1335" t="s">
        <v>475</v>
      </c>
      <c r="L3115" s="180">
        <v>100</v>
      </c>
      <c r="M3115" t="s">
        <v>108</v>
      </c>
      <c r="N3115" t="str">
        <f t="shared" si="194"/>
        <v>GV-Amphitheater (G028)</v>
      </c>
      <c r="O3115" t="s">
        <v>65</v>
      </c>
      <c r="P3115" t="str">
        <f t="shared" si="195"/>
        <v>53000_G028</v>
      </c>
      <c r="Q3115" s="180">
        <v>100</v>
      </c>
    </row>
    <row r="3116" spans="1:17">
      <c r="A3116" t="str">
        <f t="shared" si="192"/>
        <v>UNG_G029</v>
      </c>
      <c r="B3116" t="str">
        <f t="shared" si="193"/>
        <v>UNG_GV-Amphitheater Restrooms</v>
      </c>
      <c r="C3116" t="s">
        <v>455</v>
      </c>
      <c r="D3116" s="180" t="s">
        <v>64</v>
      </c>
      <c r="E3116" t="s">
        <v>7643</v>
      </c>
      <c r="F3116" t="s">
        <v>7794</v>
      </c>
      <c r="G3116" s="180">
        <v>306</v>
      </c>
      <c r="H3116">
        <v>2022</v>
      </c>
      <c r="J3116" s="1334" t="s">
        <v>475</v>
      </c>
      <c r="K3116" s="1335" t="s">
        <v>475</v>
      </c>
      <c r="L3116" s="180">
        <v>100</v>
      </c>
      <c r="M3116" t="s">
        <v>108</v>
      </c>
      <c r="N3116" t="str">
        <f t="shared" si="194"/>
        <v>GV-Amphitheater Restrooms (G029)</v>
      </c>
      <c r="O3116" t="s">
        <v>65</v>
      </c>
      <c r="P3116" t="str">
        <f t="shared" si="195"/>
        <v>53000_G029</v>
      </c>
      <c r="Q3116" s="180">
        <v>100</v>
      </c>
    </row>
    <row r="3117" spans="1:17">
      <c r="A3117" t="str">
        <f t="shared" si="192"/>
        <v>UNG_G030</v>
      </c>
      <c r="B3117" t="str">
        <f t="shared" si="193"/>
        <v>UNG_GV-Theater Storage</v>
      </c>
      <c r="C3117" t="s">
        <v>455</v>
      </c>
      <c r="D3117" s="180" t="s">
        <v>64</v>
      </c>
      <c r="E3117" t="s">
        <v>7644</v>
      </c>
      <c r="F3117" t="s">
        <v>7795</v>
      </c>
      <c r="G3117" s="180">
        <v>3000</v>
      </c>
      <c r="H3117">
        <v>2021</v>
      </c>
      <c r="J3117" s="1334" t="s">
        <v>475</v>
      </c>
      <c r="K3117" s="1335" t="s">
        <v>475</v>
      </c>
      <c r="L3117" s="180">
        <v>100</v>
      </c>
      <c r="M3117" t="s">
        <v>108</v>
      </c>
      <c r="N3117" t="str">
        <f t="shared" si="194"/>
        <v>GV-Theater Storage (G030)</v>
      </c>
      <c r="O3117" t="s">
        <v>65</v>
      </c>
      <c r="P3117" t="str">
        <f t="shared" si="195"/>
        <v>53000_G030</v>
      </c>
      <c r="Q3117" s="180">
        <v>100</v>
      </c>
    </row>
    <row r="3118" spans="1:17">
      <c r="A3118" t="str">
        <f t="shared" si="192"/>
        <v>UNG_G031</v>
      </c>
      <c r="B3118" t="str">
        <f t="shared" si="193"/>
        <v>UNG_GV-Tumbling Creek Classroom</v>
      </c>
      <c r="C3118" t="s">
        <v>455</v>
      </c>
      <c r="D3118" s="180" t="s">
        <v>64</v>
      </c>
      <c r="E3118" t="s">
        <v>7645</v>
      </c>
      <c r="F3118" t="s">
        <v>7796</v>
      </c>
      <c r="G3118" s="180">
        <v>480</v>
      </c>
      <c r="H3118">
        <v>2012</v>
      </c>
      <c r="J3118" s="1334" t="s">
        <v>475</v>
      </c>
      <c r="K3118" s="1335" t="s">
        <v>475</v>
      </c>
      <c r="L3118" s="180">
        <v>100</v>
      </c>
      <c r="M3118" t="s">
        <v>108</v>
      </c>
      <c r="N3118" t="str">
        <f t="shared" si="194"/>
        <v>GV-Tumbling Creek Classroom (G031)</v>
      </c>
      <c r="O3118" t="s">
        <v>65</v>
      </c>
      <c r="P3118" t="str">
        <f t="shared" si="195"/>
        <v>53000_G031</v>
      </c>
      <c r="Q3118" s="180">
        <v>100</v>
      </c>
    </row>
    <row r="3119" spans="1:17">
      <c r="A3119" t="str">
        <f t="shared" si="192"/>
        <v>UNG_G032</v>
      </c>
      <c r="B3119" t="str">
        <f t="shared" si="193"/>
        <v>UNG_GV-Cart Garage</v>
      </c>
      <c r="C3119" t="s">
        <v>455</v>
      </c>
      <c r="D3119" s="180" t="s">
        <v>64</v>
      </c>
      <c r="E3119" t="s">
        <v>7646</v>
      </c>
      <c r="F3119" t="s">
        <v>7797</v>
      </c>
      <c r="G3119" s="180">
        <v>324</v>
      </c>
      <c r="H3119">
        <v>1990</v>
      </c>
      <c r="J3119" s="1334" t="s">
        <v>475</v>
      </c>
      <c r="K3119" s="1335" t="s">
        <v>475</v>
      </c>
      <c r="L3119" s="180">
        <v>100</v>
      </c>
      <c r="M3119" t="s">
        <v>108</v>
      </c>
      <c r="N3119" t="str">
        <f t="shared" si="194"/>
        <v>GV-Cart Garage (G032)</v>
      </c>
      <c r="O3119" t="s">
        <v>65</v>
      </c>
      <c r="P3119" t="str">
        <f t="shared" si="195"/>
        <v>53000_G032</v>
      </c>
      <c r="Q3119" s="180">
        <v>100</v>
      </c>
    </row>
    <row r="3120" spans="1:17">
      <c r="A3120" t="str">
        <f t="shared" si="192"/>
        <v>UNG_G033</v>
      </c>
      <c r="B3120" t="str">
        <f t="shared" si="193"/>
        <v>UNG_GV-Grounds Maint BLDG 1</v>
      </c>
      <c r="C3120" t="s">
        <v>455</v>
      </c>
      <c r="D3120" s="180" t="s">
        <v>64</v>
      </c>
      <c r="E3120" t="s">
        <v>7647</v>
      </c>
      <c r="F3120" t="s">
        <v>7798</v>
      </c>
      <c r="G3120" s="180">
        <v>2400</v>
      </c>
      <c r="H3120">
        <v>2008</v>
      </c>
      <c r="J3120" s="1334" t="s">
        <v>475</v>
      </c>
      <c r="K3120" s="1335" t="s">
        <v>475</v>
      </c>
      <c r="L3120" s="180">
        <v>100</v>
      </c>
      <c r="M3120" t="s">
        <v>108</v>
      </c>
      <c r="N3120" t="str">
        <f t="shared" si="194"/>
        <v>GV-Grounds Maint BLDG 1 (G033)</v>
      </c>
      <c r="O3120" t="s">
        <v>65</v>
      </c>
      <c r="P3120" t="str">
        <f t="shared" si="195"/>
        <v>53000_G033</v>
      </c>
      <c r="Q3120" s="180">
        <v>100</v>
      </c>
    </row>
    <row r="3121" spans="1:17">
      <c r="A3121" t="str">
        <f t="shared" si="192"/>
        <v>UNG_G034</v>
      </c>
      <c r="B3121" t="str">
        <f t="shared" si="193"/>
        <v>UNG_GV-Grounds Maint BLDG 2</v>
      </c>
      <c r="C3121" t="s">
        <v>455</v>
      </c>
      <c r="D3121" s="180" t="s">
        <v>64</v>
      </c>
      <c r="E3121" t="s">
        <v>7648</v>
      </c>
      <c r="F3121" t="s">
        <v>7799</v>
      </c>
      <c r="G3121" s="180">
        <v>1700</v>
      </c>
      <c r="H3121">
        <v>2008</v>
      </c>
      <c r="J3121" s="1334" t="s">
        <v>475</v>
      </c>
      <c r="K3121" s="1335" t="s">
        <v>475</v>
      </c>
      <c r="L3121" s="180">
        <v>100</v>
      </c>
      <c r="M3121" t="s">
        <v>108</v>
      </c>
      <c r="N3121" t="str">
        <f t="shared" si="194"/>
        <v>GV-Grounds Maint BLDG 2 (G034)</v>
      </c>
      <c r="O3121" t="s">
        <v>65</v>
      </c>
      <c r="P3121" t="str">
        <f t="shared" si="195"/>
        <v>53000_G034</v>
      </c>
      <c r="Q3121" s="180">
        <v>100</v>
      </c>
    </row>
    <row r="3122" spans="1:17">
      <c r="A3122" t="str">
        <f t="shared" si="192"/>
        <v>UNG_G035</v>
      </c>
      <c r="B3122" t="str">
        <f t="shared" si="193"/>
        <v>UNG_GV-Equipment Shed 1</v>
      </c>
      <c r="C3122" t="s">
        <v>455</v>
      </c>
      <c r="D3122" s="180" t="s">
        <v>64</v>
      </c>
      <c r="E3122" t="s">
        <v>7649</v>
      </c>
      <c r="F3122" t="s">
        <v>7800</v>
      </c>
      <c r="G3122" s="180">
        <v>2000</v>
      </c>
      <c r="H3122">
        <v>2008</v>
      </c>
      <c r="J3122" s="1334" t="s">
        <v>475</v>
      </c>
      <c r="K3122" s="1335" t="s">
        <v>475</v>
      </c>
      <c r="L3122" s="180">
        <v>100</v>
      </c>
      <c r="M3122" t="s">
        <v>108</v>
      </c>
      <c r="N3122" t="str">
        <f t="shared" si="194"/>
        <v>GV-Equipment Shed 1 (G035)</v>
      </c>
      <c r="O3122" t="s">
        <v>65</v>
      </c>
      <c r="P3122" t="str">
        <f t="shared" si="195"/>
        <v>53000_G035</v>
      </c>
      <c r="Q3122" s="180">
        <v>100</v>
      </c>
    </row>
    <row r="3123" spans="1:17">
      <c r="A3123" t="str">
        <f t="shared" si="192"/>
        <v>UNG_G036</v>
      </c>
      <c r="B3123" t="str">
        <f t="shared" si="193"/>
        <v>UNG_GV-Equipment Shed 2</v>
      </c>
      <c r="C3123" t="s">
        <v>455</v>
      </c>
      <c r="D3123" s="180" t="s">
        <v>64</v>
      </c>
      <c r="E3123" t="s">
        <v>7650</v>
      </c>
      <c r="F3123" t="s">
        <v>7801</v>
      </c>
      <c r="G3123" s="180">
        <v>6200</v>
      </c>
      <c r="H3123">
        <v>2008</v>
      </c>
      <c r="J3123" s="1334" t="s">
        <v>475</v>
      </c>
      <c r="K3123" s="1335" t="s">
        <v>475</v>
      </c>
      <c r="L3123" s="180">
        <v>100</v>
      </c>
      <c r="M3123" t="s">
        <v>108</v>
      </c>
      <c r="N3123" t="str">
        <f t="shared" si="194"/>
        <v>GV-Equipment Shed 2 (G036)</v>
      </c>
      <c r="O3123" t="s">
        <v>65</v>
      </c>
      <c r="P3123" t="str">
        <f t="shared" si="195"/>
        <v>53000_G036</v>
      </c>
      <c r="Q3123" s="180">
        <v>0</v>
      </c>
    </row>
    <row r="3124" spans="1:17">
      <c r="A3124" t="str">
        <f t="shared" si="192"/>
        <v>UNG_G08B</v>
      </c>
      <c r="B3124" t="str">
        <f t="shared" si="193"/>
        <v>UNG_GV-Plant Operations/Facilities</v>
      </c>
      <c r="C3124" t="s">
        <v>455</v>
      </c>
      <c r="D3124" s="180" t="s">
        <v>64</v>
      </c>
      <c r="E3124" t="s">
        <v>6068</v>
      </c>
      <c r="F3124" t="s">
        <v>6069</v>
      </c>
      <c r="G3124" s="180">
        <v>12693</v>
      </c>
      <c r="H3124">
        <v>2005</v>
      </c>
      <c r="J3124" s="1334" t="s">
        <v>475</v>
      </c>
      <c r="K3124" s="1335" t="s">
        <v>475</v>
      </c>
      <c r="L3124" s="180">
        <v>100</v>
      </c>
      <c r="M3124" t="s">
        <v>108</v>
      </c>
      <c r="N3124" t="str">
        <f t="shared" si="194"/>
        <v>GV-Plant Operations/Facilities (G08B)</v>
      </c>
      <c r="O3124" t="s">
        <v>65</v>
      </c>
      <c r="P3124" t="str">
        <f t="shared" si="195"/>
        <v>53000_G08B</v>
      </c>
      <c r="Q3124" s="180">
        <v>100</v>
      </c>
    </row>
    <row r="3125" spans="1:17">
      <c r="A3125" t="str">
        <f t="shared" si="192"/>
        <v>UNG_G08C</v>
      </c>
      <c r="B3125" t="str">
        <f t="shared" si="193"/>
        <v>UNG_GV-Greenhouse</v>
      </c>
      <c r="C3125" t="s">
        <v>455</v>
      </c>
      <c r="D3125" s="180" t="s">
        <v>64</v>
      </c>
      <c r="E3125" t="s">
        <v>5976</v>
      </c>
      <c r="F3125" t="s">
        <v>5977</v>
      </c>
      <c r="G3125" s="180">
        <v>2160</v>
      </c>
      <c r="H3125">
        <v>1975</v>
      </c>
      <c r="I3125">
        <v>2019</v>
      </c>
      <c r="J3125" s="1334" t="s">
        <v>475</v>
      </c>
      <c r="K3125" s="1335" t="s">
        <v>475</v>
      </c>
      <c r="L3125" s="180">
        <v>100</v>
      </c>
      <c r="M3125" t="s">
        <v>108</v>
      </c>
      <c r="N3125" t="str">
        <f t="shared" si="194"/>
        <v>GV-Greenhouse (G08C)</v>
      </c>
      <c r="O3125" t="s">
        <v>65</v>
      </c>
      <c r="P3125" t="str">
        <f t="shared" si="195"/>
        <v>53000_G08C</v>
      </c>
      <c r="Q3125" s="180">
        <v>75</v>
      </c>
    </row>
    <row r="3126" spans="1:17">
      <c r="A3126" t="str">
        <f t="shared" si="192"/>
        <v>UNG_O10</v>
      </c>
      <c r="B3126" t="str">
        <f t="shared" si="193"/>
        <v>UNG_OC-Warehouse</v>
      </c>
      <c r="C3126" t="s">
        <v>455</v>
      </c>
      <c r="D3126" s="180" t="s">
        <v>64</v>
      </c>
      <c r="E3126" t="s">
        <v>7651</v>
      </c>
      <c r="F3126" t="s">
        <v>7802</v>
      </c>
      <c r="G3126" s="180">
        <v>2000</v>
      </c>
      <c r="H3126">
        <v>2024</v>
      </c>
      <c r="J3126" s="1334" t="s">
        <v>475</v>
      </c>
      <c r="K3126" s="1335" t="s">
        <v>475</v>
      </c>
      <c r="L3126" s="180">
        <v>0</v>
      </c>
      <c r="M3126" t="s">
        <v>109</v>
      </c>
      <c r="N3126" t="str">
        <f t="shared" si="194"/>
        <v>OC-Warehouse (O10)</v>
      </c>
      <c r="O3126" t="s">
        <v>65</v>
      </c>
      <c r="P3126" t="str">
        <f t="shared" si="195"/>
        <v>53000_O10</v>
      </c>
      <c r="Q3126" s="180">
        <v>0</v>
      </c>
    </row>
    <row r="3127" spans="1:17">
      <c r="A3127" t="str">
        <f t="shared" si="192"/>
        <v>UNG_O100</v>
      </c>
      <c r="B3127" t="str">
        <f t="shared" si="193"/>
        <v>UNG_OC-Administration Building</v>
      </c>
      <c r="C3127" t="s">
        <v>455</v>
      </c>
      <c r="D3127" s="180" t="s">
        <v>64</v>
      </c>
      <c r="E3127" t="s">
        <v>6084</v>
      </c>
      <c r="F3127" t="s">
        <v>6085</v>
      </c>
      <c r="G3127" s="180">
        <v>8466</v>
      </c>
      <c r="H3127">
        <v>1993</v>
      </c>
      <c r="J3127" s="1334" t="s">
        <v>475</v>
      </c>
      <c r="K3127" s="1335" t="s">
        <v>475</v>
      </c>
      <c r="L3127" s="180">
        <v>100</v>
      </c>
      <c r="M3127" t="s">
        <v>109</v>
      </c>
      <c r="N3127" t="str">
        <f t="shared" si="194"/>
        <v>OC-Administration Building (O100)</v>
      </c>
      <c r="O3127" t="s">
        <v>65</v>
      </c>
      <c r="P3127" t="str">
        <f t="shared" si="195"/>
        <v>53000_O100</v>
      </c>
      <c r="Q3127" s="180">
        <v>100</v>
      </c>
    </row>
    <row r="3128" spans="1:17">
      <c r="A3128" t="str">
        <f t="shared" si="192"/>
        <v>UNG_O2</v>
      </c>
      <c r="B3128" t="str">
        <f t="shared" si="193"/>
        <v>UNG_OC-Classroom Building</v>
      </c>
      <c r="C3128" t="s">
        <v>455</v>
      </c>
      <c r="D3128" s="180" t="s">
        <v>64</v>
      </c>
      <c r="E3128" t="s">
        <v>5998</v>
      </c>
      <c r="F3128" t="s">
        <v>5999</v>
      </c>
      <c r="G3128" s="180">
        <v>19085</v>
      </c>
      <c r="H3128">
        <v>1993</v>
      </c>
      <c r="I3128">
        <v>2011</v>
      </c>
      <c r="J3128" s="1334" t="s">
        <v>475</v>
      </c>
      <c r="K3128" s="1335" t="s">
        <v>475</v>
      </c>
      <c r="L3128" s="180">
        <v>100</v>
      </c>
      <c r="M3128" t="s">
        <v>109</v>
      </c>
      <c r="N3128" t="str">
        <f t="shared" si="194"/>
        <v>OC-Classroom Building (O2)</v>
      </c>
      <c r="O3128" t="s">
        <v>65</v>
      </c>
      <c r="P3128" t="str">
        <f t="shared" si="195"/>
        <v>53000_O2</v>
      </c>
      <c r="Q3128" s="180">
        <v>0</v>
      </c>
    </row>
    <row r="3129" spans="1:17">
      <c r="A3129" t="str">
        <f t="shared" si="192"/>
        <v>UNG_O3</v>
      </c>
      <c r="B3129" t="str">
        <f t="shared" si="193"/>
        <v>UNG_OC-Student Resource Center</v>
      </c>
      <c r="C3129" t="s">
        <v>455</v>
      </c>
      <c r="D3129" s="180" t="s">
        <v>64</v>
      </c>
      <c r="E3129" t="s">
        <v>6074</v>
      </c>
      <c r="F3129" t="s">
        <v>6075</v>
      </c>
      <c r="G3129" s="180">
        <v>23014</v>
      </c>
      <c r="H3129">
        <v>1998</v>
      </c>
      <c r="I3129">
        <v>2015</v>
      </c>
      <c r="J3129" s="1334" t="s">
        <v>475</v>
      </c>
      <c r="K3129" s="1335" t="s">
        <v>475</v>
      </c>
      <c r="L3129" s="180">
        <v>100</v>
      </c>
      <c r="M3129" t="s">
        <v>109</v>
      </c>
      <c r="N3129" t="str">
        <f t="shared" si="194"/>
        <v>OC-Student Resource Center (O3)</v>
      </c>
      <c r="O3129" t="s">
        <v>65</v>
      </c>
      <c r="P3129" t="str">
        <f t="shared" si="195"/>
        <v>53000_O3</v>
      </c>
      <c r="Q3129" s="180">
        <v>100</v>
      </c>
    </row>
    <row r="3130" spans="1:17">
      <c r="A3130" t="str">
        <f t="shared" si="192"/>
        <v>UNG_O3A</v>
      </c>
      <c r="B3130" t="str">
        <f t="shared" si="193"/>
        <v>UNG_OC-SRC Addition</v>
      </c>
      <c r="C3130" t="s">
        <v>455</v>
      </c>
      <c r="D3130" s="180" t="s">
        <v>64</v>
      </c>
      <c r="E3130" t="s">
        <v>7049</v>
      </c>
      <c r="F3130" t="s">
        <v>7155</v>
      </c>
      <c r="G3130" s="180">
        <v>13849</v>
      </c>
      <c r="H3130">
        <v>2015</v>
      </c>
      <c r="J3130" s="1334" t="s">
        <v>475</v>
      </c>
      <c r="K3130" s="1335" t="s">
        <v>475</v>
      </c>
      <c r="L3130" s="180">
        <v>100</v>
      </c>
      <c r="M3130" t="s">
        <v>109</v>
      </c>
      <c r="N3130" t="str">
        <f t="shared" si="194"/>
        <v>OC-SRC Addition (O3A)</v>
      </c>
      <c r="O3130" t="s">
        <v>65</v>
      </c>
      <c r="P3130" t="str">
        <f t="shared" si="195"/>
        <v>53000_O3A</v>
      </c>
      <c r="Q3130" s="180">
        <v>100</v>
      </c>
    </row>
    <row r="3131" spans="1:17">
      <c r="A3131" t="str">
        <f t="shared" si="192"/>
        <v>UNG_O4</v>
      </c>
      <c r="B3131" t="str">
        <f t="shared" si="193"/>
        <v>UNG_OC-Facilities &amp; Public Safety</v>
      </c>
      <c r="C3131" t="s">
        <v>455</v>
      </c>
      <c r="D3131" s="180" t="s">
        <v>64</v>
      </c>
      <c r="E3131" t="s">
        <v>5932</v>
      </c>
      <c r="F3131" t="s">
        <v>5933</v>
      </c>
      <c r="G3131" s="180">
        <v>5200</v>
      </c>
      <c r="H3131">
        <v>2010</v>
      </c>
      <c r="J3131" s="1334" t="s">
        <v>475</v>
      </c>
      <c r="K3131" s="1335" t="s">
        <v>475</v>
      </c>
      <c r="L3131" s="180">
        <v>100</v>
      </c>
      <c r="M3131" t="s">
        <v>109</v>
      </c>
      <c r="N3131" t="str">
        <f t="shared" si="194"/>
        <v>OC-Facilities &amp; Public Safety (O4)</v>
      </c>
      <c r="O3131" t="s">
        <v>65</v>
      </c>
      <c r="P3131" t="str">
        <f t="shared" si="195"/>
        <v>53000_O4</v>
      </c>
      <c r="Q3131" s="180">
        <v>0</v>
      </c>
    </row>
    <row r="3132" spans="1:17">
      <c r="A3132" t="str">
        <f t="shared" si="192"/>
        <v>UNG_O7</v>
      </c>
      <c r="B3132" t="str">
        <f t="shared" si="193"/>
        <v>UNG_OC-Faculty Center</v>
      </c>
      <c r="C3132" t="s">
        <v>455</v>
      </c>
      <c r="D3132" s="180" t="s">
        <v>64</v>
      </c>
      <c r="E3132" t="s">
        <v>6108</v>
      </c>
      <c r="F3132" t="s">
        <v>6109</v>
      </c>
      <c r="G3132" s="180">
        <v>11028</v>
      </c>
      <c r="H3132">
        <v>2008</v>
      </c>
      <c r="J3132" s="1334" t="s">
        <v>475</v>
      </c>
      <c r="K3132" s="1335" t="s">
        <v>475</v>
      </c>
      <c r="L3132" s="180">
        <v>100</v>
      </c>
      <c r="M3132" t="s">
        <v>109</v>
      </c>
      <c r="N3132" t="str">
        <f t="shared" si="194"/>
        <v>OC-Faculty Center (O7)</v>
      </c>
      <c r="O3132" t="s">
        <v>65</v>
      </c>
      <c r="P3132" t="str">
        <f t="shared" si="195"/>
        <v>53000_O7</v>
      </c>
      <c r="Q3132" s="180">
        <v>100</v>
      </c>
    </row>
    <row r="3133" spans="1:17">
      <c r="A3133" t="str">
        <f t="shared" si="192"/>
        <v>UWG_0001</v>
      </c>
      <c r="B3133" t="str">
        <f t="shared" si="193"/>
        <v>UWG_KENNEDY CHAPEL</v>
      </c>
      <c r="C3133" t="s">
        <v>456</v>
      </c>
      <c r="D3133" s="180" t="s">
        <v>33</v>
      </c>
      <c r="E3133" t="s">
        <v>4502</v>
      </c>
      <c r="F3133" t="s">
        <v>6229</v>
      </c>
      <c r="G3133" s="180">
        <v>875</v>
      </c>
      <c r="H3133">
        <v>1893</v>
      </c>
      <c r="J3133" s="1334" t="s">
        <v>475</v>
      </c>
      <c r="K3133" s="1335" t="s">
        <v>475</v>
      </c>
      <c r="L3133" s="180">
        <v>100</v>
      </c>
      <c r="M3133" t="s">
        <v>7827</v>
      </c>
      <c r="N3133" t="str">
        <f t="shared" si="194"/>
        <v>KENNEDY CHAPEL (0001)</v>
      </c>
      <c r="O3133" t="s">
        <v>49</v>
      </c>
      <c r="P3133" t="str">
        <f t="shared" si="195"/>
        <v>54000_0001</v>
      </c>
      <c r="Q3133" s="180">
        <v>100</v>
      </c>
    </row>
    <row r="3134" spans="1:17">
      <c r="A3134" t="str">
        <f t="shared" si="192"/>
        <v>UWG_0002</v>
      </c>
      <c r="B3134" t="str">
        <f t="shared" si="193"/>
        <v>UWG_BONNER HOUSE</v>
      </c>
      <c r="C3134" t="s">
        <v>456</v>
      </c>
      <c r="D3134" s="180" t="s">
        <v>33</v>
      </c>
      <c r="E3134" t="s">
        <v>769</v>
      </c>
      <c r="F3134" t="s">
        <v>6185</v>
      </c>
      <c r="G3134" s="180">
        <v>2884</v>
      </c>
      <c r="H3134">
        <v>1843</v>
      </c>
      <c r="I3134">
        <v>1989</v>
      </c>
      <c r="J3134" s="1334" t="s">
        <v>475</v>
      </c>
      <c r="K3134" s="1335" t="s">
        <v>1520</v>
      </c>
      <c r="L3134" s="180">
        <v>100</v>
      </c>
      <c r="M3134" t="s">
        <v>7827</v>
      </c>
      <c r="N3134" t="str">
        <f t="shared" si="194"/>
        <v>BONNER HOUSE (0002)</v>
      </c>
      <c r="O3134" t="s">
        <v>49</v>
      </c>
      <c r="P3134" t="str">
        <f t="shared" si="195"/>
        <v>54000_0002</v>
      </c>
      <c r="Q3134" s="180">
        <v>100</v>
      </c>
    </row>
    <row r="3135" spans="1:17">
      <c r="A3135" t="str">
        <f t="shared" si="192"/>
        <v>UWG_0003</v>
      </c>
      <c r="B3135" t="str">
        <f t="shared" si="193"/>
        <v>UWG_Cobb H - COBB HALL</v>
      </c>
      <c r="C3135" t="s">
        <v>456</v>
      </c>
      <c r="D3135" s="180" t="s">
        <v>33</v>
      </c>
      <c r="E3135" t="s">
        <v>524</v>
      </c>
      <c r="F3135" t="s">
        <v>6125</v>
      </c>
      <c r="G3135" s="180">
        <v>26809</v>
      </c>
      <c r="H3135">
        <v>1964</v>
      </c>
      <c r="I3135">
        <v>2016</v>
      </c>
      <c r="J3135" s="1334" t="s">
        <v>475</v>
      </c>
      <c r="K3135" s="1335" t="s">
        <v>1520</v>
      </c>
      <c r="L3135" s="180">
        <v>100</v>
      </c>
      <c r="M3135" t="s">
        <v>7827</v>
      </c>
      <c r="N3135" t="str">
        <f t="shared" si="194"/>
        <v>Cobb H - COBB HALL (0003)</v>
      </c>
      <c r="O3135" t="s">
        <v>49</v>
      </c>
      <c r="P3135" t="str">
        <f t="shared" si="195"/>
        <v>54000_0003</v>
      </c>
      <c r="Q3135" s="180">
        <v>100</v>
      </c>
    </row>
    <row r="3136" spans="1:17">
      <c r="A3136" t="str">
        <f t="shared" si="192"/>
        <v>UWG_0004</v>
      </c>
      <c r="B3136" t="str">
        <f t="shared" si="193"/>
        <v>UWG_Melson - MELSON HALL</v>
      </c>
      <c r="C3136" t="s">
        <v>456</v>
      </c>
      <c r="D3136" s="180" t="s">
        <v>33</v>
      </c>
      <c r="E3136" t="s">
        <v>1059</v>
      </c>
      <c r="F3136" t="s">
        <v>6196</v>
      </c>
      <c r="G3136" s="180">
        <v>13020</v>
      </c>
      <c r="H3136">
        <v>1907</v>
      </c>
      <c r="I3136">
        <v>1970</v>
      </c>
      <c r="J3136" s="1334" t="s">
        <v>475</v>
      </c>
      <c r="K3136" s="1335" t="s">
        <v>1520</v>
      </c>
      <c r="L3136" s="180">
        <v>100</v>
      </c>
      <c r="M3136" t="s">
        <v>7827</v>
      </c>
      <c r="N3136" t="str">
        <f t="shared" si="194"/>
        <v>Melson - MELSON HALL (0004)</v>
      </c>
      <c r="O3136" t="s">
        <v>49</v>
      </c>
      <c r="P3136" t="str">
        <f t="shared" si="195"/>
        <v>54000_0004</v>
      </c>
      <c r="Q3136" s="180">
        <v>100</v>
      </c>
    </row>
    <row r="3137" spans="1:17">
      <c r="A3137" t="str">
        <f t="shared" si="192"/>
        <v>UWG_0005</v>
      </c>
      <c r="B3137" t="str">
        <f t="shared" si="193"/>
        <v>UWG_Adamson HALL - ADM/ACAD</v>
      </c>
      <c r="C3137" t="s">
        <v>456</v>
      </c>
      <c r="D3137" s="180" t="s">
        <v>33</v>
      </c>
      <c r="E3137" t="s">
        <v>1139</v>
      </c>
      <c r="F3137" t="s">
        <v>6165</v>
      </c>
      <c r="G3137" s="180">
        <v>21933</v>
      </c>
      <c r="H3137">
        <v>2003</v>
      </c>
      <c r="J3137" s="1334" t="s">
        <v>475</v>
      </c>
      <c r="K3137" s="1335" t="s">
        <v>475</v>
      </c>
      <c r="L3137" s="180">
        <v>100</v>
      </c>
      <c r="M3137" t="s">
        <v>7827</v>
      </c>
      <c r="N3137" t="str">
        <f t="shared" si="194"/>
        <v>Adamson HALL - ADM/ACAD (0005)</v>
      </c>
      <c r="O3137" t="s">
        <v>49</v>
      </c>
      <c r="P3137" t="str">
        <f t="shared" si="195"/>
        <v>54000_0005</v>
      </c>
      <c r="Q3137" s="180">
        <v>0</v>
      </c>
    </row>
    <row r="3138" spans="1:17">
      <c r="A3138" t="str">
        <f t="shared" si="192"/>
        <v>UWG_0006</v>
      </c>
      <c r="B3138" t="str">
        <f t="shared" si="193"/>
        <v>UWG_MANDEVILLE HALL /ADMIN</v>
      </c>
      <c r="C3138" t="s">
        <v>456</v>
      </c>
      <c r="D3138" s="180" t="s">
        <v>33</v>
      </c>
      <c r="E3138" t="s">
        <v>855</v>
      </c>
      <c r="F3138" t="s">
        <v>6146</v>
      </c>
      <c r="G3138" s="180">
        <v>13256</v>
      </c>
      <c r="H3138">
        <v>1935</v>
      </c>
      <c r="I3138">
        <v>2016</v>
      </c>
      <c r="J3138" s="1334" t="s">
        <v>475</v>
      </c>
      <c r="K3138" s="1335" t="s">
        <v>486</v>
      </c>
      <c r="L3138" s="180">
        <v>100</v>
      </c>
      <c r="M3138" t="s">
        <v>7827</v>
      </c>
      <c r="N3138" t="str">
        <f t="shared" si="194"/>
        <v>MANDEVILLE HALL /ADMIN (0006)</v>
      </c>
      <c r="O3138" t="s">
        <v>49</v>
      </c>
      <c r="P3138" t="str">
        <f t="shared" si="195"/>
        <v>54000_0006</v>
      </c>
      <c r="Q3138" s="180">
        <v>100</v>
      </c>
    </row>
    <row r="3139" spans="1:17">
      <c r="A3139" t="str">
        <f t="shared" ref="A3139:A3202" si="196">_xlfn.CONCAT(D3139,"_",E3139)</f>
        <v>UWG_0007</v>
      </c>
      <c r="B3139" t="str">
        <f t="shared" ref="B3139:B3202" si="197">_xlfn.CONCAT(D3139,"_",F3139)</f>
        <v>UWG_SANFORD HALL ADMIN</v>
      </c>
      <c r="C3139" t="s">
        <v>456</v>
      </c>
      <c r="D3139" s="180" t="s">
        <v>33</v>
      </c>
      <c r="E3139" t="s">
        <v>872</v>
      </c>
      <c r="F3139" t="s">
        <v>6209</v>
      </c>
      <c r="G3139" s="180">
        <v>12174</v>
      </c>
      <c r="H3139">
        <v>1938</v>
      </c>
      <c r="J3139" s="1334" t="s">
        <v>475</v>
      </c>
      <c r="K3139" s="1335" t="s">
        <v>1520</v>
      </c>
      <c r="L3139" s="180">
        <v>100</v>
      </c>
      <c r="M3139" t="s">
        <v>7827</v>
      </c>
      <c r="N3139" t="str">
        <f t="shared" ref="N3139:N3202" si="198">_xlfn.CONCAT(F3139," (",E3139,")")</f>
        <v>SANFORD HALL ADMIN (0007)</v>
      </c>
      <c r="O3139" t="s">
        <v>49</v>
      </c>
      <c r="P3139" t="str">
        <f t="shared" ref="P3139:P3202" si="199">_xlfn.CONCAT(C3139,"_",E3139)</f>
        <v>54000_0007</v>
      </c>
      <c r="Q3139" s="180">
        <v>100</v>
      </c>
    </row>
    <row r="3140" spans="1:17">
      <c r="A3140" t="str">
        <f t="shared" si="196"/>
        <v>UWG_0008</v>
      </c>
      <c r="B3140" t="str">
        <f t="shared" si="197"/>
        <v>UWG_PARKER HALL</v>
      </c>
      <c r="C3140" t="s">
        <v>456</v>
      </c>
      <c r="D3140" s="180" t="s">
        <v>33</v>
      </c>
      <c r="E3140" t="s">
        <v>904</v>
      </c>
      <c r="F3140" t="s">
        <v>6158</v>
      </c>
      <c r="G3140" s="180">
        <v>16760</v>
      </c>
      <c r="H3140">
        <v>1959</v>
      </c>
      <c r="J3140" s="1334" t="s">
        <v>475</v>
      </c>
      <c r="K3140" s="1335" t="s">
        <v>486</v>
      </c>
      <c r="L3140" s="180">
        <v>100</v>
      </c>
      <c r="M3140" t="s">
        <v>7827</v>
      </c>
      <c r="N3140" t="str">
        <f t="shared" si="198"/>
        <v>PARKER HALL (0008)</v>
      </c>
      <c r="O3140" t="s">
        <v>49</v>
      </c>
      <c r="P3140" t="str">
        <f t="shared" si="199"/>
        <v>54000_0008</v>
      </c>
      <c r="Q3140" s="180">
        <v>100</v>
      </c>
    </row>
    <row r="3141" spans="1:17">
      <c r="A3141" t="str">
        <f t="shared" si="196"/>
        <v>UWG_0009</v>
      </c>
      <c r="B3141" t="str">
        <f t="shared" si="197"/>
        <v>UWG_BUILDING 9</v>
      </c>
      <c r="C3141" t="s">
        <v>456</v>
      </c>
      <c r="D3141" s="180" t="s">
        <v>33</v>
      </c>
      <c r="E3141" t="s">
        <v>502</v>
      </c>
      <c r="F3141" t="s">
        <v>6231</v>
      </c>
      <c r="G3141" s="180">
        <v>9171</v>
      </c>
      <c r="H3141">
        <v>1971</v>
      </c>
      <c r="J3141" s="1334" t="s">
        <v>475</v>
      </c>
      <c r="K3141" s="1335" t="s">
        <v>475</v>
      </c>
      <c r="L3141" s="180">
        <v>100</v>
      </c>
      <c r="M3141" t="s">
        <v>7827</v>
      </c>
      <c r="N3141" t="str">
        <f t="shared" si="198"/>
        <v>BUILDING 9 (0009)</v>
      </c>
      <c r="O3141" t="s">
        <v>49</v>
      </c>
      <c r="P3141" t="str">
        <f t="shared" si="199"/>
        <v>54000_0009</v>
      </c>
      <c r="Q3141" s="180">
        <v>0</v>
      </c>
    </row>
    <row r="3142" spans="1:17">
      <c r="A3142" t="str">
        <f t="shared" si="196"/>
        <v>UWG_0010</v>
      </c>
      <c r="B3142" t="str">
        <f t="shared" si="197"/>
        <v>UWG_M Munr - MARTHA MUNRO ACADEMIC</v>
      </c>
      <c r="C3142" t="s">
        <v>456</v>
      </c>
      <c r="D3142" s="180" t="s">
        <v>33</v>
      </c>
      <c r="E3142" t="s">
        <v>815</v>
      </c>
      <c r="F3142" t="s">
        <v>6143</v>
      </c>
      <c r="G3142" s="180">
        <v>8960</v>
      </c>
      <c r="H3142">
        <v>1935</v>
      </c>
      <c r="I3142">
        <v>2003</v>
      </c>
      <c r="J3142" s="1334" t="s">
        <v>475</v>
      </c>
      <c r="K3142" s="1335" t="s">
        <v>1520</v>
      </c>
      <c r="L3142" s="180">
        <v>100</v>
      </c>
      <c r="M3142" t="s">
        <v>7827</v>
      </c>
      <c r="N3142" t="str">
        <f t="shared" si="198"/>
        <v>M Munr - MARTHA MUNRO ACADEMIC (0010)</v>
      </c>
      <c r="O3142" t="s">
        <v>49</v>
      </c>
      <c r="P3142" t="str">
        <f t="shared" si="199"/>
        <v>54000_0010</v>
      </c>
      <c r="Q3142" s="180">
        <v>97</v>
      </c>
    </row>
    <row r="3143" spans="1:17">
      <c r="A3143" t="str">
        <f t="shared" si="196"/>
        <v>UWG_0011</v>
      </c>
      <c r="B3143" t="str">
        <f t="shared" si="197"/>
        <v>UWG_Anth - Anthropology Building</v>
      </c>
      <c r="C3143" t="s">
        <v>456</v>
      </c>
      <c r="D3143" s="180" t="s">
        <v>33</v>
      </c>
      <c r="E3143" t="s">
        <v>504</v>
      </c>
      <c r="F3143" t="s">
        <v>6210</v>
      </c>
      <c r="G3143" s="180">
        <v>16351</v>
      </c>
      <c r="H3143">
        <v>1954</v>
      </c>
      <c r="I3143">
        <v>2013</v>
      </c>
      <c r="J3143" s="1334" t="s">
        <v>475</v>
      </c>
      <c r="K3143" s="1335" t="s">
        <v>481</v>
      </c>
      <c r="L3143" s="180">
        <v>100</v>
      </c>
      <c r="M3143" t="s">
        <v>7827</v>
      </c>
      <c r="N3143" t="str">
        <f t="shared" si="198"/>
        <v>Anth - Anthropology Building (0011)</v>
      </c>
      <c r="O3143" t="s">
        <v>49</v>
      </c>
      <c r="P3143" t="str">
        <f t="shared" si="199"/>
        <v>54000_0011</v>
      </c>
      <c r="Q3143" s="180">
        <v>100</v>
      </c>
    </row>
    <row r="3144" spans="1:17">
      <c r="A3144" t="str">
        <f t="shared" si="196"/>
        <v>UWG_0012</v>
      </c>
      <c r="B3144" t="str">
        <f t="shared" si="197"/>
        <v>UWG_Old-Au - OLD AUDITORIUM</v>
      </c>
      <c r="C3144" t="s">
        <v>456</v>
      </c>
      <c r="D3144" s="180" t="s">
        <v>33</v>
      </c>
      <c r="E3144" t="s">
        <v>698</v>
      </c>
      <c r="F3144" t="s">
        <v>6179</v>
      </c>
      <c r="G3144" s="180">
        <v>18612</v>
      </c>
      <c r="H3144">
        <v>1937</v>
      </c>
      <c r="J3144" s="1334" t="s">
        <v>475</v>
      </c>
      <c r="K3144" s="1335" t="s">
        <v>1520</v>
      </c>
      <c r="L3144" s="180">
        <v>100</v>
      </c>
      <c r="M3144" t="s">
        <v>7827</v>
      </c>
      <c r="N3144" t="str">
        <f t="shared" si="198"/>
        <v>Old-Au - OLD AUDITORIUM (0012)</v>
      </c>
      <c r="O3144" t="s">
        <v>49</v>
      </c>
      <c r="P3144" t="str">
        <f t="shared" si="199"/>
        <v>54000_0012</v>
      </c>
      <c r="Q3144" s="180">
        <v>100</v>
      </c>
    </row>
    <row r="3145" spans="1:17">
      <c r="A3145" t="str">
        <f t="shared" si="196"/>
        <v>UWG_0014</v>
      </c>
      <c r="B3145" t="str">
        <f t="shared" si="197"/>
        <v>UWG_Miller Hall</v>
      </c>
      <c r="C3145" t="s">
        <v>456</v>
      </c>
      <c r="D3145" s="180" t="s">
        <v>33</v>
      </c>
      <c r="E3145" t="s">
        <v>711</v>
      </c>
      <c r="F3145" t="s">
        <v>6121</v>
      </c>
      <c r="G3145" s="180">
        <v>32928</v>
      </c>
      <c r="H3145">
        <v>1958</v>
      </c>
      <c r="I3145">
        <v>1987</v>
      </c>
      <c r="J3145" s="1334" t="s">
        <v>475</v>
      </c>
      <c r="K3145" s="1335" t="s">
        <v>475</v>
      </c>
      <c r="L3145" s="180">
        <v>100</v>
      </c>
      <c r="M3145" t="s">
        <v>7827</v>
      </c>
      <c r="N3145" t="str">
        <f t="shared" si="198"/>
        <v>Miller Hall (0014)</v>
      </c>
      <c r="O3145" t="s">
        <v>49</v>
      </c>
      <c r="P3145" t="str">
        <f t="shared" si="199"/>
        <v>54000_0014</v>
      </c>
      <c r="Q3145" s="180">
        <v>100</v>
      </c>
    </row>
    <row r="3146" spans="1:17">
      <c r="A3146" t="str">
        <f t="shared" si="196"/>
        <v>UWG_0015</v>
      </c>
      <c r="B3146" t="str">
        <f t="shared" si="197"/>
        <v>UWG_CALLAWAY BUILDING SCIENCE</v>
      </c>
      <c r="C3146" t="s">
        <v>456</v>
      </c>
      <c r="D3146" s="180" t="s">
        <v>33</v>
      </c>
      <c r="E3146" t="s">
        <v>624</v>
      </c>
      <c r="F3146" t="s">
        <v>6203</v>
      </c>
      <c r="G3146" s="180">
        <v>22447</v>
      </c>
      <c r="H3146">
        <v>1962</v>
      </c>
      <c r="J3146" s="1334" t="s">
        <v>475</v>
      </c>
      <c r="K3146" s="1335" t="s">
        <v>1520</v>
      </c>
      <c r="L3146" s="180">
        <v>100</v>
      </c>
      <c r="M3146" t="s">
        <v>7827</v>
      </c>
      <c r="N3146" t="str">
        <f t="shared" si="198"/>
        <v>CALLAWAY BUILDING SCIENCE (0015)</v>
      </c>
      <c r="O3146" t="s">
        <v>49</v>
      </c>
      <c r="P3146" t="str">
        <f t="shared" si="199"/>
        <v>54000_0015</v>
      </c>
      <c r="Q3146" s="180">
        <v>100</v>
      </c>
    </row>
    <row r="3147" spans="1:17">
      <c r="A3147" t="str">
        <f t="shared" si="196"/>
        <v>UWG_0016</v>
      </c>
      <c r="B3147" t="str">
        <f t="shared" si="197"/>
        <v>UWG_Gunn Hall</v>
      </c>
      <c r="C3147" t="s">
        <v>456</v>
      </c>
      <c r="D3147" s="180" t="s">
        <v>33</v>
      </c>
      <c r="E3147" t="s">
        <v>506</v>
      </c>
      <c r="F3147" t="s">
        <v>6178</v>
      </c>
      <c r="G3147" s="180">
        <v>39351</v>
      </c>
      <c r="H3147">
        <v>1965</v>
      </c>
      <c r="J3147" s="1334" t="s">
        <v>475</v>
      </c>
      <c r="K3147" s="1335" t="s">
        <v>475</v>
      </c>
      <c r="L3147" s="180">
        <v>100</v>
      </c>
      <c r="M3147" t="s">
        <v>7827</v>
      </c>
      <c r="N3147" t="str">
        <f t="shared" si="198"/>
        <v>Gunn Hall (0016)</v>
      </c>
      <c r="O3147" t="s">
        <v>49</v>
      </c>
      <c r="P3147" t="str">
        <f t="shared" si="199"/>
        <v>54000_0016</v>
      </c>
      <c r="Q3147" s="180">
        <v>100</v>
      </c>
    </row>
    <row r="3148" spans="1:17">
      <c r="A3148" t="str">
        <f t="shared" si="196"/>
        <v>UWG_0017</v>
      </c>
      <c r="B3148" t="str">
        <f t="shared" si="197"/>
        <v>UWG_CALLAWAY BUILDING ANNEX</v>
      </c>
      <c r="C3148" t="s">
        <v>456</v>
      </c>
      <c r="D3148" s="180" t="s">
        <v>33</v>
      </c>
      <c r="E3148" t="s">
        <v>680</v>
      </c>
      <c r="F3148" t="s">
        <v>6180</v>
      </c>
      <c r="G3148" s="180">
        <v>30002</v>
      </c>
      <c r="H3148">
        <v>2008</v>
      </c>
      <c r="J3148" s="1334" t="s">
        <v>475</v>
      </c>
      <c r="K3148" s="1335" t="s">
        <v>475</v>
      </c>
      <c r="L3148" s="180">
        <v>100</v>
      </c>
      <c r="M3148" t="s">
        <v>7827</v>
      </c>
      <c r="N3148" t="str">
        <f t="shared" si="198"/>
        <v>CALLAWAY BUILDING ANNEX (0017)</v>
      </c>
      <c r="O3148" t="s">
        <v>49</v>
      </c>
      <c r="P3148" t="str">
        <f t="shared" si="199"/>
        <v>54000_0017</v>
      </c>
      <c r="Q3148" s="180">
        <v>100</v>
      </c>
    </row>
    <row r="3149" spans="1:17">
      <c r="A3149" t="str">
        <f t="shared" si="196"/>
        <v>UWG_0018</v>
      </c>
      <c r="B3149" t="str">
        <f t="shared" si="197"/>
        <v>UWG_UWG BOOKSTORE</v>
      </c>
      <c r="C3149" t="s">
        <v>456</v>
      </c>
      <c r="D3149" s="180" t="s">
        <v>33</v>
      </c>
      <c r="E3149" t="s">
        <v>757</v>
      </c>
      <c r="F3149" t="s">
        <v>6224</v>
      </c>
      <c r="G3149" s="180">
        <v>25585</v>
      </c>
      <c r="H3149">
        <v>2011</v>
      </c>
      <c r="J3149" s="1334" t="s">
        <v>1520</v>
      </c>
      <c r="K3149" s="1335" t="s">
        <v>475</v>
      </c>
      <c r="L3149" s="180">
        <v>0</v>
      </c>
      <c r="M3149" t="s">
        <v>7827</v>
      </c>
      <c r="N3149" t="str">
        <f t="shared" si="198"/>
        <v>UWG BOOKSTORE (0018)</v>
      </c>
      <c r="O3149" t="s">
        <v>49</v>
      </c>
      <c r="P3149" t="str">
        <f t="shared" si="199"/>
        <v>54000_0018</v>
      </c>
      <c r="Q3149" s="180">
        <v>100</v>
      </c>
    </row>
    <row r="3150" spans="1:17">
      <c r="A3150" t="str">
        <f t="shared" si="196"/>
        <v>UWG_0019</v>
      </c>
      <c r="B3150" t="str">
        <f t="shared" si="197"/>
        <v>UWG_VISUAL ARTS BUILDING</v>
      </c>
      <c r="C3150" t="s">
        <v>456</v>
      </c>
      <c r="D3150" s="180" t="s">
        <v>33</v>
      </c>
      <c r="E3150" t="s">
        <v>1068</v>
      </c>
      <c r="F3150" t="s">
        <v>6225</v>
      </c>
      <c r="G3150" s="180">
        <v>25235</v>
      </c>
      <c r="H3150">
        <v>2011</v>
      </c>
      <c r="J3150" s="1334" t="s">
        <v>475</v>
      </c>
      <c r="K3150" s="1335" t="s">
        <v>475</v>
      </c>
      <c r="L3150" s="180">
        <v>100</v>
      </c>
      <c r="M3150" t="s">
        <v>7827</v>
      </c>
      <c r="N3150" t="str">
        <f t="shared" si="198"/>
        <v>VISUAL ARTS BUILDING (0019)</v>
      </c>
      <c r="O3150" t="s">
        <v>49</v>
      </c>
      <c r="P3150" t="str">
        <f t="shared" si="199"/>
        <v>54000_0019</v>
      </c>
      <c r="Q3150" s="180">
        <v>100</v>
      </c>
    </row>
    <row r="3151" spans="1:17">
      <c r="A3151" t="str">
        <f t="shared" si="196"/>
        <v>UWG_0021</v>
      </c>
      <c r="B3151" t="str">
        <f t="shared" si="197"/>
        <v>UWG_Boyd   - JAMES E BOYD BLDG -MP</v>
      </c>
      <c r="C3151" t="s">
        <v>456</v>
      </c>
      <c r="D3151" s="180" t="s">
        <v>33</v>
      </c>
      <c r="E3151" t="s">
        <v>930</v>
      </c>
      <c r="F3151" t="s">
        <v>6211</v>
      </c>
      <c r="G3151" s="180">
        <v>38642</v>
      </c>
      <c r="H3151">
        <v>1968</v>
      </c>
      <c r="J3151" s="1334" t="s">
        <v>475</v>
      </c>
      <c r="K3151" s="1335" t="s">
        <v>481</v>
      </c>
      <c r="L3151" s="180">
        <v>100</v>
      </c>
      <c r="M3151" t="s">
        <v>7827</v>
      </c>
      <c r="N3151" t="str">
        <f t="shared" si="198"/>
        <v>Boyd   - JAMES E BOYD BLDG -MP (0021)</v>
      </c>
      <c r="O3151" t="s">
        <v>49</v>
      </c>
      <c r="P3151" t="str">
        <f t="shared" si="199"/>
        <v>54000_0021</v>
      </c>
      <c r="Q3151" s="180">
        <v>100</v>
      </c>
    </row>
    <row r="3152" spans="1:17">
      <c r="A3152" t="str">
        <f t="shared" si="196"/>
        <v>UWG_0022</v>
      </c>
      <c r="B3152" t="str">
        <f t="shared" si="197"/>
        <v>UWG_Lib    - LIBRARY</v>
      </c>
      <c r="C3152" t="s">
        <v>456</v>
      </c>
      <c r="D3152" s="180" t="s">
        <v>33</v>
      </c>
      <c r="E3152" t="s">
        <v>531</v>
      </c>
      <c r="F3152" t="s">
        <v>6232</v>
      </c>
      <c r="G3152" s="180">
        <v>111037</v>
      </c>
      <c r="H3152">
        <v>1968</v>
      </c>
      <c r="I3152">
        <v>2011</v>
      </c>
      <c r="J3152" s="1334" t="s">
        <v>475</v>
      </c>
      <c r="K3152" s="1335" t="s">
        <v>1520</v>
      </c>
      <c r="L3152" s="180">
        <v>98</v>
      </c>
      <c r="M3152" t="s">
        <v>7827</v>
      </c>
      <c r="N3152" t="str">
        <f t="shared" si="198"/>
        <v>Lib    - LIBRARY (0022)</v>
      </c>
      <c r="O3152" t="s">
        <v>49</v>
      </c>
      <c r="P3152" t="str">
        <f t="shared" si="199"/>
        <v>54000_0022</v>
      </c>
      <c r="Q3152" s="180">
        <v>100</v>
      </c>
    </row>
    <row r="3153" spans="1:17">
      <c r="A3153" t="str">
        <f t="shared" si="196"/>
        <v>UWG_0023</v>
      </c>
      <c r="B3153" t="str">
        <f t="shared" si="197"/>
        <v>UWG_Paffrd - SOCIAL SCIENCE BLDG</v>
      </c>
      <c r="C3153" t="s">
        <v>456</v>
      </c>
      <c r="D3153" s="180" t="s">
        <v>33</v>
      </c>
      <c r="E3153" t="s">
        <v>4343</v>
      </c>
      <c r="F3153" t="s">
        <v>6208</v>
      </c>
      <c r="G3153" s="180">
        <v>43311</v>
      </c>
      <c r="H3153">
        <v>1968</v>
      </c>
      <c r="J3153" s="1334" t="s">
        <v>475</v>
      </c>
      <c r="K3153" s="1335" t="s">
        <v>481</v>
      </c>
      <c r="L3153" s="180">
        <v>100</v>
      </c>
      <c r="M3153" t="s">
        <v>7827</v>
      </c>
      <c r="N3153" t="str">
        <f t="shared" si="198"/>
        <v>Paffrd - SOCIAL SCIENCE BLDG (0023)</v>
      </c>
      <c r="O3153" t="s">
        <v>49</v>
      </c>
      <c r="P3153" t="str">
        <f t="shared" si="199"/>
        <v>54000_0023</v>
      </c>
      <c r="Q3153" s="180">
        <v>100</v>
      </c>
    </row>
    <row r="3154" spans="1:17">
      <c r="A3154" t="str">
        <f t="shared" si="196"/>
        <v>UWG_0024</v>
      </c>
      <c r="B3154" t="str">
        <f t="shared" si="197"/>
        <v>UWG_Human  - HUMANITIES ACADEMIC</v>
      </c>
      <c r="C3154" t="s">
        <v>456</v>
      </c>
      <c r="D3154" s="180" t="s">
        <v>33</v>
      </c>
      <c r="E3154" t="s">
        <v>548</v>
      </c>
      <c r="F3154" t="s">
        <v>6122</v>
      </c>
      <c r="G3154" s="180">
        <v>80159</v>
      </c>
      <c r="H3154">
        <v>1970</v>
      </c>
      <c r="I3154">
        <v>2024</v>
      </c>
      <c r="J3154" s="1334" t="s">
        <v>475</v>
      </c>
      <c r="K3154" s="1335" t="s">
        <v>481</v>
      </c>
      <c r="L3154" s="180">
        <v>100</v>
      </c>
      <c r="M3154" t="s">
        <v>7827</v>
      </c>
      <c r="N3154" t="str">
        <f t="shared" si="198"/>
        <v>Human  - HUMANITIES ACADEMIC (0024)</v>
      </c>
      <c r="O3154" t="s">
        <v>49</v>
      </c>
      <c r="P3154" t="str">
        <f t="shared" si="199"/>
        <v>54000_0024</v>
      </c>
      <c r="Q3154" s="180">
        <v>100</v>
      </c>
    </row>
    <row r="3155" spans="1:17">
      <c r="A3155" t="str">
        <f t="shared" si="196"/>
        <v>UWG_0027</v>
      </c>
      <c r="B3155" t="str">
        <f t="shared" si="197"/>
        <v>UWG_Central Duplication</v>
      </c>
      <c r="C3155" t="s">
        <v>456</v>
      </c>
      <c r="D3155" s="180" t="s">
        <v>33</v>
      </c>
      <c r="E3155" t="s">
        <v>4571</v>
      </c>
      <c r="F3155" t="s">
        <v>6212</v>
      </c>
      <c r="G3155" s="180">
        <v>9393</v>
      </c>
      <c r="H3155">
        <v>1985</v>
      </c>
      <c r="I3155">
        <v>2013</v>
      </c>
      <c r="J3155" s="1334" t="s">
        <v>475</v>
      </c>
      <c r="K3155" s="1335" t="s">
        <v>475</v>
      </c>
      <c r="L3155" s="180">
        <v>100</v>
      </c>
      <c r="M3155" t="s">
        <v>7827</v>
      </c>
      <c r="N3155" t="str">
        <f t="shared" si="198"/>
        <v>Central Duplication (0027)</v>
      </c>
      <c r="O3155" t="s">
        <v>49</v>
      </c>
      <c r="P3155" t="str">
        <f t="shared" si="199"/>
        <v>54000_0027</v>
      </c>
      <c r="Q3155" s="180">
        <v>100</v>
      </c>
    </row>
    <row r="3156" spans="1:17">
      <c r="A3156" t="str">
        <f t="shared" si="196"/>
        <v>UWG_0029</v>
      </c>
      <c r="B3156" t="str">
        <f t="shared" si="197"/>
        <v>UWG_Bowdon Hall</v>
      </c>
      <c r="C3156" t="s">
        <v>456</v>
      </c>
      <c r="D3156" s="180" t="s">
        <v>33</v>
      </c>
      <c r="E3156" t="s">
        <v>1141</v>
      </c>
      <c r="F3156" t="s">
        <v>6171</v>
      </c>
      <c r="G3156" s="180">
        <v>65224</v>
      </c>
      <c r="H3156">
        <v>1971</v>
      </c>
      <c r="I3156">
        <v>2013</v>
      </c>
      <c r="J3156" s="1334" t="s">
        <v>486</v>
      </c>
      <c r="K3156" s="1335" t="s">
        <v>486</v>
      </c>
      <c r="L3156" s="180">
        <v>0</v>
      </c>
      <c r="M3156" t="s">
        <v>7827</v>
      </c>
      <c r="N3156" t="str">
        <f t="shared" si="198"/>
        <v>Bowdon Hall (0029)</v>
      </c>
      <c r="O3156" t="s">
        <v>49</v>
      </c>
      <c r="P3156" t="str">
        <f t="shared" si="199"/>
        <v>54000_0029</v>
      </c>
      <c r="Q3156" s="180">
        <v>100</v>
      </c>
    </row>
    <row r="3157" spans="1:17">
      <c r="A3157" t="str">
        <f t="shared" si="196"/>
        <v>UWG_0030</v>
      </c>
      <c r="B3157" t="str">
        <f t="shared" si="197"/>
        <v>UWG_TCPA   - PERFORMING ARTS CTR</v>
      </c>
      <c r="C3157" t="s">
        <v>456</v>
      </c>
      <c r="D3157" s="180" t="s">
        <v>33</v>
      </c>
      <c r="E3157" t="s">
        <v>561</v>
      </c>
      <c r="F3157" t="s">
        <v>6173</v>
      </c>
      <c r="G3157" s="180">
        <v>30766</v>
      </c>
      <c r="H3157">
        <v>1987</v>
      </c>
      <c r="J3157" s="1334" t="s">
        <v>475</v>
      </c>
      <c r="K3157" s="1335" t="s">
        <v>1520</v>
      </c>
      <c r="L3157" s="180">
        <v>100</v>
      </c>
      <c r="M3157" t="s">
        <v>7827</v>
      </c>
      <c r="N3157" t="str">
        <f t="shared" si="198"/>
        <v>TCPA   - PERFORMING ARTS CTR (0030)</v>
      </c>
      <c r="O3157" t="s">
        <v>49</v>
      </c>
      <c r="P3157" t="str">
        <f t="shared" si="199"/>
        <v>54000_0030</v>
      </c>
      <c r="Q3157" s="180">
        <v>100</v>
      </c>
    </row>
    <row r="3158" spans="1:17">
      <c r="A3158" t="str">
        <f t="shared" si="196"/>
        <v>UWG_0031</v>
      </c>
      <c r="B3158" t="str">
        <f t="shared" si="197"/>
        <v>UWG_COLSM - Coliseum</v>
      </c>
      <c r="C3158" t="s">
        <v>456</v>
      </c>
      <c r="D3158" s="180" t="s">
        <v>33</v>
      </c>
      <c r="E3158" t="s">
        <v>892</v>
      </c>
      <c r="F3158" t="s">
        <v>6159</v>
      </c>
      <c r="G3158" s="180">
        <v>132658</v>
      </c>
      <c r="H3158">
        <v>2008</v>
      </c>
      <c r="J3158" s="1334" t="s">
        <v>475</v>
      </c>
      <c r="K3158" s="1335" t="s">
        <v>475</v>
      </c>
      <c r="L3158" s="180">
        <v>100</v>
      </c>
      <c r="M3158" t="s">
        <v>7827</v>
      </c>
      <c r="N3158" t="str">
        <f t="shared" si="198"/>
        <v>COLSM - Coliseum (0031)</v>
      </c>
      <c r="O3158" t="s">
        <v>49</v>
      </c>
      <c r="P3158" t="str">
        <f t="shared" si="199"/>
        <v>54000_0031</v>
      </c>
      <c r="Q3158" s="180">
        <v>100</v>
      </c>
    </row>
    <row r="3159" spans="1:17">
      <c r="A3159" t="str">
        <f t="shared" si="196"/>
        <v>UWG_0032</v>
      </c>
      <c r="B3159" t="str">
        <f t="shared" si="197"/>
        <v>UWG_NURSING BUILDING</v>
      </c>
      <c r="C3159" t="s">
        <v>456</v>
      </c>
      <c r="D3159" s="180" t="s">
        <v>33</v>
      </c>
      <c r="E3159" t="s">
        <v>864</v>
      </c>
      <c r="F3159" t="s">
        <v>6194</v>
      </c>
      <c r="G3159" s="180">
        <v>65785</v>
      </c>
      <c r="H3159">
        <v>2013</v>
      </c>
      <c r="J3159" s="1334" t="s">
        <v>475</v>
      </c>
      <c r="K3159" s="1335" t="s">
        <v>475</v>
      </c>
      <c r="L3159" s="180">
        <v>100</v>
      </c>
      <c r="M3159" t="s">
        <v>7827</v>
      </c>
      <c r="N3159" t="str">
        <f t="shared" si="198"/>
        <v>NURSING BUILDING (0032)</v>
      </c>
      <c r="O3159" t="s">
        <v>49</v>
      </c>
      <c r="P3159" t="str">
        <f t="shared" si="199"/>
        <v>54000_0032</v>
      </c>
      <c r="Q3159" s="180">
        <v>100</v>
      </c>
    </row>
    <row r="3160" spans="1:17">
      <c r="A3160" t="str">
        <f t="shared" si="196"/>
        <v>UWG_0033</v>
      </c>
      <c r="B3160" t="str">
        <f t="shared" si="197"/>
        <v>UWG_Athletic Annex</v>
      </c>
      <c r="C3160" t="s">
        <v>456</v>
      </c>
      <c r="D3160" s="180" t="s">
        <v>33</v>
      </c>
      <c r="E3160" t="s">
        <v>717</v>
      </c>
      <c r="F3160" t="s">
        <v>6149</v>
      </c>
      <c r="G3160" s="180">
        <v>2455</v>
      </c>
      <c r="H3160">
        <v>2012</v>
      </c>
      <c r="J3160" s="1334" t="s">
        <v>475</v>
      </c>
      <c r="K3160" s="1335" t="s">
        <v>475</v>
      </c>
      <c r="L3160" s="180">
        <v>0</v>
      </c>
      <c r="M3160" t="s">
        <v>7827</v>
      </c>
      <c r="N3160" t="str">
        <f t="shared" si="198"/>
        <v>Athletic Annex (0033)</v>
      </c>
      <c r="O3160" t="s">
        <v>49</v>
      </c>
      <c r="P3160" t="str">
        <f t="shared" si="199"/>
        <v>54000_0033</v>
      </c>
      <c r="Q3160" s="180">
        <v>0</v>
      </c>
    </row>
    <row r="3161" spans="1:17">
      <c r="A3161" t="str">
        <f t="shared" si="196"/>
        <v>UWG_0034</v>
      </c>
      <c r="B3161" t="str">
        <f t="shared" si="197"/>
        <v>UWG_TLC    -TECHNOLOGY  LEARN CTR</v>
      </c>
      <c r="C3161" t="s">
        <v>456</v>
      </c>
      <c r="D3161" s="180" t="s">
        <v>33</v>
      </c>
      <c r="E3161" t="s">
        <v>5637</v>
      </c>
      <c r="F3161" t="s">
        <v>6137</v>
      </c>
      <c r="G3161" s="180">
        <v>119100</v>
      </c>
      <c r="H3161">
        <v>1999</v>
      </c>
      <c r="J3161" s="1334" t="s">
        <v>520</v>
      </c>
      <c r="K3161" s="1335" t="s">
        <v>486</v>
      </c>
      <c r="L3161" s="180">
        <v>100</v>
      </c>
      <c r="M3161" t="s">
        <v>7827</v>
      </c>
      <c r="N3161" t="str">
        <f t="shared" si="198"/>
        <v>TLC    -TECHNOLOGY  LEARN CTR (0034)</v>
      </c>
      <c r="O3161" t="s">
        <v>49</v>
      </c>
      <c r="P3161" t="str">
        <f t="shared" si="199"/>
        <v>54000_0034</v>
      </c>
      <c r="Q3161" s="180">
        <v>99</v>
      </c>
    </row>
    <row r="3162" spans="1:17">
      <c r="A3162" t="str">
        <f t="shared" si="196"/>
        <v>UWG_0035</v>
      </c>
      <c r="B3162" t="str">
        <f t="shared" si="197"/>
        <v>UWG_CENTER POINTE SUITES</v>
      </c>
      <c r="C3162" t="s">
        <v>456</v>
      </c>
      <c r="D3162" s="180" t="s">
        <v>33</v>
      </c>
      <c r="E3162" t="s">
        <v>830</v>
      </c>
      <c r="F3162" t="s">
        <v>6126</v>
      </c>
      <c r="G3162" s="180">
        <v>155155</v>
      </c>
      <c r="H3162">
        <v>2012</v>
      </c>
      <c r="J3162" s="1334" t="s">
        <v>486</v>
      </c>
      <c r="K3162" s="1335" t="s">
        <v>475</v>
      </c>
      <c r="L3162" s="180">
        <v>0</v>
      </c>
      <c r="M3162" t="s">
        <v>7827</v>
      </c>
      <c r="N3162" t="str">
        <f t="shared" si="198"/>
        <v>CENTER POINTE SUITES (0035)</v>
      </c>
      <c r="O3162" t="s">
        <v>49</v>
      </c>
      <c r="P3162" t="str">
        <f t="shared" si="199"/>
        <v>54000_0035</v>
      </c>
      <c r="Q3162" s="180">
        <v>100</v>
      </c>
    </row>
    <row r="3163" spans="1:17">
      <c r="A3163" t="str">
        <f t="shared" si="196"/>
        <v>UWG_0036</v>
      </c>
      <c r="B3163" t="str">
        <f t="shared" si="197"/>
        <v>UWG_The Oaks</v>
      </c>
      <c r="C3163" t="s">
        <v>456</v>
      </c>
      <c r="D3163" s="180" t="s">
        <v>33</v>
      </c>
      <c r="E3163" t="s">
        <v>817</v>
      </c>
      <c r="F3163" t="s">
        <v>6116</v>
      </c>
      <c r="G3163" s="180">
        <v>129066</v>
      </c>
      <c r="H3163">
        <v>2013</v>
      </c>
      <c r="J3163" s="1334" t="s">
        <v>486</v>
      </c>
      <c r="K3163" s="1335" t="s">
        <v>475</v>
      </c>
      <c r="L3163" s="180">
        <v>0</v>
      </c>
      <c r="M3163" t="s">
        <v>7827</v>
      </c>
      <c r="N3163" t="str">
        <f t="shared" si="198"/>
        <v>The Oaks (0036)</v>
      </c>
      <c r="O3163" t="s">
        <v>49</v>
      </c>
      <c r="P3163" t="str">
        <f t="shared" si="199"/>
        <v>54000_0036</v>
      </c>
      <c r="Q3163" s="180">
        <v>100</v>
      </c>
    </row>
    <row r="3164" spans="1:17">
      <c r="A3164" t="str">
        <f t="shared" si="196"/>
        <v>UWG_0037</v>
      </c>
      <c r="B3164" t="str">
        <f t="shared" si="197"/>
        <v>UWG_DUGOUT-HOME</v>
      </c>
      <c r="C3164" t="s">
        <v>456</v>
      </c>
      <c r="D3164" s="180" t="s">
        <v>33</v>
      </c>
      <c r="E3164" t="s">
        <v>998</v>
      </c>
      <c r="F3164" t="s">
        <v>6113</v>
      </c>
      <c r="G3164" s="180">
        <v>1824</v>
      </c>
      <c r="H3164">
        <v>1992</v>
      </c>
      <c r="J3164" s="1334" t="s">
        <v>475</v>
      </c>
      <c r="K3164" s="1335" t="s">
        <v>475</v>
      </c>
      <c r="L3164" s="180">
        <v>0</v>
      </c>
      <c r="M3164" t="s">
        <v>7827</v>
      </c>
      <c r="N3164" t="str">
        <f t="shared" si="198"/>
        <v>DUGOUT-HOME (0037)</v>
      </c>
      <c r="O3164" t="s">
        <v>49</v>
      </c>
      <c r="P3164" t="str">
        <f t="shared" si="199"/>
        <v>54000_0037</v>
      </c>
      <c r="Q3164" s="180">
        <v>100</v>
      </c>
    </row>
    <row r="3165" spans="1:17">
      <c r="A3165" t="str">
        <f t="shared" si="196"/>
        <v>UWG_0038</v>
      </c>
      <c r="B3165" t="str">
        <f t="shared" si="197"/>
        <v>UWG_DUGOUT-VISTOR</v>
      </c>
      <c r="C3165" t="s">
        <v>456</v>
      </c>
      <c r="D3165" s="180" t="s">
        <v>33</v>
      </c>
      <c r="E3165" t="s">
        <v>866</v>
      </c>
      <c r="F3165" t="s">
        <v>6205</v>
      </c>
      <c r="G3165" s="180">
        <v>1825</v>
      </c>
      <c r="H3165">
        <v>1992</v>
      </c>
      <c r="J3165" s="1334" t="s">
        <v>475</v>
      </c>
      <c r="K3165" s="1335" t="s">
        <v>475</v>
      </c>
      <c r="L3165" s="180">
        <v>0</v>
      </c>
      <c r="M3165" t="s">
        <v>7827</v>
      </c>
      <c r="N3165" t="str">
        <f t="shared" si="198"/>
        <v>DUGOUT-VISTOR (0038)</v>
      </c>
      <c r="O3165" t="s">
        <v>49</v>
      </c>
      <c r="P3165" t="str">
        <f t="shared" si="199"/>
        <v>54000_0038</v>
      </c>
      <c r="Q3165" s="180">
        <v>100</v>
      </c>
    </row>
    <row r="3166" spans="1:17">
      <c r="A3166" t="str">
        <f t="shared" si="196"/>
        <v>UWG_0039</v>
      </c>
      <c r="B3166" t="str">
        <f t="shared" si="197"/>
        <v>UWG_East Commons</v>
      </c>
      <c r="C3166" t="s">
        <v>456</v>
      </c>
      <c r="D3166" s="180" t="s">
        <v>33</v>
      </c>
      <c r="E3166" t="s">
        <v>584</v>
      </c>
      <c r="F3166" t="s">
        <v>6139</v>
      </c>
      <c r="G3166" s="180">
        <v>34172</v>
      </c>
      <c r="H3166">
        <v>2013</v>
      </c>
      <c r="J3166" s="1334" t="s">
        <v>486</v>
      </c>
      <c r="K3166" s="1335" t="s">
        <v>475</v>
      </c>
      <c r="L3166" s="180">
        <v>2</v>
      </c>
      <c r="M3166" t="s">
        <v>7827</v>
      </c>
      <c r="N3166" t="str">
        <f t="shared" si="198"/>
        <v>East Commons (0039)</v>
      </c>
      <c r="O3166" t="s">
        <v>49</v>
      </c>
      <c r="P3166" t="str">
        <f t="shared" si="199"/>
        <v>54000_0039</v>
      </c>
      <c r="Q3166" s="180">
        <v>0</v>
      </c>
    </row>
    <row r="3167" spans="1:17">
      <c r="A3167" t="str">
        <f t="shared" si="196"/>
        <v>UWG_0041</v>
      </c>
      <c r="B3167" t="str">
        <f t="shared" si="197"/>
        <v>UWG_CENTRAL ENERGY PLANT NORTHEAST</v>
      </c>
      <c r="C3167" t="s">
        <v>456</v>
      </c>
      <c r="D3167" s="180" t="s">
        <v>33</v>
      </c>
      <c r="E3167" t="s">
        <v>554</v>
      </c>
      <c r="F3167" t="s">
        <v>7803</v>
      </c>
      <c r="G3167" s="180">
        <v>4602</v>
      </c>
      <c r="H3167">
        <v>2024</v>
      </c>
      <c r="J3167" s="1334" t="s">
        <v>475</v>
      </c>
      <c r="K3167" s="1335" t="s">
        <v>920</v>
      </c>
      <c r="L3167" s="180">
        <v>100</v>
      </c>
      <c r="M3167" t="s">
        <v>7827</v>
      </c>
      <c r="N3167" t="str">
        <f t="shared" si="198"/>
        <v>CENTRAL ENERGY PLANT NORTHEAST (0041)</v>
      </c>
      <c r="O3167" t="s">
        <v>49</v>
      </c>
      <c r="P3167" t="str">
        <f t="shared" si="199"/>
        <v>54000_0041</v>
      </c>
      <c r="Q3167" s="180">
        <v>100</v>
      </c>
    </row>
    <row r="3168" spans="1:17">
      <c r="A3168" t="str">
        <f t="shared" si="196"/>
        <v>UWG_0042</v>
      </c>
      <c r="B3168" t="str">
        <f t="shared" si="197"/>
        <v>UWG_Rec Ct - STUDENT ACTIVITIES CT</v>
      </c>
      <c r="C3168" t="s">
        <v>456</v>
      </c>
      <c r="D3168" s="180" t="s">
        <v>33</v>
      </c>
      <c r="E3168" t="s">
        <v>2583</v>
      </c>
      <c r="F3168" t="s">
        <v>6228</v>
      </c>
      <c r="G3168" s="180">
        <v>9725</v>
      </c>
      <c r="H3168">
        <v>1981</v>
      </c>
      <c r="I3168">
        <v>1986</v>
      </c>
      <c r="J3168" s="1334" t="s">
        <v>475</v>
      </c>
      <c r="K3168" s="1335" t="s">
        <v>486</v>
      </c>
      <c r="L3168" s="180">
        <v>100</v>
      </c>
      <c r="M3168" t="s">
        <v>7827</v>
      </c>
      <c r="N3168" t="str">
        <f t="shared" si="198"/>
        <v>Rec Ct - STUDENT ACTIVITIES CT (0042)</v>
      </c>
      <c r="O3168" t="s">
        <v>49</v>
      </c>
      <c r="P3168" t="str">
        <f t="shared" si="199"/>
        <v>54000_0042</v>
      </c>
      <c r="Q3168" s="180">
        <v>100</v>
      </c>
    </row>
    <row r="3169" spans="1:17">
      <c r="A3169" t="str">
        <f t="shared" si="196"/>
        <v>UWG_0044</v>
      </c>
      <c r="B3169" t="str">
        <f t="shared" si="197"/>
        <v>UWG_Murphy Building</v>
      </c>
      <c r="C3169" t="s">
        <v>456</v>
      </c>
      <c r="D3169" s="180" t="s">
        <v>33</v>
      </c>
      <c r="E3169" t="s">
        <v>1707</v>
      </c>
      <c r="F3169" t="s">
        <v>6190</v>
      </c>
      <c r="G3169" s="180">
        <v>30980</v>
      </c>
      <c r="H3169">
        <v>1980</v>
      </c>
      <c r="I3169">
        <v>2017</v>
      </c>
      <c r="J3169" s="1334" t="s">
        <v>475</v>
      </c>
      <c r="K3169" s="1335" t="s">
        <v>486</v>
      </c>
      <c r="L3169" s="180">
        <v>94</v>
      </c>
      <c r="M3169" t="s">
        <v>7827</v>
      </c>
      <c r="N3169" t="str">
        <f t="shared" si="198"/>
        <v>Murphy Building (0044)</v>
      </c>
      <c r="O3169" t="s">
        <v>49</v>
      </c>
      <c r="P3169" t="str">
        <f t="shared" si="199"/>
        <v>54000_0044</v>
      </c>
      <c r="Q3169" s="180">
        <v>100</v>
      </c>
    </row>
    <row r="3170" spans="1:17">
      <c r="A3170" t="str">
        <f t="shared" si="196"/>
        <v>UWG_0048</v>
      </c>
      <c r="B3170" t="str">
        <f t="shared" si="197"/>
        <v>UWG_BASEBALL PRESS BOX</v>
      </c>
      <c r="C3170" t="s">
        <v>456</v>
      </c>
      <c r="D3170" s="180" t="s">
        <v>33</v>
      </c>
      <c r="E3170" t="s">
        <v>1105</v>
      </c>
      <c r="F3170" t="s">
        <v>6161</v>
      </c>
      <c r="G3170" s="180">
        <v>1716</v>
      </c>
      <c r="H3170">
        <v>1992</v>
      </c>
      <c r="J3170" s="1334" t="s">
        <v>475</v>
      </c>
      <c r="K3170" s="1335" t="s">
        <v>475</v>
      </c>
      <c r="L3170" s="180">
        <v>0</v>
      </c>
      <c r="M3170" t="s">
        <v>7827</v>
      </c>
      <c r="N3170" t="str">
        <f t="shared" si="198"/>
        <v>BASEBALL PRESS BOX (0048)</v>
      </c>
      <c r="O3170" t="s">
        <v>49</v>
      </c>
      <c r="P3170" t="str">
        <f t="shared" si="199"/>
        <v>54000_0048</v>
      </c>
      <c r="Q3170" s="180">
        <v>100</v>
      </c>
    </row>
    <row r="3171" spans="1:17">
      <c r="A3171" t="str">
        <f t="shared" si="196"/>
        <v>UWG_0049</v>
      </c>
      <c r="B3171" t="str">
        <f t="shared" si="197"/>
        <v>UWG_CMP CT - CAMPUS CENTER</v>
      </c>
      <c r="C3171" t="s">
        <v>456</v>
      </c>
      <c r="D3171" s="180" t="s">
        <v>33</v>
      </c>
      <c r="E3171" t="s">
        <v>4269</v>
      </c>
      <c r="F3171" t="s">
        <v>6172</v>
      </c>
      <c r="G3171" s="180">
        <v>149728</v>
      </c>
      <c r="H3171">
        <v>1965</v>
      </c>
      <c r="I3171">
        <v>2006</v>
      </c>
      <c r="J3171" s="1334" t="s">
        <v>486</v>
      </c>
      <c r="K3171" s="1335" t="s">
        <v>486</v>
      </c>
      <c r="L3171" s="180">
        <v>100</v>
      </c>
      <c r="M3171" t="s">
        <v>7827</v>
      </c>
      <c r="N3171" t="str">
        <f t="shared" si="198"/>
        <v>CMP CT - CAMPUS CENTER (0049)</v>
      </c>
      <c r="O3171" t="s">
        <v>49</v>
      </c>
      <c r="P3171" t="str">
        <f t="shared" si="199"/>
        <v>54000_0049</v>
      </c>
      <c r="Q3171" s="180">
        <v>100</v>
      </c>
    </row>
    <row r="3172" spans="1:17">
      <c r="A3172" t="str">
        <f t="shared" si="196"/>
        <v>UWG_0050</v>
      </c>
      <c r="B3172" t="str">
        <f t="shared" si="197"/>
        <v>UWG_UCC    - UNIV COMMUNITY CENTER</v>
      </c>
      <c r="C3172" t="s">
        <v>456</v>
      </c>
      <c r="D3172" s="180" t="s">
        <v>33</v>
      </c>
      <c r="E3172" t="s">
        <v>906</v>
      </c>
      <c r="F3172" t="s">
        <v>6216</v>
      </c>
      <c r="G3172" s="180">
        <v>57425</v>
      </c>
      <c r="H3172">
        <v>1967</v>
      </c>
      <c r="I3172">
        <v>1999</v>
      </c>
      <c r="J3172" s="1334" t="s">
        <v>475</v>
      </c>
      <c r="K3172" s="1335" t="s">
        <v>481</v>
      </c>
      <c r="L3172" s="180">
        <v>55</v>
      </c>
      <c r="M3172" t="s">
        <v>7827</v>
      </c>
      <c r="N3172" t="str">
        <f t="shared" si="198"/>
        <v>UCC    - UNIV COMMUNITY CENTER (0050)</v>
      </c>
      <c r="O3172" t="s">
        <v>49</v>
      </c>
      <c r="P3172" t="str">
        <f t="shared" si="199"/>
        <v>54000_0050</v>
      </c>
      <c r="Q3172" s="180">
        <v>100</v>
      </c>
    </row>
    <row r="3173" spans="1:17">
      <c r="A3173" t="str">
        <f t="shared" si="196"/>
        <v>UWG_0051</v>
      </c>
      <c r="B3173" t="str">
        <f t="shared" si="197"/>
        <v>UWG_Row   - Row Hall</v>
      </c>
      <c r="C3173" t="s">
        <v>456</v>
      </c>
      <c r="D3173" s="180" t="s">
        <v>33</v>
      </c>
      <c r="E3173" t="s">
        <v>600</v>
      </c>
      <c r="F3173" t="s">
        <v>6181</v>
      </c>
      <c r="G3173" s="180">
        <v>36787</v>
      </c>
      <c r="H3173">
        <v>1963</v>
      </c>
      <c r="J3173" s="1334" t="s">
        <v>475</v>
      </c>
      <c r="K3173" s="1335" t="s">
        <v>481</v>
      </c>
      <c r="L3173" s="180">
        <v>100</v>
      </c>
      <c r="M3173" t="s">
        <v>7827</v>
      </c>
      <c r="N3173" t="str">
        <f t="shared" si="198"/>
        <v>Row   - Row Hall (0051)</v>
      </c>
      <c r="O3173" t="s">
        <v>49</v>
      </c>
      <c r="P3173" t="str">
        <f t="shared" si="199"/>
        <v>54000_0051</v>
      </c>
      <c r="Q3173" s="180">
        <v>0</v>
      </c>
    </row>
    <row r="3174" spans="1:17">
      <c r="A3174" t="str">
        <f t="shared" si="196"/>
        <v>UWG_0053</v>
      </c>
      <c r="B3174" t="str">
        <f t="shared" si="197"/>
        <v>UWG_Aycock - AYCOCK HALL/ADMIN</v>
      </c>
      <c r="C3174" t="s">
        <v>456</v>
      </c>
      <c r="D3174" s="180" t="s">
        <v>33</v>
      </c>
      <c r="E3174" t="s">
        <v>2169</v>
      </c>
      <c r="F3174" t="s">
        <v>6204</v>
      </c>
      <c r="G3174" s="180">
        <v>28307</v>
      </c>
      <c r="H3174">
        <v>1952</v>
      </c>
      <c r="I3174">
        <v>2016</v>
      </c>
      <c r="J3174" s="1334" t="s">
        <v>475</v>
      </c>
      <c r="K3174" s="1335" t="s">
        <v>486</v>
      </c>
      <c r="L3174" s="180">
        <v>100</v>
      </c>
      <c r="M3174" t="s">
        <v>7827</v>
      </c>
      <c r="N3174" t="str">
        <f t="shared" si="198"/>
        <v>Aycock - AYCOCK HALL/ADMIN (0053)</v>
      </c>
      <c r="O3174" t="s">
        <v>49</v>
      </c>
      <c r="P3174" t="str">
        <f t="shared" si="199"/>
        <v>54000_0053</v>
      </c>
      <c r="Q3174" s="180">
        <v>100</v>
      </c>
    </row>
    <row r="3175" spans="1:17">
      <c r="A3175" t="str">
        <f t="shared" si="196"/>
        <v>UWG_0054</v>
      </c>
      <c r="B3175" t="str">
        <f t="shared" si="197"/>
        <v>UWG_Strozier Hall</v>
      </c>
      <c r="C3175" t="s">
        <v>456</v>
      </c>
      <c r="D3175" s="180" t="s">
        <v>33</v>
      </c>
      <c r="E3175" t="s">
        <v>840</v>
      </c>
      <c r="F3175" t="s">
        <v>6230</v>
      </c>
      <c r="G3175" s="180">
        <v>25176</v>
      </c>
      <c r="H3175">
        <v>1964</v>
      </c>
      <c r="J3175" s="1334" t="s">
        <v>475</v>
      </c>
      <c r="K3175" s="1335" t="s">
        <v>481</v>
      </c>
      <c r="L3175" s="180">
        <v>100</v>
      </c>
      <c r="M3175" t="s">
        <v>7827</v>
      </c>
      <c r="N3175" t="str">
        <f t="shared" si="198"/>
        <v>Strozier Hall (0054)</v>
      </c>
      <c r="O3175" t="s">
        <v>49</v>
      </c>
      <c r="P3175" t="str">
        <f t="shared" si="199"/>
        <v>54000_0054</v>
      </c>
      <c r="Q3175" s="180">
        <v>100</v>
      </c>
    </row>
    <row r="3176" spans="1:17">
      <c r="A3176" t="str">
        <f t="shared" si="196"/>
        <v>UWG_0055</v>
      </c>
      <c r="B3176" t="str">
        <f t="shared" si="197"/>
        <v>UWG_Strozier Annex</v>
      </c>
      <c r="C3176" t="s">
        <v>456</v>
      </c>
      <c r="D3176" s="180" t="s">
        <v>33</v>
      </c>
      <c r="E3176" t="s">
        <v>761</v>
      </c>
      <c r="F3176" t="s">
        <v>6183</v>
      </c>
      <c r="G3176" s="180">
        <v>26970</v>
      </c>
      <c r="H3176">
        <v>1972</v>
      </c>
      <c r="J3176" s="1334" t="s">
        <v>475</v>
      </c>
      <c r="K3176" s="1335" t="s">
        <v>481</v>
      </c>
      <c r="L3176" s="180">
        <v>0</v>
      </c>
      <c r="M3176" t="s">
        <v>7827</v>
      </c>
      <c r="N3176" t="str">
        <f t="shared" si="198"/>
        <v>Strozier Annex (0055)</v>
      </c>
      <c r="O3176" t="s">
        <v>49</v>
      </c>
      <c r="P3176" t="str">
        <f t="shared" si="199"/>
        <v>54000_0055</v>
      </c>
      <c r="Q3176" s="180">
        <v>100</v>
      </c>
    </row>
    <row r="3177" spans="1:17">
      <c r="A3177" t="str">
        <f t="shared" si="196"/>
        <v>UWG_0058</v>
      </c>
      <c r="B3177" t="str">
        <f t="shared" si="197"/>
        <v>UWG_Biolog - BIOLOGY BUILDING</v>
      </c>
      <c r="C3177" t="s">
        <v>456</v>
      </c>
      <c r="D3177" s="180" t="s">
        <v>33</v>
      </c>
      <c r="E3177" t="s">
        <v>516</v>
      </c>
      <c r="F3177" t="s">
        <v>6195</v>
      </c>
      <c r="G3177" s="180">
        <v>90551</v>
      </c>
      <c r="H3177">
        <v>1972</v>
      </c>
      <c r="I3177">
        <v>2017</v>
      </c>
      <c r="J3177" s="1334" t="s">
        <v>475</v>
      </c>
      <c r="K3177" s="1335" t="s">
        <v>475</v>
      </c>
      <c r="L3177" s="180">
        <v>100</v>
      </c>
      <c r="M3177" t="s">
        <v>7827</v>
      </c>
      <c r="N3177" t="str">
        <f t="shared" si="198"/>
        <v>Biolog - BIOLOGY BUILDING (0058)</v>
      </c>
      <c r="O3177" t="s">
        <v>49</v>
      </c>
      <c r="P3177" t="str">
        <f t="shared" si="199"/>
        <v>54000_0058</v>
      </c>
      <c r="Q3177" s="180">
        <v>98</v>
      </c>
    </row>
    <row r="3178" spans="1:17">
      <c r="A3178" t="str">
        <f t="shared" si="196"/>
        <v>UWG_0059</v>
      </c>
      <c r="B3178" t="str">
        <f t="shared" si="197"/>
        <v>UWG_CHEMICALS STORAGE</v>
      </c>
      <c r="C3178" t="s">
        <v>456</v>
      </c>
      <c r="D3178" s="180" t="s">
        <v>33</v>
      </c>
      <c r="E3178" t="s">
        <v>876</v>
      </c>
      <c r="F3178" t="s">
        <v>6144</v>
      </c>
      <c r="G3178" s="180">
        <v>262</v>
      </c>
      <c r="H3178">
        <v>1974</v>
      </c>
      <c r="J3178" s="1334" t="s">
        <v>475</v>
      </c>
      <c r="K3178" s="1335" t="s">
        <v>481</v>
      </c>
      <c r="L3178" s="180">
        <v>100</v>
      </c>
      <c r="M3178" t="s">
        <v>7827</v>
      </c>
      <c r="N3178" t="str">
        <f t="shared" si="198"/>
        <v>CHEMICALS STORAGE (0059)</v>
      </c>
      <c r="O3178" t="s">
        <v>49</v>
      </c>
      <c r="P3178" t="str">
        <f t="shared" si="199"/>
        <v>54000_0059</v>
      </c>
      <c r="Q3178" s="180">
        <v>87</v>
      </c>
    </row>
    <row r="3179" spans="1:17">
      <c r="A3179" t="str">
        <f t="shared" si="196"/>
        <v>UWG_0060</v>
      </c>
      <c r="B3179" t="str">
        <f t="shared" si="197"/>
        <v>UWG_Ed Ctr - EDUCATION CENTER</v>
      </c>
      <c r="C3179" t="s">
        <v>456</v>
      </c>
      <c r="D3179" s="180" t="s">
        <v>33</v>
      </c>
      <c r="E3179" t="s">
        <v>1113</v>
      </c>
      <c r="F3179" t="s">
        <v>6213</v>
      </c>
      <c r="G3179" s="180">
        <v>64880</v>
      </c>
      <c r="H3179">
        <v>1970</v>
      </c>
      <c r="I3179">
        <v>1989</v>
      </c>
      <c r="J3179" s="1334" t="s">
        <v>475</v>
      </c>
      <c r="K3179" s="1335" t="s">
        <v>481</v>
      </c>
      <c r="L3179" s="180">
        <v>100</v>
      </c>
      <c r="M3179" t="s">
        <v>7827</v>
      </c>
      <c r="N3179" t="str">
        <f t="shared" si="198"/>
        <v>Ed Ctr - EDUCATION CENTER (0060)</v>
      </c>
      <c r="O3179" t="s">
        <v>49</v>
      </c>
      <c r="P3179" t="str">
        <f t="shared" si="199"/>
        <v>54000_0060</v>
      </c>
      <c r="Q3179" s="180">
        <v>100</v>
      </c>
    </row>
    <row r="3180" spans="1:17">
      <c r="A3180" t="str">
        <f t="shared" si="196"/>
        <v>UWG_0061</v>
      </c>
      <c r="B3180" t="str">
        <f t="shared" si="197"/>
        <v>UWG_Roy Richards Sr. Hall</v>
      </c>
      <c r="C3180" t="s">
        <v>456</v>
      </c>
      <c r="D3180" s="180" t="s">
        <v>33</v>
      </c>
      <c r="E3180" t="s">
        <v>694</v>
      </c>
      <c r="F3180" t="s">
        <v>7156</v>
      </c>
      <c r="G3180" s="180">
        <v>68900</v>
      </c>
      <c r="H3180">
        <v>2021</v>
      </c>
      <c r="J3180" s="1334" t="s">
        <v>520</v>
      </c>
      <c r="K3180" s="1335" t="s">
        <v>475</v>
      </c>
      <c r="L3180" s="180">
        <v>100</v>
      </c>
      <c r="M3180" t="s">
        <v>7827</v>
      </c>
      <c r="N3180" t="str">
        <f t="shared" si="198"/>
        <v>Roy Richards Sr. Hall (0061)</v>
      </c>
      <c r="O3180" t="s">
        <v>49</v>
      </c>
      <c r="P3180" t="str">
        <f t="shared" si="199"/>
        <v>54000_0061</v>
      </c>
      <c r="Q3180" s="180">
        <v>100</v>
      </c>
    </row>
    <row r="3181" spans="1:17">
      <c r="A3181" t="str">
        <f t="shared" si="196"/>
        <v>UWG_0063</v>
      </c>
      <c r="B3181" t="str">
        <f t="shared" si="197"/>
        <v>UWG_Educ-A - EDUCATION ANNEX</v>
      </c>
      <c r="C3181" t="s">
        <v>456</v>
      </c>
      <c r="D3181" s="180" t="s">
        <v>33</v>
      </c>
      <c r="E3181" t="s">
        <v>5833</v>
      </c>
      <c r="F3181" t="s">
        <v>6217</v>
      </c>
      <c r="G3181" s="180">
        <v>42140</v>
      </c>
      <c r="H3181">
        <v>1993</v>
      </c>
      <c r="J3181" s="1334" t="s">
        <v>475</v>
      </c>
      <c r="K3181" s="1335" t="s">
        <v>486</v>
      </c>
      <c r="L3181" s="180">
        <v>100</v>
      </c>
      <c r="M3181" t="s">
        <v>7827</v>
      </c>
      <c r="N3181" t="str">
        <f t="shared" si="198"/>
        <v>Educ-A - EDUCATION ANNEX (0063)</v>
      </c>
      <c r="O3181" t="s">
        <v>49</v>
      </c>
      <c r="P3181" t="str">
        <f t="shared" si="199"/>
        <v>54000_0063</v>
      </c>
      <c r="Q3181" s="180">
        <v>100</v>
      </c>
    </row>
    <row r="3182" spans="1:17">
      <c r="A3182" t="str">
        <f t="shared" si="196"/>
        <v>UWG_0064</v>
      </c>
      <c r="B3182" t="str">
        <f t="shared" si="197"/>
        <v>UWG_WEST COMM HUB</v>
      </c>
      <c r="C3182" t="s">
        <v>456</v>
      </c>
      <c r="D3182" s="180" t="s">
        <v>33</v>
      </c>
      <c r="E3182" t="s">
        <v>912</v>
      </c>
      <c r="F3182" t="s">
        <v>6117</v>
      </c>
      <c r="G3182" s="180">
        <v>271</v>
      </c>
      <c r="H3182">
        <v>1994</v>
      </c>
      <c r="J3182" s="1334" t="s">
        <v>475</v>
      </c>
      <c r="K3182" s="1335" t="s">
        <v>475</v>
      </c>
      <c r="L3182" s="180">
        <v>100</v>
      </c>
      <c r="M3182" t="s">
        <v>7827</v>
      </c>
      <c r="N3182" t="str">
        <f t="shared" si="198"/>
        <v>WEST COMM HUB (0064)</v>
      </c>
      <c r="O3182" t="s">
        <v>49</v>
      </c>
      <c r="P3182" t="str">
        <f t="shared" si="199"/>
        <v>54000_0064</v>
      </c>
      <c r="Q3182" s="180">
        <v>0</v>
      </c>
    </row>
    <row r="3183" spans="1:17">
      <c r="A3183" t="str">
        <f t="shared" si="196"/>
        <v>UWG_0066</v>
      </c>
      <c r="B3183" t="str">
        <f t="shared" si="197"/>
        <v>UWG_Student Health Center</v>
      </c>
      <c r="C3183" t="s">
        <v>456</v>
      </c>
      <c r="D3183" s="180" t="s">
        <v>33</v>
      </c>
      <c r="E3183" t="s">
        <v>492</v>
      </c>
      <c r="F3183" t="s">
        <v>5885</v>
      </c>
      <c r="G3183" s="180">
        <v>14467</v>
      </c>
      <c r="H3183">
        <v>2018</v>
      </c>
      <c r="J3183" s="1334" t="s">
        <v>486</v>
      </c>
      <c r="K3183" s="1335" t="s">
        <v>475</v>
      </c>
      <c r="L3183" s="180">
        <v>0</v>
      </c>
      <c r="M3183" t="s">
        <v>7827</v>
      </c>
      <c r="N3183" t="str">
        <f t="shared" si="198"/>
        <v>Student Health Center (0066)</v>
      </c>
      <c r="O3183" t="s">
        <v>49</v>
      </c>
      <c r="P3183" t="str">
        <f t="shared" si="199"/>
        <v>54000_0066</v>
      </c>
      <c r="Q3183" s="180">
        <v>90</v>
      </c>
    </row>
    <row r="3184" spans="1:17">
      <c r="A3184" t="str">
        <f t="shared" si="196"/>
        <v>UWG_0067</v>
      </c>
      <c r="B3184" t="str">
        <f t="shared" si="197"/>
        <v>UWG_UWG Design Center</v>
      </c>
      <c r="C3184" t="s">
        <v>456</v>
      </c>
      <c r="D3184" s="180" t="s">
        <v>33</v>
      </c>
      <c r="E3184" t="s">
        <v>696</v>
      </c>
      <c r="F3184" t="s">
        <v>6222</v>
      </c>
      <c r="G3184" s="180">
        <v>6342</v>
      </c>
      <c r="H3184">
        <v>2013</v>
      </c>
      <c r="J3184" s="1334" t="s">
        <v>475</v>
      </c>
      <c r="K3184" s="1335" t="s">
        <v>475</v>
      </c>
      <c r="L3184" s="180">
        <v>100</v>
      </c>
      <c r="M3184" t="s">
        <v>7827</v>
      </c>
      <c r="N3184" t="str">
        <f t="shared" si="198"/>
        <v>UWG Design Center (0067)</v>
      </c>
      <c r="O3184" t="s">
        <v>49</v>
      </c>
      <c r="P3184" t="str">
        <f t="shared" si="199"/>
        <v>54000_0067</v>
      </c>
      <c r="Q3184" s="180">
        <v>100</v>
      </c>
    </row>
    <row r="3185" spans="1:17">
      <c r="A3185" t="str">
        <f t="shared" si="196"/>
        <v>UWG_0068</v>
      </c>
      <c r="B3185" t="str">
        <f t="shared" si="197"/>
        <v>UWG_Photography Studio</v>
      </c>
      <c r="C3185" t="s">
        <v>456</v>
      </c>
      <c r="D3185" s="180" t="s">
        <v>33</v>
      </c>
      <c r="E3185" t="s">
        <v>926</v>
      </c>
      <c r="F3185" t="s">
        <v>6170</v>
      </c>
      <c r="G3185" s="180">
        <v>973</v>
      </c>
      <c r="H3185">
        <v>2005</v>
      </c>
      <c r="J3185" s="1334" t="s">
        <v>475</v>
      </c>
      <c r="K3185" s="1335" t="s">
        <v>475</v>
      </c>
      <c r="L3185" s="180">
        <v>100</v>
      </c>
      <c r="M3185" t="s">
        <v>7827</v>
      </c>
      <c r="N3185" t="str">
        <f t="shared" si="198"/>
        <v>Photography Studio (0068)</v>
      </c>
      <c r="O3185" t="s">
        <v>49</v>
      </c>
      <c r="P3185" t="str">
        <f t="shared" si="199"/>
        <v>54000_0068</v>
      </c>
      <c r="Q3185" s="180">
        <v>100</v>
      </c>
    </row>
    <row r="3186" spans="1:17">
      <c r="A3186" t="str">
        <f t="shared" si="196"/>
        <v>UWG_0069</v>
      </c>
      <c r="B3186" t="str">
        <f t="shared" si="197"/>
        <v>UWG_Un Communication and Marketing</v>
      </c>
      <c r="C3186" t="s">
        <v>456</v>
      </c>
      <c r="D3186" s="180" t="s">
        <v>33</v>
      </c>
      <c r="E3186" t="s">
        <v>6218</v>
      </c>
      <c r="F3186" t="s">
        <v>6219</v>
      </c>
      <c r="G3186" s="180">
        <v>2673</v>
      </c>
      <c r="H3186">
        <v>1948</v>
      </c>
      <c r="J3186" s="1334" t="s">
        <v>475</v>
      </c>
      <c r="K3186" s="1335" t="s">
        <v>475</v>
      </c>
      <c r="L3186" s="180">
        <v>100</v>
      </c>
      <c r="M3186" t="s">
        <v>7827</v>
      </c>
      <c r="N3186" t="str">
        <f t="shared" si="198"/>
        <v>Un Communication and Marketing (0069)</v>
      </c>
      <c r="O3186" t="s">
        <v>49</v>
      </c>
      <c r="P3186" t="str">
        <f t="shared" si="199"/>
        <v>54000_0069</v>
      </c>
      <c r="Q3186" s="180">
        <v>100</v>
      </c>
    </row>
    <row r="3187" spans="1:17">
      <c r="A3187" t="str">
        <f t="shared" si="196"/>
        <v>UWG_0070</v>
      </c>
      <c r="B3187" t="str">
        <f t="shared" si="197"/>
        <v>UWG_Honor  - Honors House</v>
      </c>
      <c r="C3187" t="s">
        <v>456</v>
      </c>
      <c r="D3187" s="180" t="s">
        <v>33</v>
      </c>
      <c r="E3187" t="s">
        <v>4621</v>
      </c>
      <c r="F3187" t="s">
        <v>6138</v>
      </c>
      <c r="G3187" s="180">
        <v>3968</v>
      </c>
      <c r="H3187">
        <v>1907</v>
      </c>
      <c r="J3187" s="1334" t="s">
        <v>475</v>
      </c>
      <c r="K3187" s="1335" t="s">
        <v>486</v>
      </c>
      <c r="L3187" s="180">
        <v>100</v>
      </c>
      <c r="M3187" t="s">
        <v>7827</v>
      </c>
      <c r="N3187" t="str">
        <f t="shared" si="198"/>
        <v>Honor  - Honors House (0070)</v>
      </c>
      <c r="O3187" t="s">
        <v>49</v>
      </c>
      <c r="P3187" t="str">
        <f t="shared" si="199"/>
        <v>54000_0070</v>
      </c>
      <c r="Q3187" s="180">
        <v>92</v>
      </c>
    </row>
    <row r="3188" spans="1:17">
      <c r="A3188" t="str">
        <f t="shared" si="196"/>
        <v>UWG_0071</v>
      </c>
      <c r="B3188" t="str">
        <f t="shared" si="197"/>
        <v>UWG_Honor  - Honors Annex</v>
      </c>
      <c r="C3188" t="s">
        <v>456</v>
      </c>
      <c r="D3188" s="180" t="s">
        <v>33</v>
      </c>
      <c r="E3188" t="s">
        <v>739</v>
      </c>
      <c r="F3188" t="s">
        <v>6167</v>
      </c>
      <c r="G3188" s="180">
        <v>1122</v>
      </c>
      <c r="H3188">
        <v>1907</v>
      </c>
      <c r="I3188">
        <v>1986</v>
      </c>
      <c r="J3188" s="1334" t="s">
        <v>475</v>
      </c>
      <c r="K3188" s="1335" t="s">
        <v>486</v>
      </c>
      <c r="L3188" s="180">
        <v>100</v>
      </c>
      <c r="M3188" t="s">
        <v>7827</v>
      </c>
      <c r="N3188" t="str">
        <f t="shared" si="198"/>
        <v>Honor  - Honors Annex (0071)</v>
      </c>
      <c r="O3188" t="s">
        <v>49</v>
      </c>
      <c r="P3188" t="str">
        <f t="shared" si="199"/>
        <v>54000_0071</v>
      </c>
      <c r="Q3188" s="180">
        <v>100</v>
      </c>
    </row>
    <row r="3189" spans="1:17">
      <c r="A3189" t="str">
        <f t="shared" si="196"/>
        <v>UWG_0072</v>
      </c>
      <c r="B3189" t="str">
        <f t="shared" si="197"/>
        <v>UWG_ALUMNI HOUSE</v>
      </c>
      <c r="C3189" t="s">
        <v>456</v>
      </c>
      <c r="D3189" s="180" t="s">
        <v>33</v>
      </c>
      <c r="E3189" t="s">
        <v>819</v>
      </c>
      <c r="F3189" t="s">
        <v>6233</v>
      </c>
      <c r="G3189" s="180">
        <v>8518</v>
      </c>
      <c r="H3189">
        <v>1930</v>
      </c>
      <c r="J3189" s="1334" t="s">
        <v>475</v>
      </c>
      <c r="K3189" s="1335" t="s">
        <v>486</v>
      </c>
      <c r="L3189" s="180">
        <v>100</v>
      </c>
      <c r="M3189" t="s">
        <v>7827</v>
      </c>
      <c r="N3189" t="str">
        <f t="shared" si="198"/>
        <v>ALUMNI HOUSE (0072)</v>
      </c>
      <c r="O3189" t="s">
        <v>49</v>
      </c>
      <c r="P3189" t="str">
        <f t="shared" si="199"/>
        <v>54000_0072</v>
      </c>
      <c r="Q3189" s="180">
        <v>100</v>
      </c>
    </row>
    <row r="3190" spans="1:17">
      <c r="A3190" t="str">
        <f t="shared" si="196"/>
        <v>UWG_0073</v>
      </c>
      <c r="B3190" t="str">
        <f t="shared" si="197"/>
        <v>UWG_Tyus Hall</v>
      </c>
      <c r="C3190" t="s">
        <v>456</v>
      </c>
      <c r="D3190" s="180" t="s">
        <v>33</v>
      </c>
      <c r="E3190" t="s">
        <v>787</v>
      </c>
      <c r="F3190" t="s">
        <v>6174</v>
      </c>
      <c r="G3190" s="180">
        <v>52300</v>
      </c>
      <c r="H3190">
        <v>1973</v>
      </c>
      <c r="J3190" s="1334" t="s">
        <v>475</v>
      </c>
      <c r="K3190" s="1335" t="s">
        <v>520</v>
      </c>
      <c r="L3190" s="180">
        <v>0</v>
      </c>
      <c r="M3190" t="s">
        <v>7827</v>
      </c>
      <c r="N3190" t="str">
        <f t="shared" si="198"/>
        <v>Tyus Hall (0073)</v>
      </c>
      <c r="O3190" t="s">
        <v>49</v>
      </c>
      <c r="P3190" t="str">
        <f t="shared" si="199"/>
        <v>54000_0073</v>
      </c>
      <c r="Q3190" s="180">
        <v>100</v>
      </c>
    </row>
    <row r="3191" spans="1:17">
      <c r="A3191" t="str">
        <f t="shared" si="196"/>
        <v>UWG_0074</v>
      </c>
      <c r="B3191" t="str">
        <f t="shared" si="197"/>
        <v>UWG_FOOD SERVICE</v>
      </c>
      <c r="C3191" t="s">
        <v>456</v>
      </c>
      <c r="D3191" s="180" t="s">
        <v>33</v>
      </c>
      <c r="E3191" t="s">
        <v>550</v>
      </c>
      <c r="F3191" t="s">
        <v>4817</v>
      </c>
      <c r="G3191" s="180">
        <v>46393</v>
      </c>
      <c r="H3191">
        <v>1974</v>
      </c>
      <c r="I3191">
        <v>1992</v>
      </c>
      <c r="J3191" s="1334" t="s">
        <v>475</v>
      </c>
      <c r="K3191" s="1335" t="s">
        <v>1520</v>
      </c>
      <c r="L3191" s="180">
        <v>29</v>
      </c>
      <c r="M3191" t="s">
        <v>7827</v>
      </c>
      <c r="N3191" t="str">
        <f t="shared" si="198"/>
        <v>FOOD SERVICE (0074)</v>
      </c>
      <c r="O3191" t="s">
        <v>49</v>
      </c>
      <c r="P3191" t="str">
        <f t="shared" si="199"/>
        <v>54000_0074</v>
      </c>
      <c r="Q3191" s="180">
        <v>100</v>
      </c>
    </row>
    <row r="3192" spans="1:17">
      <c r="A3192" t="str">
        <f t="shared" si="196"/>
        <v>UWG_0075</v>
      </c>
      <c r="B3192" t="str">
        <f t="shared" si="197"/>
        <v>UWG_TRACK STORAGE</v>
      </c>
      <c r="C3192" t="s">
        <v>456</v>
      </c>
      <c r="D3192" s="180" t="s">
        <v>33</v>
      </c>
      <c r="E3192" t="s">
        <v>602</v>
      </c>
      <c r="F3192" t="s">
        <v>6175</v>
      </c>
      <c r="G3192" s="180">
        <v>800</v>
      </c>
      <c r="H3192">
        <v>1980</v>
      </c>
      <c r="J3192" s="1334" t="s">
        <v>475</v>
      </c>
      <c r="K3192" s="1335" t="s">
        <v>475</v>
      </c>
      <c r="L3192" s="180">
        <v>100</v>
      </c>
      <c r="M3192" t="s">
        <v>7827</v>
      </c>
      <c r="N3192" t="str">
        <f t="shared" si="198"/>
        <v>TRACK STORAGE (0075)</v>
      </c>
      <c r="O3192" t="s">
        <v>49</v>
      </c>
      <c r="P3192" t="str">
        <f t="shared" si="199"/>
        <v>54000_0075</v>
      </c>
      <c r="Q3192" s="180">
        <v>100</v>
      </c>
    </row>
    <row r="3193" spans="1:17">
      <c r="A3193" t="str">
        <f t="shared" si="196"/>
        <v>UWG_0076</v>
      </c>
      <c r="B3193" t="str">
        <f t="shared" si="197"/>
        <v>UWG_OBSERVATORY</v>
      </c>
      <c r="C3193" t="s">
        <v>456</v>
      </c>
      <c r="D3193" s="180" t="s">
        <v>33</v>
      </c>
      <c r="E3193" t="s">
        <v>878</v>
      </c>
      <c r="F3193" t="s">
        <v>6226</v>
      </c>
      <c r="G3193" s="180">
        <v>498</v>
      </c>
      <c r="H3193">
        <v>1979</v>
      </c>
      <c r="J3193" s="1334" t="s">
        <v>475</v>
      </c>
      <c r="K3193" s="1335" t="s">
        <v>475</v>
      </c>
      <c r="L3193" s="180">
        <v>100</v>
      </c>
      <c r="M3193" t="s">
        <v>7827</v>
      </c>
      <c r="N3193" t="str">
        <f t="shared" si="198"/>
        <v>OBSERVATORY (0076)</v>
      </c>
      <c r="O3193" t="s">
        <v>49</v>
      </c>
      <c r="P3193" t="str">
        <f t="shared" si="199"/>
        <v>54000_0076</v>
      </c>
      <c r="Q3193" s="180">
        <v>100</v>
      </c>
    </row>
    <row r="3194" spans="1:17">
      <c r="A3194" t="str">
        <f t="shared" si="196"/>
        <v>UWG_0077</v>
      </c>
      <c r="B3194" t="str">
        <f t="shared" si="197"/>
        <v>UWG_WARING ARCHAEOLOGY LAB</v>
      </c>
      <c r="C3194" t="s">
        <v>456</v>
      </c>
      <c r="D3194" s="180" t="s">
        <v>33</v>
      </c>
      <c r="E3194" t="s">
        <v>512</v>
      </c>
      <c r="F3194" t="s">
        <v>6132</v>
      </c>
      <c r="G3194" s="180">
        <v>8106</v>
      </c>
      <c r="H3194">
        <v>1992</v>
      </c>
      <c r="I3194">
        <v>2017</v>
      </c>
      <c r="J3194" s="1334" t="s">
        <v>475</v>
      </c>
      <c r="K3194" s="1335" t="s">
        <v>475</v>
      </c>
      <c r="L3194" s="180">
        <v>100</v>
      </c>
      <c r="M3194" t="s">
        <v>7827</v>
      </c>
      <c r="N3194" t="str">
        <f t="shared" si="198"/>
        <v>WARING ARCHAEOLOGY LAB (0077)</v>
      </c>
      <c r="O3194" t="s">
        <v>49</v>
      </c>
      <c r="P3194" t="str">
        <f t="shared" si="199"/>
        <v>54000_0077</v>
      </c>
      <c r="Q3194" s="180">
        <v>100</v>
      </c>
    </row>
    <row r="3195" spans="1:17">
      <c r="A3195" t="str">
        <f t="shared" si="196"/>
        <v>UWG_0078</v>
      </c>
      <c r="B3195" t="str">
        <f t="shared" si="197"/>
        <v>UWG_ARCHAEOLOGY UTILITY</v>
      </c>
      <c r="C3195" t="s">
        <v>456</v>
      </c>
      <c r="D3195" s="180" t="s">
        <v>33</v>
      </c>
      <c r="E3195" t="s">
        <v>5766</v>
      </c>
      <c r="F3195" t="s">
        <v>6114</v>
      </c>
      <c r="G3195" s="180">
        <v>288</v>
      </c>
      <c r="H3195">
        <v>1995</v>
      </c>
      <c r="J3195" s="1334" t="s">
        <v>475</v>
      </c>
      <c r="K3195" s="1335" t="s">
        <v>475</v>
      </c>
      <c r="L3195" s="180">
        <v>100</v>
      </c>
      <c r="M3195" t="s">
        <v>7827</v>
      </c>
      <c r="N3195" t="str">
        <f t="shared" si="198"/>
        <v>ARCHAEOLOGY UTILITY (0078)</v>
      </c>
      <c r="O3195" t="s">
        <v>49</v>
      </c>
      <c r="P3195" t="str">
        <f t="shared" si="199"/>
        <v>54000_0078</v>
      </c>
      <c r="Q3195" s="180">
        <v>0</v>
      </c>
    </row>
    <row r="3196" spans="1:17">
      <c r="A3196" t="str">
        <f t="shared" si="196"/>
        <v>UWG_0080</v>
      </c>
      <c r="B3196" t="str">
        <f t="shared" si="197"/>
        <v>UWG_PHYSICAL PLANT</v>
      </c>
      <c r="C3196" t="s">
        <v>456</v>
      </c>
      <c r="D3196" s="180" t="s">
        <v>33</v>
      </c>
      <c r="E3196" t="s">
        <v>1050</v>
      </c>
      <c r="F3196" t="s">
        <v>6127</v>
      </c>
      <c r="G3196" s="180">
        <v>14582</v>
      </c>
      <c r="H3196">
        <v>1972</v>
      </c>
      <c r="J3196" s="1334" t="s">
        <v>475</v>
      </c>
      <c r="K3196" s="1335" t="s">
        <v>481</v>
      </c>
      <c r="L3196" s="180">
        <v>100</v>
      </c>
      <c r="M3196" t="s">
        <v>7827</v>
      </c>
      <c r="N3196" t="str">
        <f t="shared" si="198"/>
        <v>PHYSICAL PLANT (0080)</v>
      </c>
      <c r="O3196" t="s">
        <v>49</v>
      </c>
      <c r="P3196" t="str">
        <f t="shared" si="199"/>
        <v>54000_0080</v>
      </c>
      <c r="Q3196" s="180">
        <v>100</v>
      </c>
    </row>
    <row r="3197" spans="1:17">
      <c r="A3197" t="str">
        <f t="shared" si="196"/>
        <v>UWG_0081</v>
      </c>
      <c r="B3197" t="str">
        <f t="shared" si="197"/>
        <v>UWG_WAREHOUSE-SUPPLIES</v>
      </c>
      <c r="C3197" t="s">
        <v>456</v>
      </c>
      <c r="D3197" s="180" t="s">
        <v>33</v>
      </c>
      <c r="E3197" t="s">
        <v>508</v>
      </c>
      <c r="F3197" t="s">
        <v>6112</v>
      </c>
      <c r="G3197" s="180">
        <v>7153</v>
      </c>
      <c r="H3197">
        <v>1972</v>
      </c>
      <c r="J3197" s="1334" t="s">
        <v>475</v>
      </c>
      <c r="K3197" s="1335" t="s">
        <v>486</v>
      </c>
      <c r="L3197" s="180">
        <v>100</v>
      </c>
      <c r="M3197" t="s">
        <v>7827</v>
      </c>
      <c r="N3197" t="str">
        <f t="shared" si="198"/>
        <v>WAREHOUSE-SUPPLIES (0081)</v>
      </c>
      <c r="O3197" t="s">
        <v>49</v>
      </c>
      <c r="P3197" t="str">
        <f t="shared" si="199"/>
        <v>54000_0081</v>
      </c>
      <c r="Q3197" s="180">
        <v>0</v>
      </c>
    </row>
    <row r="3198" spans="1:17">
      <c r="A3198" t="str">
        <f t="shared" si="196"/>
        <v>UWG_0082</v>
      </c>
      <c r="B3198" t="str">
        <f t="shared" si="197"/>
        <v>UWG_WAREHOUSE ANNEX</v>
      </c>
      <c r="C3198" t="s">
        <v>456</v>
      </c>
      <c r="D3198" s="180" t="s">
        <v>33</v>
      </c>
      <c r="E3198" t="s">
        <v>1009</v>
      </c>
      <c r="F3198" t="s">
        <v>6129</v>
      </c>
      <c r="G3198" s="180">
        <v>988</v>
      </c>
      <c r="H3198">
        <v>1974</v>
      </c>
      <c r="I3198">
        <v>2019</v>
      </c>
      <c r="J3198" s="1334" t="s">
        <v>475</v>
      </c>
      <c r="K3198" s="1335" t="s">
        <v>486</v>
      </c>
      <c r="L3198" s="180">
        <v>100</v>
      </c>
      <c r="M3198" t="s">
        <v>7827</v>
      </c>
      <c r="N3198" t="str">
        <f t="shared" si="198"/>
        <v>WAREHOUSE ANNEX (0082)</v>
      </c>
      <c r="O3198" t="s">
        <v>49</v>
      </c>
      <c r="P3198" t="str">
        <f t="shared" si="199"/>
        <v>54000_0082</v>
      </c>
      <c r="Q3198" s="180">
        <v>100</v>
      </c>
    </row>
    <row r="3199" spans="1:17">
      <c r="A3199" t="str">
        <f t="shared" si="196"/>
        <v>UWG_0083</v>
      </c>
      <c r="B3199" t="str">
        <f t="shared" si="197"/>
        <v>UWG_VEHICULAR REPAIR</v>
      </c>
      <c r="C3199" t="s">
        <v>456</v>
      </c>
      <c r="D3199" s="180" t="s">
        <v>33</v>
      </c>
      <c r="E3199" t="s">
        <v>1054</v>
      </c>
      <c r="F3199" t="s">
        <v>6197</v>
      </c>
      <c r="G3199" s="180">
        <v>3839</v>
      </c>
      <c r="H3199">
        <v>1972</v>
      </c>
      <c r="J3199" s="1334" t="s">
        <v>475</v>
      </c>
      <c r="K3199" s="1335" t="s">
        <v>486</v>
      </c>
      <c r="L3199" s="180">
        <v>100</v>
      </c>
      <c r="M3199" t="s">
        <v>7827</v>
      </c>
      <c r="N3199" t="str">
        <f t="shared" si="198"/>
        <v>VEHICULAR REPAIR (0083)</v>
      </c>
      <c r="O3199" t="s">
        <v>49</v>
      </c>
      <c r="P3199" t="str">
        <f t="shared" si="199"/>
        <v>54000_0083</v>
      </c>
      <c r="Q3199" s="180">
        <v>100</v>
      </c>
    </row>
    <row r="3200" spans="1:17">
      <c r="A3200" t="str">
        <f t="shared" si="196"/>
        <v>UWG_0084</v>
      </c>
      <c r="B3200" t="str">
        <f t="shared" si="197"/>
        <v>UWG_STORAGE WHSE-P OPS</v>
      </c>
      <c r="C3200" t="s">
        <v>456</v>
      </c>
      <c r="D3200" s="180" t="s">
        <v>33</v>
      </c>
      <c r="E3200" t="s">
        <v>726</v>
      </c>
      <c r="F3200" t="s">
        <v>6157</v>
      </c>
      <c r="G3200" s="180">
        <v>7976</v>
      </c>
      <c r="H3200">
        <v>1981</v>
      </c>
      <c r="J3200" s="1334" t="s">
        <v>475</v>
      </c>
      <c r="K3200" s="1335" t="s">
        <v>475</v>
      </c>
      <c r="L3200" s="180">
        <v>100</v>
      </c>
      <c r="M3200" t="s">
        <v>7827</v>
      </c>
      <c r="N3200" t="str">
        <f t="shared" si="198"/>
        <v>STORAGE WHSE-P OPS (0084)</v>
      </c>
      <c r="O3200" t="s">
        <v>49</v>
      </c>
      <c r="P3200" t="str">
        <f t="shared" si="199"/>
        <v>54000_0084</v>
      </c>
      <c r="Q3200" s="180">
        <v>100</v>
      </c>
    </row>
    <row r="3201" spans="1:17">
      <c r="A3201" t="str">
        <f t="shared" si="196"/>
        <v>UWG_0085</v>
      </c>
      <c r="B3201" t="str">
        <f t="shared" si="197"/>
        <v>UWG_Landscaping Storage Area</v>
      </c>
      <c r="C3201" t="s">
        <v>456</v>
      </c>
      <c r="D3201" s="180" t="s">
        <v>33</v>
      </c>
      <c r="E3201" t="s">
        <v>626</v>
      </c>
      <c r="F3201" t="s">
        <v>6166</v>
      </c>
      <c r="G3201" s="180">
        <v>1899</v>
      </c>
      <c r="H3201">
        <v>2002</v>
      </c>
      <c r="J3201" s="1334" t="s">
        <v>475</v>
      </c>
      <c r="K3201" s="1335" t="s">
        <v>475</v>
      </c>
      <c r="L3201" s="180">
        <v>100</v>
      </c>
      <c r="M3201" t="s">
        <v>7827</v>
      </c>
      <c r="N3201" t="str">
        <f t="shared" si="198"/>
        <v>Landscaping Storage Area (0085)</v>
      </c>
      <c r="O3201" t="s">
        <v>49</v>
      </c>
      <c r="P3201" t="str">
        <f t="shared" si="199"/>
        <v>54000_0085</v>
      </c>
      <c r="Q3201" s="180">
        <v>100</v>
      </c>
    </row>
    <row r="3202" spans="1:17">
      <c r="A3202" t="str">
        <f t="shared" si="196"/>
        <v>UWG_0086</v>
      </c>
      <c r="B3202" t="str">
        <f t="shared" si="197"/>
        <v>UWG_FACILITIES ANNEX</v>
      </c>
      <c r="C3202" t="s">
        <v>456</v>
      </c>
      <c r="D3202" s="180" t="s">
        <v>33</v>
      </c>
      <c r="E3202" t="s">
        <v>821</v>
      </c>
      <c r="F3202" t="s">
        <v>6133</v>
      </c>
      <c r="G3202" s="180">
        <v>3316</v>
      </c>
      <c r="H3202">
        <v>2019</v>
      </c>
      <c r="J3202" s="1334" t="s">
        <v>475</v>
      </c>
      <c r="K3202" s="1335" t="s">
        <v>475</v>
      </c>
      <c r="L3202" s="180">
        <v>100</v>
      </c>
      <c r="M3202" t="s">
        <v>7827</v>
      </c>
      <c r="N3202" t="str">
        <f t="shared" si="198"/>
        <v>FACILITIES ANNEX (0086)</v>
      </c>
      <c r="O3202" t="s">
        <v>49</v>
      </c>
      <c r="P3202" t="str">
        <f t="shared" si="199"/>
        <v>54000_0086</v>
      </c>
      <c r="Q3202" s="180">
        <v>100</v>
      </c>
    </row>
    <row r="3203" spans="1:17">
      <c r="A3203" t="str">
        <f t="shared" ref="A3203:A3266" si="200">_xlfn.CONCAT(D3203,"_",E3203)</f>
        <v>UWG_0088</v>
      </c>
      <c r="B3203" t="str">
        <f t="shared" ref="B3203:B3266" si="201">_xlfn.CONCAT(D3203,"_",F3203)</f>
        <v>UWG_Planning &amp; Construct Services</v>
      </c>
      <c r="C3203" t="s">
        <v>456</v>
      </c>
      <c r="D3203" s="180" t="s">
        <v>33</v>
      </c>
      <c r="E3203" t="s">
        <v>6162</v>
      </c>
      <c r="F3203" t="s">
        <v>6163</v>
      </c>
      <c r="G3203" s="180">
        <v>5013</v>
      </c>
      <c r="H3203">
        <v>1992</v>
      </c>
      <c r="I3203">
        <v>2013</v>
      </c>
      <c r="J3203" s="1334" t="s">
        <v>475</v>
      </c>
      <c r="K3203" s="1335" t="s">
        <v>475</v>
      </c>
      <c r="L3203" s="180">
        <v>100</v>
      </c>
      <c r="M3203" t="s">
        <v>7827</v>
      </c>
      <c r="N3203" t="str">
        <f t="shared" ref="N3203:N3266" si="202">_xlfn.CONCAT(F3203," (",E3203,")")</f>
        <v>Planning &amp; Construct Services (0088)</v>
      </c>
      <c r="O3203" t="s">
        <v>49</v>
      </c>
      <c r="P3203" t="str">
        <f t="shared" ref="P3203:P3266" si="203">_xlfn.CONCAT(C3203,"_",E3203)</f>
        <v>54000_0088</v>
      </c>
      <c r="Q3203" s="180">
        <v>100</v>
      </c>
    </row>
    <row r="3204" spans="1:17">
      <c r="A3204" t="str">
        <f t="shared" si="200"/>
        <v>UWG_0089</v>
      </c>
      <c r="B3204" t="str">
        <f t="shared" si="201"/>
        <v>UWG_Facilities Storage &amp; Shed</v>
      </c>
      <c r="C3204" t="s">
        <v>456</v>
      </c>
      <c r="D3204" s="180" t="s">
        <v>33</v>
      </c>
      <c r="E3204" t="s">
        <v>6153</v>
      </c>
      <c r="F3204" t="s">
        <v>6154</v>
      </c>
      <c r="G3204" s="180">
        <v>5056</v>
      </c>
      <c r="H3204">
        <v>1974</v>
      </c>
      <c r="J3204" s="1334" t="s">
        <v>475</v>
      </c>
      <c r="K3204" s="1335" t="s">
        <v>475</v>
      </c>
      <c r="L3204" s="180">
        <v>100</v>
      </c>
      <c r="M3204" t="s">
        <v>7827</v>
      </c>
      <c r="N3204" t="str">
        <f t="shared" si="202"/>
        <v>Facilities Storage &amp; Shed (0089)</v>
      </c>
      <c r="O3204" t="s">
        <v>49</v>
      </c>
      <c r="P3204" t="str">
        <f t="shared" si="203"/>
        <v>54000_0089</v>
      </c>
      <c r="Q3204" s="180">
        <v>100</v>
      </c>
    </row>
    <row r="3205" spans="1:17">
      <c r="A3205" t="str">
        <f t="shared" si="200"/>
        <v>UWG_0090</v>
      </c>
      <c r="B3205" t="str">
        <f t="shared" si="201"/>
        <v>UWG_Newnan Center</v>
      </c>
      <c r="C3205" t="s">
        <v>456</v>
      </c>
      <c r="D3205" s="180" t="s">
        <v>33</v>
      </c>
      <c r="E3205" t="s">
        <v>656</v>
      </c>
      <c r="F3205" t="s">
        <v>6130</v>
      </c>
      <c r="G3205">
        <v>89985</v>
      </c>
      <c r="H3205">
        <v>1925</v>
      </c>
      <c r="I3205">
        <v>2015</v>
      </c>
      <c r="J3205" s="1334" t="s">
        <v>475</v>
      </c>
      <c r="K3205" s="1335" t="s">
        <v>1520</v>
      </c>
      <c r="L3205" s="180">
        <v>100</v>
      </c>
      <c r="M3205" t="s">
        <v>112</v>
      </c>
      <c r="N3205" t="str">
        <f t="shared" si="202"/>
        <v>Newnan Center (0090)</v>
      </c>
      <c r="O3205" t="s">
        <v>49</v>
      </c>
      <c r="P3205" t="str">
        <f t="shared" si="203"/>
        <v>54000_0090</v>
      </c>
      <c r="Q3205" s="180">
        <v>95</v>
      </c>
    </row>
    <row r="3206" spans="1:17">
      <c r="A3206" t="str">
        <f t="shared" si="200"/>
        <v>UWG_0093</v>
      </c>
      <c r="B3206" t="str">
        <f t="shared" si="201"/>
        <v>UWG_Greek Village Pavilion</v>
      </c>
      <c r="C3206" t="s">
        <v>456</v>
      </c>
      <c r="D3206" s="180" t="s">
        <v>33</v>
      </c>
      <c r="E3206" t="s">
        <v>590</v>
      </c>
      <c r="F3206" t="s">
        <v>6160</v>
      </c>
      <c r="G3206" s="180">
        <v>2189</v>
      </c>
      <c r="H3206">
        <v>2011</v>
      </c>
      <c r="J3206" s="1334" t="s">
        <v>486</v>
      </c>
      <c r="K3206" s="1335" t="s">
        <v>475</v>
      </c>
      <c r="L3206" s="180">
        <v>100</v>
      </c>
      <c r="M3206" t="s">
        <v>7827</v>
      </c>
      <c r="N3206" t="str">
        <f t="shared" si="202"/>
        <v>Greek Village Pavilion (0093)</v>
      </c>
      <c r="O3206" t="s">
        <v>49</v>
      </c>
      <c r="P3206" t="str">
        <f t="shared" si="203"/>
        <v>54000_0093</v>
      </c>
      <c r="Q3206" s="180">
        <v>75</v>
      </c>
    </row>
    <row r="3207" spans="1:17">
      <c r="A3207" t="str">
        <f t="shared" si="200"/>
        <v>UWG_0098</v>
      </c>
      <c r="B3207" t="str">
        <f t="shared" si="201"/>
        <v>UWG_Public Safety Storage</v>
      </c>
      <c r="C3207" t="s">
        <v>456</v>
      </c>
      <c r="D3207" s="180" t="s">
        <v>33</v>
      </c>
      <c r="E3207" t="s">
        <v>914</v>
      </c>
      <c r="F3207" t="s">
        <v>6147</v>
      </c>
      <c r="G3207" s="180">
        <v>245</v>
      </c>
      <c r="H3207">
        <v>1988</v>
      </c>
      <c r="J3207" s="1334" t="s">
        <v>475</v>
      </c>
      <c r="K3207" s="1335" t="s">
        <v>475</v>
      </c>
      <c r="L3207" s="180">
        <v>100</v>
      </c>
      <c r="M3207" t="s">
        <v>7827</v>
      </c>
      <c r="N3207" t="str">
        <f t="shared" si="202"/>
        <v>Public Safety Storage (0098)</v>
      </c>
      <c r="O3207" t="s">
        <v>49</v>
      </c>
      <c r="P3207" t="str">
        <f t="shared" si="203"/>
        <v>54000_0098</v>
      </c>
      <c r="Q3207" s="180">
        <v>0</v>
      </c>
    </row>
    <row r="3208" spans="1:17">
      <c r="A3208" t="str">
        <f t="shared" si="200"/>
        <v>UWG_0100</v>
      </c>
      <c r="B3208" t="str">
        <f t="shared" si="201"/>
        <v>UWG_Facilities Storage Building</v>
      </c>
      <c r="C3208" t="s">
        <v>456</v>
      </c>
      <c r="D3208" s="180" t="s">
        <v>33</v>
      </c>
      <c r="E3208" t="s">
        <v>684</v>
      </c>
      <c r="F3208" t="s">
        <v>6220</v>
      </c>
      <c r="G3208" s="180">
        <v>10000</v>
      </c>
      <c r="H3208">
        <v>2006</v>
      </c>
      <c r="J3208" s="1334" t="s">
        <v>475</v>
      </c>
      <c r="K3208" s="1335" t="s">
        <v>475</v>
      </c>
      <c r="L3208" s="180">
        <v>100</v>
      </c>
      <c r="M3208" t="s">
        <v>7827</v>
      </c>
      <c r="N3208" t="str">
        <f t="shared" si="202"/>
        <v>Facilities Storage Building (0100)</v>
      </c>
      <c r="O3208" t="s">
        <v>49</v>
      </c>
      <c r="P3208" t="str">
        <f t="shared" si="203"/>
        <v>54000_0100</v>
      </c>
      <c r="Q3208" s="180">
        <v>0</v>
      </c>
    </row>
    <row r="3209" spans="1:17">
      <c r="A3209" t="str">
        <f t="shared" si="200"/>
        <v>UWG_0103</v>
      </c>
      <c r="B3209" t="str">
        <f t="shared" si="201"/>
        <v>UWG_PAC WAREHOUSE/STOR</v>
      </c>
      <c r="C3209" t="s">
        <v>456</v>
      </c>
      <c r="D3209" s="180" t="s">
        <v>33</v>
      </c>
      <c r="E3209" t="s">
        <v>535</v>
      </c>
      <c r="F3209" t="s">
        <v>6123</v>
      </c>
      <c r="G3209" s="180">
        <v>2244</v>
      </c>
      <c r="H3209">
        <v>1992</v>
      </c>
      <c r="J3209" s="1334" t="s">
        <v>475</v>
      </c>
      <c r="K3209" s="1335" t="s">
        <v>475</v>
      </c>
      <c r="L3209" s="180">
        <v>100</v>
      </c>
      <c r="M3209" t="s">
        <v>7827</v>
      </c>
      <c r="N3209" t="str">
        <f t="shared" si="202"/>
        <v>PAC WAREHOUSE/STOR (0103)</v>
      </c>
      <c r="O3209" t="s">
        <v>49</v>
      </c>
      <c r="P3209" t="str">
        <f t="shared" si="203"/>
        <v>54000_0103</v>
      </c>
      <c r="Q3209" s="180">
        <v>0</v>
      </c>
    </row>
    <row r="3210" spans="1:17">
      <c r="A3210" t="str">
        <f t="shared" si="200"/>
        <v>UWG_0104</v>
      </c>
      <c r="B3210" t="str">
        <f t="shared" si="201"/>
        <v>UWG_BAND STORAGE</v>
      </c>
      <c r="C3210" t="s">
        <v>456</v>
      </c>
      <c r="D3210" s="180" t="s">
        <v>33</v>
      </c>
      <c r="E3210" t="s">
        <v>686</v>
      </c>
      <c r="F3210" t="s">
        <v>6192</v>
      </c>
      <c r="G3210" s="180">
        <v>720</v>
      </c>
      <c r="H3210">
        <v>2003</v>
      </c>
      <c r="J3210" s="1334" t="s">
        <v>475</v>
      </c>
      <c r="K3210" s="1335" t="s">
        <v>475</v>
      </c>
      <c r="L3210" s="180">
        <v>100</v>
      </c>
      <c r="M3210" t="s">
        <v>7827</v>
      </c>
      <c r="N3210" t="str">
        <f t="shared" si="202"/>
        <v>BAND STORAGE (0104)</v>
      </c>
      <c r="O3210" t="s">
        <v>49</v>
      </c>
      <c r="P3210" t="str">
        <f t="shared" si="203"/>
        <v>54000_0104</v>
      </c>
      <c r="Q3210" s="180">
        <v>0</v>
      </c>
    </row>
    <row r="3211" spans="1:17">
      <c r="A3211" t="str">
        <f t="shared" si="200"/>
        <v>UWG_0105</v>
      </c>
      <c r="B3211" t="str">
        <f t="shared" si="201"/>
        <v>UWG_LANDSCAPE GREENHOUSE</v>
      </c>
      <c r="C3211" t="s">
        <v>456</v>
      </c>
      <c r="D3211" s="180" t="s">
        <v>33</v>
      </c>
      <c r="E3211" t="s">
        <v>916</v>
      </c>
      <c r="F3211" t="s">
        <v>6150</v>
      </c>
      <c r="G3211" s="180">
        <v>2880</v>
      </c>
      <c r="H3211">
        <v>2003</v>
      </c>
      <c r="J3211" s="1334" t="s">
        <v>475</v>
      </c>
      <c r="K3211" s="1335" t="s">
        <v>475</v>
      </c>
      <c r="L3211" s="180">
        <v>100</v>
      </c>
      <c r="M3211" t="s">
        <v>7827</v>
      </c>
      <c r="N3211" t="str">
        <f t="shared" si="202"/>
        <v>LANDSCAPE GREENHOUSE (0105)</v>
      </c>
      <c r="O3211" t="s">
        <v>49</v>
      </c>
      <c r="P3211" t="str">
        <f t="shared" si="203"/>
        <v>54000_0105</v>
      </c>
      <c r="Q3211" s="180">
        <v>0</v>
      </c>
    </row>
    <row r="3212" spans="1:17">
      <c r="A3212" t="str">
        <f t="shared" si="200"/>
        <v>UWG_0109</v>
      </c>
      <c r="B3212" t="str">
        <f t="shared" si="201"/>
        <v>UWG_Suite 1</v>
      </c>
      <c r="C3212" t="s">
        <v>456</v>
      </c>
      <c r="D3212" s="180" t="s">
        <v>33</v>
      </c>
      <c r="E3212" t="s">
        <v>894</v>
      </c>
      <c r="F3212" t="s">
        <v>6221</v>
      </c>
      <c r="G3212" s="180">
        <v>51704</v>
      </c>
      <c r="H3212">
        <v>2003</v>
      </c>
      <c r="J3212" s="1334" t="s">
        <v>486</v>
      </c>
      <c r="K3212" s="1335" t="s">
        <v>486</v>
      </c>
      <c r="L3212" s="180">
        <v>0</v>
      </c>
      <c r="M3212" t="s">
        <v>7827</v>
      </c>
      <c r="N3212" t="str">
        <f t="shared" si="202"/>
        <v>Suite 1 (0109)</v>
      </c>
      <c r="O3212" t="s">
        <v>49</v>
      </c>
      <c r="P3212" t="str">
        <f t="shared" si="203"/>
        <v>54000_0109</v>
      </c>
      <c r="Q3212" s="180">
        <v>0</v>
      </c>
    </row>
    <row r="3213" spans="1:17">
      <c r="A3213" t="str">
        <f t="shared" si="200"/>
        <v>UWG_0110</v>
      </c>
      <c r="B3213" t="str">
        <f t="shared" si="201"/>
        <v>UWG_Suite 2</v>
      </c>
      <c r="C3213" t="s">
        <v>456</v>
      </c>
      <c r="D3213" s="180" t="s">
        <v>33</v>
      </c>
      <c r="E3213" t="s">
        <v>666</v>
      </c>
      <c r="F3213" t="s">
        <v>6200</v>
      </c>
      <c r="G3213" s="180">
        <v>37175</v>
      </c>
      <c r="H3213">
        <v>2003</v>
      </c>
      <c r="J3213" s="1334" t="s">
        <v>486</v>
      </c>
      <c r="K3213" s="1335" t="s">
        <v>475</v>
      </c>
      <c r="L3213" s="180">
        <v>0</v>
      </c>
      <c r="M3213" t="s">
        <v>7827</v>
      </c>
      <c r="N3213" t="str">
        <f t="shared" si="202"/>
        <v>Suite 2 (0110)</v>
      </c>
      <c r="O3213" t="s">
        <v>49</v>
      </c>
      <c r="P3213" t="str">
        <f t="shared" si="203"/>
        <v>54000_0110</v>
      </c>
      <c r="Q3213" s="180">
        <v>0</v>
      </c>
    </row>
    <row r="3214" spans="1:17">
      <c r="A3214" t="str">
        <f t="shared" si="200"/>
        <v>UWG_0111</v>
      </c>
      <c r="B3214" t="str">
        <f t="shared" si="201"/>
        <v>UWG_Suite 3</v>
      </c>
      <c r="C3214" t="s">
        <v>456</v>
      </c>
      <c r="D3214" s="180" t="s">
        <v>33</v>
      </c>
      <c r="E3214" t="s">
        <v>834</v>
      </c>
      <c r="F3214" t="s">
        <v>6177</v>
      </c>
      <c r="G3214" s="180">
        <v>44075</v>
      </c>
      <c r="H3214">
        <v>2003</v>
      </c>
      <c r="J3214" s="1334" t="s">
        <v>486</v>
      </c>
      <c r="K3214" s="1335" t="s">
        <v>475</v>
      </c>
      <c r="L3214" s="180">
        <v>0</v>
      </c>
      <c r="M3214" t="s">
        <v>7827</v>
      </c>
      <c r="N3214" t="str">
        <f t="shared" si="202"/>
        <v>Suite 3 (0111)</v>
      </c>
      <c r="O3214" t="s">
        <v>49</v>
      </c>
      <c r="P3214" t="str">
        <f t="shared" si="203"/>
        <v>54000_0111</v>
      </c>
      <c r="Q3214" s="180">
        <v>0</v>
      </c>
    </row>
    <row r="3215" spans="1:17">
      <c r="A3215" t="str">
        <f t="shared" si="200"/>
        <v>UWG_0112</v>
      </c>
      <c r="B3215" t="str">
        <f t="shared" si="201"/>
        <v>UWG_Commons Building</v>
      </c>
      <c r="C3215" t="s">
        <v>456</v>
      </c>
      <c r="D3215" s="180" t="s">
        <v>33</v>
      </c>
      <c r="E3215" t="s">
        <v>5336</v>
      </c>
      <c r="F3215" t="s">
        <v>6234</v>
      </c>
      <c r="G3215" s="180">
        <v>7251</v>
      </c>
      <c r="H3215">
        <v>2004</v>
      </c>
      <c r="J3215" s="1334" t="s">
        <v>486</v>
      </c>
      <c r="K3215" s="1335" t="s">
        <v>475</v>
      </c>
      <c r="L3215" s="180">
        <v>40</v>
      </c>
      <c r="M3215" t="s">
        <v>7827</v>
      </c>
      <c r="N3215" t="str">
        <f t="shared" si="202"/>
        <v>Commons Building (0112)</v>
      </c>
      <c r="O3215" t="s">
        <v>49</v>
      </c>
      <c r="P3215" t="str">
        <f t="shared" si="203"/>
        <v>54000_0112</v>
      </c>
      <c r="Q3215" s="180">
        <v>0</v>
      </c>
    </row>
    <row r="3216" spans="1:17">
      <c r="A3216" t="str">
        <f t="shared" si="200"/>
        <v>UWG_0113</v>
      </c>
      <c r="B3216" t="str">
        <f t="shared" si="201"/>
        <v>UWG_Soccer Field Resroom</v>
      </c>
      <c r="C3216" t="s">
        <v>456</v>
      </c>
      <c r="D3216" s="180" t="s">
        <v>33</v>
      </c>
      <c r="E3216" t="s">
        <v>4362</v>
      </c>
      <c r="F3216" t="s">
        <v>6214</v>
      </c>
      <c r="G3216" s="180">
        <v>268</v>
      </c>
      <c r="H3216">
        <v>2004</v>
      </c>
      <c r="J3216" s="1334" t="s">
        <v>475</v>
      </c>
      <c r="K3216" s="1335" t="s">
        <v>475</v>
      </c>
      <c r="L3216" s="180">
        <v>0</v>
      </c>
      <c r="M3216" t="s">
        <v>7827</v>
      </c>
      <c r="N3216" t="str">
        <f t="shared" si="202"/>
        <v>Soccer Field Resroom (0113)</v>
      </c>
      <c r="O3216" t="s">
        <v>49</v>
      </c>
      <c r="P3216" t="str">
        <f t="shared" si="203"/>
        <v>54000_0113</v>
      </c>
      <c r="Q3216" s="180">
        <v>100</v>
      </c>
    </row>
    <row r="3217" spans="1:17">
      <c r="A3217" t="str">
        <f t="shared" si="200"/>
        <v>UWG_0114</v>
      </c>
      <c r="B3217" t="str">
        <f t="shared" si="201"/>
        <v>UWG_Landscaping Storage Shed</v>
      </c>
      <c r="C3217" t="s">
        <v>456</v>
      </c>
      <c r="D3217" s="180" t="s">
        <v>33</v>
      </c>
      <c r="E3217" t="s">
        <v>5349</v>
      </c>
      <c r="F3217" t="s">
        <v>6155</v>
      </c>
      <c r="G3217" s="180">
        <v>260</v>
      </c>
      <c r="H3217">
        <v>2004</v>
      </c>
      <c r="J3217" s="1334" t="s">
        <v>475</v>
      </c>
      <c r="K3217" s="1335" t="s">
        <v>475</v>
      </c>
      <c r="L3217" s="180">
        <v>100</v>
      </c>
      <c r="M3217" t="s">
        <v>7827</v>
      </c>
      <c r="N3217" t="str">
        <f t="shared" si="202"/>
        <v>Landscaping Storage Shed (0114)</v>
      </c>
      <c r="O3217" t="s">
        <v>49</v>
      </c>
      <c r="P3217" t="str">
        <f t="shared" si="203"/>
        <v>54000_0114</v>
      </c>
      <c r="Q3217" s="180">
        <v>0</v>
      </c>
    </row>
    <row r="3218" spans="1:17">
      <c r="A3218" t="str">
        <f t="shared" si="200"/>
        <v>UWG_0115</v>
      </c>
      <c r="B3218" t="str">
        <f t="shared" si="201"/>
        <v>UWG_Arbor View A</v>
      </c>
      <c r="C3218" t="s">
        <v>456</v>
      </c>
      <c r="D3218" s="180" t="s">
        <v>33</v>
      </c>
      <c r="E3218" t="s">
        <v>789</v>
      </c>
      <c r="F3218" t="s">
        <v>6128</v>
      </c>
      <c r="G3218" s="180">
        <v>76668</v>
      </c>
      <c r="H3218">
        <v>2004</v>
      </c>
      <c r="J3218" s="1334" t="s">
        <v>486</v>
      </c>
      <c r="K3218" s="1335" t="s">
        <v>486</v>
      </c>
      <c r="L3218" s="180">
        <v>0</v>
      </c>
      <c r="M3218" t="s">
        <v>7827</v>
      </c>
      <c r="N3218" t="str">
        <f t="shared" si="202"/>
        <v>Arbor View A (0115)</v>
      </c>
      <c r="O3218" t="s">
        <v>49</v>
      </c>
      <c r="P3218" t="str">
        <f t="shared" si="203"/>
        <v>54000_0115</v>
      </c>
      <c r="Q3218" s="180">
        <v>0</v>
      </c>
    </row>
    <row r="3219" spans="1:17">
      <c r="A3219" t="str">
        <f t="shared" si="200"/>
        <v>UWG_0116</v>
      </c>
      <c r="B3219" t="str">
        <f t="shared" si="201"/>
        <v>UWG_Arbor View B</v>
      </c>
      <c r="C3219" t="s">
        <v>456</v>
      </c>
      <c r="D3219" s="180" t="s">
        <v>33</v>
      </c>
      <c r="E3219" t="s">
        <v>781</v>
      </c>
      <c r="F3219" t="s">
        <v>6223</v>
      </c>
      <c r="G3219" s="180">
        <v>64923</v>
      </c>
      <c r="H3219">
        <v>2004</v>
      </c>
      <c r="J3219" s="1334" t="s">
        <v>486</v>
      </c>
      <c r="K3219" s="1335" t="s">
        <v>486</v>
      </c>
      <c r="L3219" s="180">
        <v>0</v>
      </c>
      <c r="M3219" t="s">
        <v>7827</v>
      </c>
      <c r="N3219" t="str">
        <f t="shared" si="202"/>
        <v>Arbor View B (0116)</v>
      </c>
      <c r="O3219" t="s">
        <v>49</v>
      </c>
      <c r="P3219" t="str">
        <f t="shared" si="203"/>
        <v>54000_0116</v>
      </c>
      <c r="Q3219" s="180">
        <v>0</v>
      </c>
    </row>
    <row r="3220" spans="1:17">
      <c r="A3220" t="str">
        <f t="shared" si="200"/>
        <v>UWG_0117</v>
      </c>
      <c r="B3220" t="str">
        <f t="shared" si="201"/>
        <v>UWG_Arbor View C</v>
      </c>
      <c r="C3220" t="s">
        <v>456</v>
      </c>
      <c r="D3220" s="180" t="s">
        <v>33</v>
      </c>
      <c r="E3220" t="s">
        <v>604</v>
      </c>
      <c r="F3220" t="s">
        <v>6169</v>
      </c>
      <c r="G3220" s="180">
        <v>55577</v>
      </c>
      <c r="H3220">
        <v>2004</v>
      </c>
      <c r="J3220" s="1334" t="s">
        <v>486</v>
      </c>
      <c r="K3220" s="1335" t="s">
        <v>486</v>
      </c>
      <c r="L3220" s="180">
        <v>0</v>
      </c>
      <c r="M3220" t="s">
        <v>7827</v>
      </c>
      <c r="N3220" t="str">
        <f t="shared" si="202"/>
        <v>Arbor View C (0117)</v>
      </c>
      <c r="O3220" t="s">
        <v>49</v>
      </c>
      <c r="P3220" t="str">
        <f t="shared" si="203"/>
        <v>54000_0117</v>
      </c>
      <c r="Q3220" s="180">
        <v>0</v>
      </c>
    </row>
    <row r="3221" spans="1:17">
      <c r="A3221" t="str">
        <f t="shared" si="200"/>
        <v>UWG_0118</v>
      </c>
      <c r="B3221" t="str">
        <f t="shared" si="201"/>
        <v>UWG_Greek Village A Kappa Delta</v>
      </c>
      <c r="C3221" t="s">
        <v>456</v>
      </c>
      <c r="D3221" s="180" t="s">
        <v>33</v>
      </c>
      <c r="E3221" t="s">
        <v>630</v>
      </c>
      <c r="F3221" t="s">
        <v>6182</v>
      </c>
      <c r="G3221" s="180">
        <v>6778</v>
      </c>
      <c r="H3221">
        <v>2009</v>
      </c>
      <c r="J3221" s="1334" t="s">
        <v>486</v>
      </c>
      <c r="K3221" s="1335" t="s">
        <v>486</v>
      </c>
      <c r="L3221" s="180">
        <v>0</v>
      </c>
      <c r="M3221" t="s">
        <v>7827</v>
      </c>
      <c r="N3221" t="str">
        <f t="shared" si="202"/>
        <v>Greek Village A Kappa Delta (0118)</v>
      </c>
      <c r="O3221" t="s">
        <v>49</v>
      </c>
      <c r="P3221" t="str">
        <f t="shared" si="203"/>
        <v>54000_0118</v>
      </c>
      <c r="Q3221" s="180">
        <v>0</v>
      </c>
    </row>
    <row r="3222" spans="1:17">
      <c r="A3222" t="str">
        <f t="shared" si="200"/>
        <v>UWG_0119</v>
      </c>
      <c r="B3222" t="str">
        <f t="shared" si="201"/>
        <v>UWG_Greek Village B Kappa Alpha</v>
      </c>
      <c r="C3222" t="s">
        <v>456</v>
      </c>
      <c r="D3222" s="180" t="s">
        <v>33</v>
      </c>
      <c r="E3222" t="s">
        <v>771</v>
      </c>
      <c r="F3222" t="s">
        <v>6201</v>
      </c>
      <c r="G3222" s="180">
        <v>5564</v>
      </c>
      <c r="H3222">
        <v>2009</v>
      </c>
      <c r="J3222" s="1334" t="s">
        <v>486</v>
      </c>
      <c r="K3222" s="1335" t="s">
        <v>486</v>
      </c>
      <c r="L3222" s="180">
        <v>0</v>
      </c>
      <c r="M3222" t="s">
        <v>7827</v>
      </c>
      <c r="N3222" t="str">
        <f t="shared" si="202"/>
        <v>Greek Village B Kappa Alpha (0119)</v>
      </c>
      <c r="O3222" t="s">
        <v>49</v>
      </c>
      <c r="P3222" t="str">
        <f t="shared" si="203"/>
        <v>54000_0119</v>
      </c>
      <c r="Q3222" s="180">
        <v>0</v>
      </c>
    </row>
    <row r="3223" spans="1:17">
      <c r="A3223" t="str">
        <f t="shared" si="200"/>
        <v>UWG_0120</v>
      </c>
      <c r="B3223" t="str">
        <f t="shared" si="201"/>
        <v>UWG_Greek Village C Pi Kappa Phi</v>
      </c>
      <c r="C3223" t="s">
        <v>456</v>
      </c>
      <c r="D3223" s="180" t="s">
        <v>33</v>
      </c>
      <c r="E3223" t="s">
        <v>1812</v>
      </c>
      <c r="F3223" t="s">
        <v>6184</v>
      </c>
      <c r="G3223" s="180">
        <v>6780</v>
      </c>
      <c r="H3223">
        <v>2009</v>
      </c>
      <c r="J3223" s="1334" t="s">
        <v>486</v>
      </c>
      <c r="K3223" s="1335" t="s">
        <v>486</v>
      </c>
      <c r="L3223" s="180">
        <v>0</v>
      </c>
      <c r="M3223" t="s">
        <v>7827</v>
      </c>
      <c r="N3223" t="str">
        <f t="shared" si="202"/>
        <v>Greek Village C Pi Kappa Phi (0120)</v>
      </c>
      <c r="O3223" t="s">
        <v>49</v>
      </c>
      <c r="P3223" t="str">
        <f t="shared" si="203"/>
        <v>54000_0120</v>
      </c>
      <c r="Q3223" s="180">
        <v>0</v>
      </c>
    </row>
    <row r="3224" spans="1:17">
      <c r="A3224" t="str">
        <f t="shared" si="200"/>
        <v>UWG_0121</v>
      </c>
      <c r="B3224" t="str">
        <f t="shared" si="201"/>
        <v>UWG_Greek Village D Alpha Xi Delta</v>
      </c>
      <c r="C3224" t="s">
        <v>456</v>
      </c>
      <c r="D3224" s="180" t="s">
        <v>33</v>
      </c>
      <c r="E3224" t="s">
        <v>1432</v>
      </c>
      <c r="F3224" t="s">
        <v>6148</v>
      </c>
      <c r="G3224" s="180">
        <v>6780</v>
      </c>
      <c r="H3224">
        <v>2009</v>
      </c>
      <c r="J3224" s="1334" t="s">
        <v>486</v>
      </c>
      <c r="K3224" s="1335" t="s">
        <v>486</v>
      </c>
      <c r="L3224" s="180">
        <v>0</v>
      </c>
      <c r="M3224" t="s">
        <v>7827</v>
      </c>
      <c r="N3224" t="str">
        <f t="shared" si="202"/>
        <v>Greek Village D Alpha Xi Delta (0121)</v>
      </c>
      <c r="O3224" t="s">
        <v>49</v>
      </c>
      <c r="P3224" t="str">
        <f t="shared" si="203"/>
        <v>54000_0121</v>
      </c>
      <c r="Q3224" s="180">
        <v>0</v>
      </c>
    </row>
    <row r="3225" spans="1:17">
      <c r="A3225" t="str">
        <f t="shared" si="200"/>
        <v>UWG_0122</v>
      </c>
      <c r="B3225" t="str">
        <f t="shared" si="201"/>
        <v>UWG_Greek Village E Alpha Tao Omeg</v>
      </c>
      <c r="C3225" t="s">
        <v>456</v>
      </c>
      <c r="D3225" s="180" t="s">
        <v>33</v>
      </c>
      <c r="E3225" t="s">
        <v>4135</v>
      </c>
      <c r="F3225" t="s">
        <v>6151</v>
      </c>
      <c r="G3225" s="180">
        <v>5563</v>
      </c>
      <c r="H3225">
        <v>2009</v>
      </c>
      <c r="J3225" s="1334" t="s">
        <v>486</v>
      </c>
      <c r="K3225" s="1335" t="s">
        <v>486</v>
      </c>
      <c r="L3225" s="180">
        <v>0</v>
      </c>
      <c r="M3225" t="s">
        <v>7827</v>
      </c>
      <c r="N3225" t="str">
        <f t="shared" si="202"/>
        <v>Greek Village E Alpha Tao Omeg (0122)</v>
      </c>
      <c r="O3225" t="s">
        <v>49</v>
      </c>
      <c r="P3225" t="str">
        <f t="shared" si="203"/>
        <v>54000_0122</v>
      </c>
      <c r="Q3225" s="180">
        <v>0</v>
      </c>
    </row>
    <row r="3226" spans="1:17">
      <c r="A3226" t="str">
        <f t="shared" si="200"/>
        <v>UWG_0123</v>
      </c>
      <c r="B3226" t="str">
        <f t="shared" si="201"/>
        <v>UWG_Greek Village F Alpha Gam</v>
      </c>
      <c r="C3226" t="s">
        <v>456</v>
      </c>
      <c r="D3226" s="180" t="s">
        <v>33</v>
      </c>
      <c r="E3226" t="s">
        <v>632</v>
      </c>
      <c r="F3226" t="s">
        <v>6140</v>
      </c>
      <c r="G3226" s="180">
        <v>6780</v>
      </c>
      <c r="H3226">
        <v>2009</v>
      </c>
      <c r="J3226" s="1334" t="s">
        <v>486</v>
      </c>
      <c r="K3226" s="1335" t="s">
        <v>486</v>
      </c>
      <c r="L3226" s="180">
        <v>0</v>
      </c>
      <c r="M3226" t="s">
        <v>7827</v>
      </c>
      <c r="N3226" t="str">
        <f t="shared" si="202"/>
        <v>Greek Village F Alpha Gam (0123)</v>
      </c>
      <c r="O3226" t="s">
        <v>49</v>
      </c>
      <c r="P3226" t="str">
        <f t="shared" si="203"/>
        <v>54000_0123</v>
      </c>
      <c r="Q3226" s="180">
        <v>100</v>
      </c>
    </row>
    <row r="3227" spans="1:17">
      <c r="A3227" t="str">
        <f t="shared" si="200"/>
        <v>UWG_0124</v>
      </c>
      <c r="B3227" t="str">
        <f t="shared" si="201"/>
        <v>UWG_Greek Village G Delta Chi</v>
      </c>
      <c r="C3227" t="s">
        <v>456</v>
      </c>
      <c r="D3227" s="180" t="s">
        <v>33</v>
      </c>
      <c r="E3227" t="s">
        <v>773</v>
      </c>
      <c r="F3227" t="s">
        <v>6118</v>
      </c>
      <c r="G3227" s="180">
        <v>3644</v>
      </c>
      <c r="H3227">
        <v>2009</v>
      </c>
      <c r="J3227" s="1334" t="s">
        <v>486</v>
      </c>
      <c r="K3227" s="1335" t="s">
        <v>486</v>
      </c>
      <c r="L3227" s="180">
        <v>0</v>
      </c>
      <c r="M3227" t="s">
        <v>7827</v>
      </c>
      <c r="N3227" t="str">
        <f t="shared" si="202"/>
        <v>Greek Village G Delta Chi (0124)</v>
      </c>
      <c r="O3227" t="s">
        <v>49</v>
      </c>
      <c r="P3227" t="str">
        <f t="shared" si="203"/>
        <v>54000_0124</v>
      </c>
      <c r="Q3227" s="180">
        <v>90</v>
      </c>
    </row>
    <row r="3228" spans="1:17">
      <c r="A3228" t="str">
        <f t="shared" si="200"/>
        <v>UWG_0125</v>
      </c>
      <c r="B3228" t="str">
        <f t="shared" si="201"/>
        <v>UWG_Greek Village H Tri Delta</v>
      </c>
      <c r="C3228" t="s">
        <v>456</v>
      </c>
      <c r="D3228" s="180" t="s">
        <v>33</v>
      </c>
      <c r="E3228" t="s">
        <v>687</v>
      </c>
      <c r="F3228" t="s">
        <v>6191</v>
      </c>
      <c r="G3228" s="180">
        <v>6780</v>
      </c>
      <c r="H3228">
        <v>2009</v>
      </c>
      <c r="J3228" s="1334" t="s">
        <v>486</v>
      </c>
      <c r="K3228" s="1335" t="s">
        <v>486</v>
      </c>
      <c r="L3228" s="180">
        <v>0</v>
      </c>
      <c r="M3228" t="s">
        <v>7827</v>
      </c>
      <c r="N3228" t="str">
        <f t="shared" si="202"/>
        <v>Greek Village H Tri Delta (0125)</v>
      </c>
      <c r="O3228" t="s">
        <v>49</v>
      </c>
      <c r="P3228" t="str">
        <f t="shared" si="203"/>
        <v>54000_0125</v>
      </c>
      <c r="Q3228" s="180">
        <v>98</v>
      </c>
    </row>
    <row r="3229" spans="1:17">
      <c r="A3229" t="str">
        <f t="shared" si="200"/>
        <v>UWG_0126</v>
      </c>
      <c r="B3229" t="str">
        <f t="shared" si="201"/>
        <v>UWG_Greek Village I Pi Kappa Alpha</v>
      </c>
      <c r="C3229" t="s">
        <v>456</v>
      </c>
      <c r="D3229" s="180" t="s">
        <v>33</v>
      </c>
      <c r="E3229" t="s">
        <v>556</v>
      </c>
      <c r="F3229" t="s">
        <v>6206</v>
      </c>
      <c r="G3229" s="180">
        <v>5564</v>
      </c>
      <c r="H3229">
        <v>2009</v>
      </c>
      <c r="J3229" s="1334" t="s">
        <v>486</v>
      </c>
      <c r="K3229" s="1335" t="s">
        <v>486</v>
      </c>
      <c r="L3229" s="180">
        <v>0</v>
      </c>
      <c r="M3229" t="s">
        <v>7827</v>
      </c>
      <c r="N3229" t="str">
        <f t="shared" si="202"/>
        <v>Greek Village I Pi Kappa Alpha (0126)</v>
      </c>
      <c r="O3229" t="s">
        <v>49</v>
      </c>
      <c r="P3229" t="str">
        <f t="shared" si="203"/>
        <v>54000_0126</v>
      </c>
      <c r="Q3229" s="180">
        <v>0</v>
      </c>
    </row>
    <row r="3230" spans="1:17">
      <c r="A3230" t="str">
        <f t="shared" si="200"/>
        <v>UWG_0127</v>
      </c>
      <c r="B3230" t="str">
        <f t="shared" si="201"/>
        <v>UWG_Greek Village J Phi Mu</v>
      </c>
      <c r="C3230" t="s">
        <v>456</v>
      </c>
      <c r="D3230" s="180" t="s">
        <v>33</v>
      </c>
      <c r="E3230" t="s">
        <v>5790</v>
      </c>
      <c r="F3230" t="s">
        <v>6145</v>
      </c>
      <c r="G3230" s="180">
        <v>6779</v>
      </c>
      <c r="H3230">
        <v>2009</v>
      </c>
      <c r="J3230" s="1334" t="s">
        <v>486</v>
      </c>
      <c r="K3230" s="1335" t="s">
        <v>486</v>
      </c>
      <c r="L3230" s="180">
        <v>0</v>
      </c>
      <c r="M3230" t="s">
        <v>7827</v>
      </c>
      <c r="N3230" t="str">
        <f t="shared" si="202"/>
        <v>Greek Village J Phi Mu (0127)</v>
      </c>
      <c r="O3230" t="s">
        <v>49</v>
      </c>
      <c r="P3230" t="str">
        <f t="shared" si="203"/>
        <v>54000_0127</v>
      </c>
      <c r="Q3230" s="180">
        <v>0</v>
      </c>
    </row>
    <row r="3231" spans="1:17">
      <c r="A3231" t="str">
        <f t="shared" si="200"/>
        <v>UWG_0128</v>
      </c>
      <c r="B3231" t="str">
        <f t="shared" si="201"/>
        <v>UWG_Greek Village K Transfer</v>
      </c>
      <c r="C3231" t="s">
        <v>456</v>
      </c>
      <c r="D3231" s="180" t="s">
        <v>33</v>
      </c>
      <c r="E3231" t="s">
        <v>5800</v>
      </c>
      <c r="F3231" t="s">
        <v>6119</v>
      </c>
      <c r="G3231" s="180">
        <v>4000</v>
      </c>
      <c r="H3231">
        <v>2009</v>
      </c>
      <c r="J3231" s="1334" t="s">
        <v>486</v>
      </c>
      <c r="K3231" s="1335" t="s">
        <v>486</v>
      </c>
      <c r="L3231" s="180">
        <v>0</v>
      </c>
      <c r="M3231" t="s">
        <v>7827</v>
      </c>
      <c r="N3231" t="str">
        <f t="shared" si="202"/>
        <v>Greek Village K Transfer (0128)</v>
      </c>
      <c r="O3231" t="s">
        <v>49</v>
      </c>
      <c r="P3231" t="str">
        <f t="shared" si="203"/>
        <v>54000_0128</v>
      </c>
      <c r="Q3231" s="180">
        <v>0</v>
      </c>
    </row>
    <row r="3232" spans="1:17">
      <c r="A3232" t="str">
        <f t="shared" si="200"/>
        <v>UWG_0129</v>
      </c>
      <c r="B3232" t="str">
        <f t="shared" si="201"/>
        <v>UWG_Greek Village L Transfer</v>
      </c>
      <c r="C3232" t="s">
        <v>456</v>
      </c>
      <c r="D3232" s="180" t="s">
        <v>33</v>
      </c>
      <c r="E3232" t="s">
        <v>823</v>
      </c>
      <c r="F3232" t="s">
        <v>6141</v>
      </c>
      <c r="G3232" s="180">
        <v>3645</v>
      </c>
      <c r="H3232">
        <v>2009</v>
      </c>
      <c r="J3232" s="1334" t="s">
        <v>486</v>
      </c>
      <c r="K3232" s="1335" t="s">
        <v>486</v>
      </c>
      <c r="L3232" s="180">
        <v>0</v>
      </c>
      <c r="M3232" t="s">
        <v>7827</v>
      </c>
      <c r="N3232" t="str">
        <f t="shared" si="202"/>
        <v>Greek Village L Transfer (0129)</v>
      </c>
      <c r="O3232" t="s">
        <v>49</v>
      </c>
      <c r="P3232" t="str">
        <f t="shared" si="203"/>
        <v>54000_0129</v>
      </c>
      <c r="Q3232" s="180">
        <v>100</v>
      </c>
    </row>
    <row r="3233" spans="1:17">
      <c r="A3233" t="str">
        <f t="shared" si="200"/>
        <v>UWG_0130</v>
      </c>
      <c r="B3233" t="str">
        <f t="shared" si="201"/>
        <v>UWG_Greek Village M APA TKE</v>
      </c>
      <c r="C3233" t="s">
        <v>456</v>
      </c>
      <c r="D3233" s="180" t="s">
        <v>33</v>
      </c>
      <c r="E3233" t="s">
        <v>753</v>
      </c>
      <c r="F3233" t="s">
        <v>6120</v>
      </c>
      <c r="G3233" s="180">
        <v>3999</v>
      </c>
      <c r="H3233">
        <v>2009</v>
      </c>
      <c r="J3233" s="1334" t="s">
        <v>486</v>
      </c>
      <c r="K3233" s="1335" t="s">
        <v>486</v>
      </c>
      <c r="L3233" s="180">
        <v>0</v>
      </c>
      <c r="M3233" t="s">
        <v>7827</v>
      </c>
      <c r="N3233" t="str">
        <f t="shared" si="202"/>
        <v>Greek Village M APA TKE (0130)</v>
      </c>
      <c r="O3233" t="s">
        <v>49</v>
      </c>
      <c r="P3233" t="str">
        <f t="shared" si="203"/>
        <v>54000_0130</v>
      </c>
      <c r="Q3233" s="180">
        <v>100</v>
      </c>
    </row>
    <row r="3234" spans="1:17">
      <c r="A3234" t="str">
        <f t="shared" si="200"/>
        <v>UWG_0131</v>
      </c>
      <c r="B3234" t="str">
        <f t="shared" si="201"/>
        <v>UWG_Greek Village N</v>
      </c>
      <c r="C3234" t="s">
        <v>456</v>
      </c>
      <c r="D3234" s="180" t="s">
        <v>33</v>
      </c>
      <c r="E3234" t="s">
        <v>514</v>
      </c>
      <c r="F3234" t="s">
        <v>6186</v>
      </c>
      <c r="G3234" s="180">
        <v>3644</v>
      </c>
      <c r="H3234">
        <v>2009</v>
      </c>
      <c r="J3234" s="1334" t="s">
        <v>486</v>
      </c>
      <c r="K3234" s="1335" t="s">
        <v>486</v>
      </c>
      <c r="L3234" s="180">
        <v>0</v>
      </c>
      <c r="M3234" t="s">
        <v>7827</v>
      </c>
      <c r="N3234" t="str">
        <f t="shared" si="202"/>
        <v>Greek Village N (0131)</v>
      </c>
      <c r="O3234" t="s">
        <v>49</v>
      </c>
      <c r="P3234" t="str">
        <f t="shared" si="203"/>
        <v>54000_0131</v>
      </c>
      <c r="Q3234" s="180">
        <v>0</v>
      </c>
    </row>
    <row r="3235" spans="1:17">
      <c r="A3235" t="str">
        <f t="shared" si="200"/>
        <v>UWG_0132</v>
      </c>
      <c r="B3235" t="str">
        <f t="shared" si="201"/>
        <v>UWG_Greek Village O Chi Omega</v>
      </c>
      <c r="C3235" t="s">
        <v>456</v>
      </c>
      <c r="D3235" s="180" t="s">
        <v>33</v>
      </c>
      <c r="E3235" t="s">
        <v>563</v>
      </c>
      <c r="F3235" t="s">
        <v>6124</v>
      </c>
      <c r="G3235" s="180">
        <v>6780</v>
      </c>
      <c r="H3235">
        <v>2009</v>
      </c>
      <c r="J3235" s="1334" t="s">
        <v>486</v>
      </c>
      <c r="K3235" s="1335" t="s">
        <v>486</v>
      </c>
      <c r="L3235" s="180">
        <v>0</v>
      </c>
      <c r="M3235" t="s">
        <v>7827</v>
      </c>
      <c r="N3235" t="str">
        <f t="shared" si="202"/>
        <v>Greek Village O Chi Omega (0132)</v>
      </c>
      <c r="O3235" t="s">
        <v>49</v>
      </c>
      <c r="P3235" t="str">
        <f t="shared" si="203"/>
        <v>54000_0132</v>
      </c>
      <c r="Q3235" s="180">
        <v>0</v>
      </c>
    </row>
    <row r="3236" spans="1:17">
      <c r="A3236" t="str">
        <f t="shared" si="200"/>
        <v>UWG_0133</v>
      </c>
      <c r="B3236" t="str">
        <f t="shared" si="201"/>
        <v>UWG_Greek Village P Kappa Sigma</v>
      </c>
      <c r="C3236" t="s">
        <v>456</v>
      </c>
      <c r="D3236" s="180" t="s">
        <v>33</v>
      </c>
      <c r="E3236" t="s">
        <v>805</v>
      </c>
      <c r="F3236" t="s">
        <v>6134</v>
      </c>
      <c r="G3236" s="180">
        <v>6780</v>
      </c>
      <c r="H3236">
        <v>2009</v>
      </c>
      <c r="J3236" s="1334" t="s">
        <v>486</v>
      </c>
      <c r="K3236" s="1335" t="s">
        <v>486</v>
      </c>
      <c r="L3236" s="180">
        <v>0</v>
      </c>
      <c r="M3236" t="s">
        <v>7827</v>
      </c>
      <c r="N3236" t="str">
        <f t="shared" si="202"/>
        <v>Greek Village P Kappa Sigma (0133)</v>
      </c>
      <c r="O3236" t="s">
        <v>49</v>
      </c>
      <c r="P3236" t="str">
        <f t="shared" si="203"/>
        <v>54000_0133</v>
      </c>
      <c r="Q3236" s="180">
        <v>0</v>
      </c>
    </row>
    <row r="3237" spans="1:17">
      <c r="A3237" t="str">
        <f t="shared" si="200"/>
        <v>UWG_0134</v>
      </c>
      <c r="B3237" t="str">
        <f t="shared" si="201"/>
        <v>UWG_Greek Village Q Community Bld</v>
      </c>
      <c r="C3237" t="s">
        <v>456</v>
      </c>
      <c r="D3237" s="180" t="s">
        <v>33</v>
      </c>
      <c r="E3237" t="s">
        <v>654</v>
      </c>
      <c r="F3237" t="s">
        <v>6156</v>
      </c>
      <c r="G3237" s="180">
        <v>3197</v>
      </c>
      <c r="H3237">
        <v>2009</v>
      </c>
      <c r="J3237" s="1334" t="s">
        <v>486</v>
      </c>
      <c r="K3237" s="1335" t="s">
        <v>475</v>
      </c>
      <c r="L3237" s="180">
        <v>100</v>
      </c>
      <c r="M3237" t="s">
        <v>7827</v>
      </c>
      <c r="N3237" t="str">
        <f t="shared" si="202"/>
        <v>Greek Village Q Community Bld (0134)</v>
      </c>
      <c r="O3237" t="s">
        <v>49</v>
      </c>
      <c r="P3237" t="str">
        <f t="shared" si="203"/>
        <v>54000_0134</v>
      </c>
      <c r="Q3237" s="180">
        <v>0</v>
      </c>
    </row>
    <row r="3238" spans="1:17">
      <c r="A3238" t="str">
        <f t="shared" si="200"/>
        <v>UWG_0135</v>
      </c>
      <c r="B3238" t="str">
        <f t="shared" si="201"/>
        <v>UWG_Greek Village R Residence Bld</v>
      </c>
      <c r="C3238" t="s">
        <v>456</v>
      </c>
      <c r="D3238" s="180" t="s">
        <v>33</v>
      </c>
      <c r="E3238" t="s">
        <v>874</v>
      </c>
      <c r="F3238" t="s">
        <v>6202</v>
      </c>
      <c r="G3238" s="180">
        <v>2085</v>
      </c>
      <c r="H3238">
        <v>2009</v>
      </c>
      <c r="J3238" s="1334" t="s">
        <v>486</v>
      </c>
      <c r="K3238" s="1335" t="s">
        <v>475</v>
      </c>
      <c r="L3238" s="180">
        <v>0</v>
      </c>
      <c r="M3238" t="s">
        <v>7827</v>
      </c>
      <c r="N3238" t="str">
        <f t="shared" si="202"/>
        <v>Greek Village R Residence Bld (0135)</v>
      </c>
      <c r="O3238" t="s">
        <v>49</v>
      </c>
      <c r="P3238" t="str">
        <f t="shared" si="203"/>
        <v>54000_0135</v>
      </c>
      <c r="Q3238" s="180">
        <v>0</v>
      </c>
    </row>
    <row r="3239" spans="1:17">
      <c r="A3239" t="str">
        <f t="shared" si="200"/>
        <v>UWG_0136</v>
      </c>
      <c r="B3239" t="str">
        <f t="shared" si="201"/>
        <v>UWG_Stadium Home Restrooms North</v>
      </c>
      <c r="C3239" t="s">
        <v>456</v>
      </c>
      <c r="D3239" s="180" t="s">
        <v>33</v>
      </c>
      <c r="E3239" t="s">
        <v>851</v>
      </c>
      <c r="F3239" t="s">
        <v>6207</v>
      </c>
      <c r="G3239" s="180">
        <v>3838</v>
      </c>
      <c r="H3239">
        <v>2009</v>
      </c>
      <c r="J3239" s="1334" t="s">
        <v>486</v>
      </c>
      <c r="K3239" s="1335" t="s">
        <v>475</v>
      </c>
      <c r="L3239" s="180">
        <v>0</v>
      </c>
      <c r="M3239" t="s">
        <v>7827</v>
      </c>
      <c r="N3239" t="str">
        <f t="shared" si="202"/>
        <v>Stadium Home Restrooms North (0136)</v>
      </c>
      <c r="O3239" t="s">
        <v>49</v>
      </c>
      <c r="P3239" t="str">
        <f t="shared" si="203"/>
        <v>54000_0136</v>
      </c>
      <c r="Q3239" s="180">
        <v>0</v>
      </c>
    </row>
    <row r="3240" spans="1:17">
      <c r="A3240" t="str">
        <f t="shared" si="200"/>
        <v>UWG_0137</v>
      </c>
      <c r="B3240" t="str">
        <f t="shared" si="201"/>
        <v>UWG_Stadium Home Restrooms South</v>
      </c>
      <c r="C3240" t="s">
        <v>456</v>
      </c>
      <c r="D3240" s="180" t="s">
        <v>33</v>
      </c>
      <c r="E3240" t="s">
        <v>813</v>
      </c>
      <c r="F3240" t="s">
        <v>6115</v>
      </c>
      <c r="G3240" s="180">
        <v>3838</v>
      </c>
      <c r="H3240">
        <v>2009</v>
      </c>
      <c r="J3240" s="1334" t="s">
        <v>486</v>
      </c>
      <c r="K3240" s="1335" t="s">
        <v>475</v>
      </c>
      <c r="L3240" s="180">
        <v>0</v>
      </c>
      <c r="M3240" t="s">
        <v>7827</v>
      </c>
      <c r="N3240" t="str">
        <f t="shared" si="202"/>
        <v>Stadium Home Restrooms South (0137)</v>
      </c>
      <c r="O3240" t="s">
        <v>49</v>
      </c>
      <c r="P3240" t="str">
        <f t="shared" si="203"/>
        <v>54000_0137</v>
      </c>
      <c r="Q3240" s="180">
        <v>0</v>
      </c>
    </row>
    <row r="3241" spans="1:17">
      <c r="A3241" t="str">
        <f t="shared" si="200"/>
        <v>UWG_0138</v>
      </c>
      <c r="B3241" t="str">
        <f t="shared" si="201"/>
        <v>UWG_Stadium Home Tickets</v>
      </c>
      <c r="C3241" t="s">
        <v>456</v>
      </c>
      <c r="D3241" s="180" t="s">
        <v>33</v>
      </c>
      <c r="E3241" t="s">
        <v>537</v>
      </c>
      <c r="F3241" t="s">
        <v>6193</v>
      </c>
      <c r="G3241" s="180">
        <v>413</v>
      </c>
      <c r="H3241">
        <v>2009</v>
      </c>
      <c r="J3241" s="1334" t="s">
        <v>486</v>
      </c>
      <c r="K3241" s="1335" t="s">
        <v>475</v>
      </c>
      <c r="L3241" s="180">
        <v>0</v>
      </c>
      <c r="M3241" t="s">
        <v>7827</v>
      </c>
      <c r="N3241" t="str">
        <f t="shared" si="202"/>
        <v>Stadium Home Tickets (0138)</v>
      </c>
      <c r="O3241" t="s">
        <v>49</v>
      </c>
      <c r="P3241" t="str">
        <f t="shared" si="203"/>
        <v>54000_0138</v>
      </c>
      <c r="Q3241" s="180">
        <v>0</v>
      </c>
    </row>
    <row r="3242" spans="1:17">
      <c r="A3242" t="str">
        <f t="shared" si="200"/>
        <v>UWG_0139</v>
      </c>
      <c r="B3242" t="str">
        <f t="shared" si="201"/>
        <v>UWG_Stadium Home Concessions North</v>
      </c>
      <c r="C3242" t="s">
        <v>456</v>
      </c>
      <c r="D3242" s="180" t="s">
        <v>33</v>
      </c>
      <c r="E3242" t="s">
        <v>836</v>
      </c>
      <c r="F3242" t="s">
        <v>6187</v>
      </c>
      <c r="G3242" s="180">
        <v>953</v>
      </c>
      <c r="H3242">
        <v>2009</v>
      </c>
      <c r="J3242" s="1334" t="s">
        <v>486</v>
      </c>
      <c r="K3242" s="1335" t="s">
        <v>475</v>
      </c>
      <c r="L3242" s="180">
        <v>0</v>
      </c>
      <c r="M3242" t="s">
        <v>7827</v>
      </c>
      <c r="N3242" t="str">
        <f t="shared" si="202"/>
        <v>Stadium Home Concessions North (0139)</v>
      </c>
      <c r="O3242" t="s">
        <v>49</v>
      </c>
      <c r="P3242" t="str">
        <f t="shared" si="203"/>
        <v>54000_0139</v>
      </c>
      <c r="Q3242" s="180">
        <v>0</v>
      </c>
    </row>
    <row r="3243" spans="1:17">
      <c r="A3243" t="str">
        <f t="shared" si="200"/>
        <v>UWG_0140</v>
      </c>
      <c r="B3243" t="str">
        <f t="shared" si="201"/>
        <v>UWG_Stadium Data/Mech/Elec</v>
      </c>
      <c r="C3243" t="s">
        <v>456</v>
      </c>
      <c r="D3243" s="180" t="s">
        <v>33</v>
      </c>
      <c r="E3243" t="s">
        <v>700</v>
      </c>
      <c r="F3243" t="s">
        <v>6135</v>
      </c>
      <c r="G3243" s="180">
        <v>759</v>
      </c>
      <c r="H3243">
        <v>2009</v>
      </c>
      <c r="J3243" s="1334" t="s">
        <v>486</v>
      </c>
      <c r="K3243" s="1335" t="s">
        <v>475</v>
      </c>
      <c r="L3243" s="180">
        <v>0</v>
      </c>
      <c r="M3243" t="s">
        <v>7827</v>
      </c>
      <c r="N3243" t="str">
        <f t="shared" si="202"/>
        <v>Stadium Data/Mech/Elec (0140)</v>
      </c>
      <c r="O3243" t="s">
        <v>49</v>
      </c>
      <c r="P3243" t="str">
        <f t="shared" si="203"/>
        <v>54000_0140</v>
      </c>
      <c r="Q3243" s="180">
        <v>0</v>
      </c>
    </row>
    <row r="3244" spans="1:17">
      <c r="A3244" t="str">
        <f t="shared" si="200"/>
        <v>UWG_0141</v>
      </c>
      <c r="B3244" t="str">
        <f t="shared" si="201"/>
        <v>UWG_Stadium Security</v>
      </c>
      <c r="C3244" t="s">
        <v>456</v>
      </c>
      <c r="D3244" s="180" t="s">
        <v>33</v>
      </c>
      <c r="E3244" t="s">
        <v>613</v>
      </c>
      <c r="F3244" t="s">
        <v>6152</v>
      </c>
      <c r="G3244" s="180">
        <v>759</v>
      </c>
      <c r="H3244">
        <v>2009</v>
      </c>
      <c r="J3244" s="1334" t="s">
        <v>486</v>
      </c>
      <c r="K3244" s="1335" t="s">
        <v>475</v>
      </c>
      <c r="L3244" s="180">
        <v>0</v>
      </c>
      <c r="M3244" t="s">
        <v>7827</v>
      </c>
      <c r="N3244" t="str">
        <f t="shared" si="202"/>
        <v>Stadium Security (0141)</v>
      </c>
      <c r="O3244" t="s">
        <v>49</v>
      </c>
      <c r="P3244" t="str">
        <f t="shared" si="203"/>
        <v>54000_0141</v>
      </c>
      <c r="Q3244" s="180">
        <v>0</v>
      </c>
    </row>
    <row r="3245" spans="1:17">
      <c r="A3245" t="str">
        <f t="shared" si="200"/>
        <v>UWG_0142</v>
      </c>
      <c r="B3245" t="str">
        <f t="shared" si="201"/>
        <v>UWG_Stadium Home Concessions South</v>
      </c>
      <c r="C3245" t="s">
        <v>456</v>
      </c>
      <c r="D3245" s="180" t="s">
        <v>33</v>
      </c>
      <c r="E3245" t="s">
        <v>615</v>
      </c>
      <c r="F3245" t="s">
        <v>6215</v>
      </c>
      <c r="G3245" s="180">
        <v>945</v>
      </c>
      <c r="H3245">
        <v>2009</v>
      </c>
      <c r="J3245" s="1334" t="s">
        <v>486</v>
      </c>
      <c r="K3245" s="1335" t="s">
        <v>475</v>
      </c>
      <c r="L3245" s="180">
        <v>0</v>
      </c>
      <c r="M3245" t="s">
        <v>7827</v>
      </c>
      <c r="N3245" t="str">
        <f t="shared" si="202"/>
        <v>Stadium Home Concessions South (0142)</v>
      </c>
      <c r="O3245" t="s">
        <v>49</v>
      </c>
      <c r="P3245" t="str">
        <f t="shared" si="203"/>
        <v>54000_0142</v>
      </c>
      <c r="Q3245" s="180">
        <v>0</v>
      </c>
    </row>
    <row r="3246" spans="1:17">
      <c r="A3246" t="str">
        <f t="shared" si="200"/>
        <v>UWG_0143</v>
      </c>
      <c r="B3246" t="str">
        <f t="shared" si="201"/>
        <v>UWG_Stadium Press and Suites</v>
      </c>
      <c r="C3246" t="s">
        <v>456</v>
      </c>
      <c r="D3246" s="180" t="s">
        <v>33</v>
      </c>
      <c r="E3246" t="s">
        <v>6188</v>
      </c>
      <c r="F3246" t="s">
        <v>6189</v>
      </c>
      <c r="G3246" s="180">
        <v>22014</v>
      </c>
      <c r="H3246">
        <v>2009</v>
      </c>
      <c r="J3246" s="1334" t="s">
        <v>486</v>
      </c>
      <c r="K3246" s="1335" t="s">
        <v>475</v>
      </c>
      <c r="L3246" s="180">
        <v>0</v>
      </c>
      <c r="M3246" t="s">
        <v>7827</v>
      </c>
      <c r="N3246" t="str">
        <f t="shared" si="202"/>
        <v>Stadium Press and Suites (0143)</v>
      </c>
      <c r="O3246" t="s">
        <v>49</v>
      </c>
      <c r="P3246" t="str">
        <f t="shared" si="203"/>
        <v>54000_0143</v>
      </c>
      <c r="Q3246" s="180">
        <v>0</v>
      </c>
    </row>
    <row r="3247" spans="1:17">
      <c r="A3247" t="str">
        <f t="shared" si="200"/>
        <v>UWG_0144</v>
      </c>
      <c r="B3247" t="str">
        <f t="shared" si="201"/>
        <v>UWG_Stadium Visitor RR and Tickets</v>
      </c>
      <c r="C3247" t="s">
        <v>456</v>
      </c>
      <c r="D3247" s="180" t="s">
        <v>33</v>
      </c>
      <c r="E3247" t="s">
        <v>658</v>
      </c>
      <c r="F3247" t="s">
        <v>6142</v>
      </c>
      <c r="G3247" s="180">
        <v>4198</v>
      </c>
      <c r="H3247">
        <v>2009</v>
      </c>
      <c r="J3247" s="1334" t="s">
        <v>486</v>
      </c>
      <c r="K3247" s="1335" t="s">
        <v>475</v>
      </c>
      <c r="L3247" s="180">
        <v>0</v>
      </c>
      <c r="M3247" t="s">
        <v>7827</v>
      </c>
      <c r="N3247" t="str">
        <f t="shared" si="202"/>
        <v>Stadium Visitor RR and Tickets (0144)</v>
      </c>
      <c r="O3247" t="s">
        <v>49</v>
      </c>
      <c r="P3247" t="str">
        <f t="shared" si="203"/>
        <v>54000_0144</v>
      </c>
      <c r="Q3247" s="180">
        <v>67</v>
      </c>
    </row>
    <row r="3248" spans="1:17">
      <c r="A3248" t="str">
        <f t="shared" si="200"/>
        <v>UWG_0145</v>
      </c>
      <c r="B3248" t="str">
        <f t="shared" si="201"/>
        <v>UWG_Stadium Vis Concess &amp; Lockers</v>
      </c>
      <c r="C3248" t="s">
        <v>456</v>
      </c>
      <c r="D3248" s="180" t="s">
        <v>33</v>
      </c>
      <c r="E3248" t="s">
        <v>791</v>
      </c>
      <c r="F3248" t="s">
        <v>6198</v>
      </c>
      <c r="G3248" s="180">
        <v>3394</v>
      </c>
      <c r="H3248">
        <v>2009</v>
      </c>
      <c r="J3248" s="1334" t="s">
        <v>486</v>
      </c>
      <c r="K3248" s="1335" t="s">
        <v>475</v>
      </c>
      <c r="L3248" s="180">
        <v>0</v>
      </c>
      <c r="M3248" t="s">
        <v>7827</v>
      </c>
      <c r="N3248" t="str">
        <f t="shared" si="202"/>
        <v>Stadium Vis Concess &amp; Lockers (0145)</v>
      </c>
      <c r="O3248" t="s">
        <v>49</v>
      </c>
      <c r="P3248" t="str">
        <f t="shared" si="203"/>
        <v>54000_0145</v>
      </c>
      <c r="Q3248" s="180">
        <v>0</v>
      </c>
    </row>
    <row r="3249" spans="1:17">
      <c r="A3249" t="str">
        <f t="shared" si="200"/>
        <v>UWG_0146</v>
      </c>
      <c r="B3249" t="str">
        <f t="shared" si="201"/>
        <v>UWG_AOB-Athletic Operations Bld</v>
      </c>
      <c r="C3249" t="s">
        <v>456</v>
      </c>
      <c r="D3249" s="180" t="s">
        <v>33</v>
      </c>
      <c r="E3249" t="s">
        <v>918</v>
      </c>
      <c r="F3249" t="s">
        <v>6176</v>
      </c>
      <c r="G3249" s="180">
        <v>43254</v>
      </c>
      <c r="H3249">
        <v>2009</v>
      </c>
      <c r="I3249">
        <v>2012</v>
      </c>
      <c r="J3249" s="1334" t="s">
        <v>486</v>
      </c>
      <c r="K3249" s="1335" t="s">
        <v>475</v>
      </c>
      <c r="L3249" s="180">
        <v>0</v>
      </c>
      <c r="M3249" t="s">
        <v>7827</v>
      </c>
      <c r="N3249" t="str">
        <f t="shared" si="202"/>
        <v>AOB-Athletic Operations Bld (0146)</v>
      </c>
      <c r="O3249" t="s">
        <v>49</v>
      </c>
      <c r="P3249" t="str">
        <f t="shared" si="203"/>
        <v>54000_0146</v>
      </c>
      <c r="Q3249" s="180">
        <v>0</v>
      </c>
    </row>
    <row r="3250" spans="1:17">
      <c r="A3250" t="str">
        <f t="shared" si="200"/>
        <v>UWG_0147</v>
      </c>
      <c r="B3250" t="str">
        <f t="shared" si="201"/>
        <v>UWG_Women's Fieldhouse</v>
      </c>
      <c r="C3250" t="s">
        <v>456</v>
      </c>
      <c r="D3250" s="180" t="s">
        <v>33</v>
      </c>
      <c r="E3250" t="s">
        <v>570</v>
      </c>
      <c r="F3250" t="s">
        <v>6168</v>
      </c>
      <c r="G3250" s="180">
        <v>4361</v>
      </c>
      <c r="H3250">
        <v>2009</v>
      </c>
      <c r="J3250" s="1334" t="s">
        <v>486</v>
      </c>
      <c r="K3250" s="1335" t="s">
        <v>475</v>
      </c>
      <c r="L3250" s="180">
        <v>0</v>
      </c>
      <c r="M3250" t="s">
        <v>7827</v>
      </c>
      <c r="N3250" t="str">
        <f t="shared" si="202"/>
        <v>Women's Fieldhouse (0147)</v>
      </c>
      <c r="O3250" t="s">
        <v>49</v>
      </c>
      <c r="P3250" t="str">
        <f t="shared" si="203"/>
        <v>54000_0147</v>
      </c>
      <c r="Q3250" s="180">
        <v>0</v>
      </c>
    </row>
    <row r="3251" spans="1:17">
      <c r="A3251" t="str">
        <f t="shared" si="200"/>
        <v>UWG_0148</v>
      </c>
      <c r="B3251" t="str">
        <f t="shared" si="201"/>
        <v>UWG_Softball Visitor Dugout</v>
      </c>
      <c r="C3251" t="s">
        <v>456</v>
      </c>
      <c r="D3251" s="180" t="s">
        <v>33</v>
      </c>
      <c r="E3251" t="s">
        <v>896</v>
      </c>
      <c r="F3251" t="s">
        <v>6164</v>
      </c>
      <c r="G3251" s="180">
        <v>350</v>
      </c>
      <c r="H3251">
        <v>2009</v>
      </c>
      <c r="J3251" s="1334" t="s">
        <v>486</v>
      </c>
      <c r="K3251" s="1335" t="s">
        <v>475</v>
      </c>
      <c r="L3251" s="180">
        <v>0</v>
      </c>
      <c r="M3251" t="s">
        <v>7827</v>
      </c>
      <c r="N3251" t="str">
        <f t="shared" si="202"/>
        <v>Softball Visitor Dugout (0148)</v>
      </c>
      <c r="O3251" t="s">
        <v>49</v>
      </c>
      <c r="P3251" t="str">
        <f t="shared" si="203"/>
        <v>54000_0148</v>
      </c>
      <c r="Q3251" s="180">
        <v>0</v>
      </c>
    </row>
    <row r="3252" spans="1:17">
      <c r="A3252" t="str">
        <f t="shared" si="200"/>
        <v>UWG_0149</v>
      </c>
      <c r="B3252" t="str">
        <f t="shared" si="201"/>
        <v>UWG_Softball Home Dugout</v>
      </c>
      <c r="C3252" t="s">
        <v>456</v>
      </c>
      <c r="D3252" s="180" t="s">
        <v>33</v>
      </c>
      <c r="E3252" t="s">
        <v>888</v>
      </c>
      <c r="F3252" t="s">
        <v>6227</v>
      </c>
      <c r="G3252" s="180">
        <v>350</v>
      </c>
      <c r="H3252">
        <v>2009</v>
      </c>
      <c r="J3252" s="1334" t="s">
        <v>486</v>
      </c>
      <c r="K3252" s="1335" t="s">
        <v>475</v>
      </c>
      <c r="L3252" s="180">
        <v>0</v>
      </c>
      <c r="M3252" t="s">
        <v>7827</v>
      </c>
      <c r="N3252" t="str">
        <f t="shared" si="202"/>
        <v>Softball Home Dugout (0149)</v>
      </c>
      <c r="O3252" t="s">
        <v>49</v>
      </c>
      <c r="P3252" t="str">
        <f t="shared" si="203"/>
        <v>54000_0149</v>
      </c>
      <c r="Q3252" s="180">
        <v>0</v>
      </c>
    </row>
    <row r="3253" spans="1:17">
      <c r="A3253" t="str">
        <f t="shared" si="200"/>
        <v>UWG_0150</v>
      </c>
      <c r="B3253" t="str">
        <f t="shared" si="201"/>
        <v>UWG_West Campus Equipment Storage</v>
      </c>
      <c r="C3253" t="s">
        <v>456</v>
      </c>
      <c r="D3253" s="180" t="s">
        <v>33</v>
      </c>
      <c r="E3253" t="s">
        <v>3961</v>
      </c>
      <c r="F3253" t="s">
        <v>6199</v>
      </c>
      <c r="G3253" s="180">
        <v>2712</v>
      </c>
      <c r="H3253">
        <v>2013</v>
      </c>
      <c r="J3253" s="1334" t="s">
        <v>475</v>
      </c>
      <c r="K3253" s="1335" t="s">
        <v>475</v>
      </c>
      <c r="L3253" s="180">
        <v>75</v>
      </c>
      <c r="M3253" t="s">
        <v>7827</v>
      </c>
      <c r="N3253" t="str">
        <f t="shared" si="202"/>
        <v>West Campus Equipment Storage (0150)</v>
      </c>
      <c r="O3253" t="s">
        <v>49</v>
      </c>
      <c r="P3253" t="str">
        <f t="shared" si="203"/>
        <v>54000_0150</v>
      </c>
      <c r="Q3253" s="180">
        <v>0</v>
      </c>
    </row>
    <row r="3254" spans="1:17">
      <c r="A3254" t="str">
        <f t="shared" si="200"/>
        <v>UWG_0151</v>
      </c>
      <c r="B3254" t="str">
        <f t="shared" si="201"/>
        <v>UWG_Softball &amp; Soccer Concessions</v>
      </c>
      <c r="C3254" t="s">
        <v>456</v>
      </c>
      <c r="D3254" s="180" t="s">
        <v>33</v>
      </c>
      <c r="E3254" t="s">
        <v>606</v>
      </c>
      <c r="F3254" t="s">
        <v>6131</v>
      </c>
      <c r="G3254" s="180">
        <v>607</v>
      </c>
      <c r="H3254">
        <v>2013</v>
      </c>
      <c r="J3254" s="1334" t="s">
        <v>475</v>
      </c>
      <c r="K3254" s="1335" t="s">
        <v>475</v>
      </c>
      <c r="L3254" s="180">
        <v>0</v>
      </c>
      <c r="M3254" t="s">
        <v>7827</v>
      </c>
      <c r="N3254" t="str">
        <f t="shared" si="202"/>
        <v>Softball &amp; Soccer Concessions (0151)</v>
      </c>
      <c r="O3254" t="s">
        <v>49</v>
      </c>
      <c r="P3254" t="str">
        <f t="shared" si="203"/>
        <v>54000_0151</v>
      </c>
      <c r="Q3254" s="180">
        <v>0</v>
      </c>
    </row>
    <row r="3255" spans="1:17">
      <c r="A3255" t="str">
        <f t="shared" si="200"/>
        <v>UWG_0152</v>
      </c>
      <c r="B3255" t="str">
        <f t="shared" si="201"/>
        <v>UWG_Football Soccer Storage Bld</v>
      </c>
      <c r="C3255" t="s">
        <v>456</v>
      </c>
      <c r="D3255" s="180" t="s">
        <v>33</v>
      </c>
      <c r="E3255" t="s">
        <v>660</v>
      </c>
      <c r="F3255" t="s">
        <v>6136</v>
      </c>
      <c r="G3255" s="180">
        <v>1727</v>
      </c>
      <c r="H3255">
        <v>2012</v>
      </c>
      <c r="J3255" s="1334" t="s">
        <v>486</v>
      </c>
      <c r="K3255" s="1335" t="s">
        <v>475</v>
      </c>
      <c r="L3255" s="180">
        <v>0</v>
      </c>
      <c r="M3255" t="s">
        <v>7827</v>
      </c>
      <c r="N3255" t="str">
        <f t="shared" si="202"/>
        <v>Football Soccer Storage Bld (0152)</v>
      </c>
      <c r="O3255" t="s">
        <v>49</v>
      </c>
      <c r="P3255" t="str">
        <f t="shared" si="203"/>
        <v>54000_0152</v>
      </c>
      <c r="Q3255" s="180">
        <v>0</v>
      </c>
    </row>
    <row r="3256" spans="1:17">
      <c r="A3256" t="str">
        <f t="shared" si="200"/>
        <v>ABAC_0010</v>
      </c>
      <c r="B3256" t="str">
        <f t="shared" si="201"/>
        <v>ABAC_Gressette Gymnasium</v>
      </c>
      <c r="C3256" t="s">
        <v>457</v>
      </c>
      <c r="D3256" s="180" t="s">
        <v>22</v>
      </c>
      <c r="E3256" t="s">
        <v>815</v>
      </c>
      <c r="F3256" t="s">
        <v>7053</v>
      </c>
      <c r="G3256" s="180">
        <v>37995</v>
      </c>
      <c r="H3256">
        <v>1966</v>
      </c>
      <c r="J3256" s="1334" t="s">
        <v>475</v>
      </c>
      <c r="K3256" s="1335" t="s">
        <v>475</v>
      </c>
      <c r="L3256" s="180">
        <v>100</v>
      </c>
      <c r="M3256" t="s">
        <v>67</v>
      </c>
      <c r="N3256" t="str">
        <f t="shared" si="202"/>
        <v>Gressette Gymnasium (0010)</v>
      </c>
      <c r="O3256" t="s">
        <v>35</v>
      </c>
      <c r="P3256" t="str">
        <f t="shared" si="203"/>
        <v>57000_0010</v>
      </c>
      <c r="Q3256" s="180">
        <v>0</v>
      </c>
    </row>
    <row r="3257" spans="1:17">
      <c r="A3257" t="str">
        <f t="shared" si="200"/>
        <v>ABAC_0030</v>
      </c>
      <c r="B3257" t="str">
        <f t="shared" si="201"/>
        <v>ABAC_Thrash Wellness Center</v>
      </c>
      <c r="C3257" t="s">
        <v>457</v>
      </c>
      <c r="D3257" s="180" t="s">
        <v>22</v>
      </c>
      <c r="E3257" t="s">
        <v>561</v>
      </c>
      <c r="F3257" t="s">
        <v>6312</v>
      </c>
      <c r="G3257" s="180">
        <v>12554</v>
      </c>
      <c r="H3257">
        <v>1938</v>
      </c>
      <c r="I3257">
        <v>2017</v>
      </c>
      <c r="J3257" s="1334" t="s">
        <v>475</v>
      </c>
      <c r="K3257" s="1335" t="s">
        <v>475</v>
      </c>
      <c r="L3257" s="180">
        <v>0</v>
      </c>
      <c r="M3257" t="s">
        <v>67</v>
      </c>
      <c r="N3257" t="str">
        <f t="shared" si="202"/>
        <v>Thrash Wellness Center (0030)</v>
      </c>
      <c r="O3257" t="s">
        <v>35</v>
      </c>
      <c r="P3257" t="str">
        <f t="shared" si="203"/>
        <v>57000_0030</v>
      </c>
      <c r="Q3257" s="180">
        <v>0</v>
      </c>
    </row>
    <row r="3258" spans="1:17">
      <c r="A3258" t="str">
        <f t="shared" si="200"/>
        <v>ABAC_0031</v>
      </c>
      <c r="B3258" t="str">
        <f t="shared" si="201"/>
        <v>ABAC_Foundation Legacy Pool</v>
      </c>
      <c r="C3258" t="s">
        <v>457</v>
      </c>
      <c r="D3258" s="180" t="s">
        <v>22</v>
      </c>
      <c r="E3258" t="s">
        <v>892</v>
      </c>
      <c r="F3258" t="s">
        <v>7054</v>
      </c>
      <c r="G3258" s="180">
        <v>14912</v>
      </c>
      <c r="H3258">
        <v>2017</v>
      </c>
      <c r="I3258">
        <v>2017</v>
      </c>
      <c r="J3258" s="1334" t="s">
        <v>475</v>
      </c>
      <c r="K3258" s="1335" t="s">
        <v>475</v>
      </c>
      <c r="L3258" s="180">
        <v>0</v>
      </c>
      <c r="M3258" t="s">
        <v>67</v>
      </c>
      <c r="N3258" t="str">
        <f t="shared" si="202"/>
        <v>Foundation Legacy Pool (0031)</v>
      </c>
      <c r="O3258" t="s">
        <v>35</v>
      </c>
      <c r="P3258" t="str">
        <f t="shared" si="203"/>
        <v>57000_0031</v>
      </c>
      <c r="Q3258" s="180">
        <v>0</v>
      </c>
    </row>
    <row r="3259" spans="1:17">
      <c r="A3259" t="str">
        <f t="shared" si="200"/>
        <v>ABAC_0040</v>
      </c>
      <c r="B3259" t="str">
        <f t="shared" si="201"/>
        <v>ABAC_Howard Auditorium</v>
      </c>
      <c r="C3259" t="s">
        <v>457</v>
      </c>
      <c r="D3259" s="180" t="s">
        <v>22</v>
      </c>
      <c r="E3259" t="s">
        <v>724</v>
      </c>
      <c r="F3259" t="s">
        <v>6364</v>
      </c>
      <c r="G3259" s="180">
        <v>7750</v>
      </c>
      <c r="H3259">
        <v>1938</v>
      </c>
      <c r="J3259" s="1334" t="s">
        <v>475</v>
      </c>
      <c r="K3259" s="1335" t="s">
        <v>475</v>
      </c>
      <c r="L3259" s="180">
        <v>100</v>
      </c>
      <c r="M3259" t="s">
        <v>67</v>
      </c>
      <c r="N3259" t="str">
        <f t="shared" si="202"/>
        <v>Howard Auditorium (0040)</v>
      </c>
      <c r="O3259" t="s">
        <v>35</v>
      </c>
      <c r="P3259" t="str">
        <f t="shared" si="203"/>
        <v>57000_0040</v>
      </c>
      <c r="Q3259" s="180">
        <v>0</v>
      </c>
    </row>
    <row r="3260" spans="1:17">
      <c r="A3260" t="str">
        <f t="shared" si="200"/>
        <v>ABAC_0070</v>
      </c>
      <c r="B3260" t="str">
        <f t="shared" si="201"/>
        <v>ABAC_Herring Hall</v>
      </c>
      <c r="C3260" t="s">
        <v>457</v>
      </c>
      <c r="D3260" s="180" t="s">
        <v>22</v>
      </c>
      <c r="E3260" t="s">
        <v>4621</v>
      </c>
      <c r="F3260" t="s">
        <v>6344</v>
      </c>
      <c r="G3260" s="180">
        <v>12380</v>
      </c>
      <c r="H3260">
        <v>1907</v>
      </c>
      <c r="I3260">
        <v>2012</v>
      </c>
      <c r="J3260" s="1334" t="s">
        <v>520</v>
      </c>
      <c r="K3260" s="1335" t="s">
        <v>475</v>
      </c>
      <c r="L3260" s="180">
        <v>100</v>
      </c>
      <c r="M3260" t="s">
        <v>67</v>
      </c>
      <c r="N3260" t="str">
        <f t="shared" si="202"/>
        <v>Herring Hall (0070)</v>
      </c>
      <c r="O3260" t="s">
        <v>35</v>
      </c>
      <c r="P3260" t="str">
        <f t="shared" si="203"/>
        <v>57000_0070</v>
      </c>
      <c r="Q3260" s="180">
        <v>100</v>
      </c>
    </row>
    <row r="3261" spans="1:17">
      <c r="A3261" t="str">
        <f t="shared" si="200"/>
        <v>ABAC_0080</v>
      </c>
      <c r="B3261" t="str">
        <f t="shared" si="201"/>
        <v>ABAC_Tift Hall</v>
      </c>
      <c r="C3261" t="s">
        <v>457</v>
      </c>
      <c r="D3261" s="180" t="s">
        <v>22</v>
      </c>
      <c r="E3261" t="s">
        <v>1050</v>
      </c>
      <c r="F3261" t="s">
        <v>7055</v>
      </c>
      <c r="G3261" s="180">
        <v>15300</v>
      </c>
      <c r="H3261">
        <v>1905</v>
      </c>
      <c r="I3261">
        <v>2011</v>
      </c>
      <c r="J3261" s="1334" t="s">
        <v>520</v>
      </c>
      <c r="K3261" s="1335" t="s">
        <v>475</v>
      </c>
      <c r="L3261" s="180">
        <v>100</v>
      </c>
      <c r="M3261" t="s">
        <v>67</v>
      </c>
      <c r="N3261" t="str">
        <f t="shared" si="202"/>
        <v>Tift Hall (0080)</v>
      </c>
      <c r="O3261" t="s">
        <v>35</v>
      </c>
      <c r="P3261" t="str">
        <f t="shared" si="203"/>
        <v>57000_0080</v>
      </c>
      <c r="Q3261" s="180">
        <v>20</v>
      </c>
    </row>
    <row r="3262" spans="1:17">
      <c r="A3262" t="str">
        <f t="shared" si="200"/>
        <v>ABAC_0090</v>
      </c>
      <c r="B3262" t="str">
        <f t="shared" si="201"/>
        <v>ABAC_Lewis Hall</v>
      </c>
      <c r="C3262" t="s">
        <v>457</v>
      </c>
      <c r="D3262" s="180" t="s">
        <v>22</v>
      </c>
      <c r="E3262" t="s">
        <v>656</v>
      </c>
      <c r="F3262" t="s">
        <v>5207</v>
      </c>
      <c r="G3262" s="180">
        <v>12380</v>
      </c>
      <c r="H3262">
        <v>1907</v>
      </c>
      <c r="I3262">
        <v>2012</v>
      </c>
      <c r="J3262" s="1334" t="s">
        <v>520</v>
      </c>
      <c r="K3262" s="1335" t="s">
        <v>475</v>
      </c>
      <c r="L3262" s="180">
        <v>100</v>
      </c>
      <c r="M3262" t="s">
        <v>67</v>
      </c>
      <c r="N3262" t="str">
        <f t="shared" si="202"/>
        <v>Lewis Hall (0090)</v>
      </c>
      <c r="O3262" t="s">
        <v>35</v>
      </c>
      <c r="P3262" t="str">
        <f t="shared" si="203"/>
        <v>57000_0090</v>
      </c>
      <c r="Q3262" s="180">
        <v>100</v>
      </c>
    </row>
    <row r="3263" spans="1:17">
      <c r="A3263" t="str">
        <f t="shared" si="200"/>
        <v>ABAC_0100</v>
      </c>
      <c r="B3263" t="str">
        <f t="shared" si="201"/>
        <v>ABAC_Bowen Hall</v>
      </c>
      <c r="C3263" t="s">
        <v>457</v>
      </c>
      <c r="D3263" s="180" t="s">
        <v>22</v>
      </c>
      <c r="E3263" t="s">
        <v>684</v>
      </c>
      <c r="F3263" t="s">
        <v>7056</v>
      </c>
      <c r="G3263" s="180">
        <v>27225</v>
      </c>
      <c r="H3263">
        <v>1968</v>
      </c>
      <c r="J3263" s="1334" t="s">
        <v>475</v>
      </c>
      <c r="K3263" s="1335" t="s">
        <v>475</v>
      </c>
      <c r="L3263" s="180">
        <v>100</v>
      </c>
      <c r="M3263" t="s">
        <v>67</v>
      </c>
      <c r="N3263" t="str">
        <f t="shared" si="202"/>
        <v>Bowen Hall (0100)</v>
      </c>
      <c r="O3263" t="s">
        <v>35</v>
      </c>
      <c r="P3263" t="str">
        <f t="shared" si="203"/>
        <v>57000_0100</v>
      </c>
      <c r="Q3263" s="180">
        <v>0</v>
      </c>
    </row>
    <row r="3264" spans="1:17">
      <c r="A3264" t="str">
        <f t="shared" si="200"/>
        <v>ABAC_0110</v>
      </c>
      <c r="B3264" t="str">
        <f t="shared" si="201"/>
        <v>ABAC_Branch Hall</v>
      </c>
      <c r="C3264" t="s">
        <v>457</v>
      </c>
      <c r="D3264" s="180" t="s">
        <v>22</v>
      </c>
      <c r="E3264" t="s">
        <v>666</v>
      </c>
      <c r="F3264" t="s">
        <v>7057</v>
      </c>
      <c r="G3264" s="180">
        <v>47123</v>
      </c>
      <c r="H3264">
        <v>1972</v>
      </c>
      <c r="I3264">
        <v>1980</v>
      </c>
      <c r="J3264" s="1334" t="s">
        <v>475</v>
      </c>
      <c r="K3264" s="1335" t="s">
        <v>475</v>
      </c>
      <c r="L3264" s="180">
        <v>100</v>
      </c>
      <c r="M3264" t="s">
        <v>67</v>
      </c>
      <c r="N3264" t="str">
        <f t="shared" si="202"/>
        <v>Branch Hall (0110)</v>
      </c>
      <c r="O3264" t="s">
        <v>35</v>
      </c>
      <c r="P3264" t="str">
        <f t="shared" si="203"/>
        <v>57000_0110</v>
      </c>
      <c r="Q3264" s="180">
        <v>0</v>
      </c>
    </row>
    <row r="3265" spans="1:17">
      <c r="A3265" t="str">
        <f t="shared" si="200"/>
        <v>ABAC_0120</v>
      </c>
      <c r="B3265" t="str">
        <f t="shared" si="201"/>
        <v>ABAC_Evans Hall</v>
      </c>
      <c r="C3265" t="s">
        <v>457</v>
      </c>
      <c r="D3265" s="180" t="s">
        <v>22</v>
      </c>
      <c r="E3265" t="s">
        <v>1812</v>
      </c>
      <c r="F3265" t="s">
        <v>6247</v>
      </c>
      <c r="G3265" s="180">
        <v>5521</v>
      </c>
      <c r="H3265">
        <v>1962</v>
      </c>
      <c r="I3265">
        <v>2007</v>
      </c>
      <c r="J3265" s="1334" t="s">
        <v>475</v>
      </c>
      <c r="K3265" s="1335" t="s">
        <v>475</v>
      </c>
      <c r="L3265" s="180">
        <v>100</v>
      </c>
      <c r="M3265" t="s">
        <v>67</v>
      </c>
      <c r="N3265" t="str">
        <f t="shared" si="202"/>
        <v>Evans Hall (0120)</v>
      </c>
      <c r="O3265" t="s">
        <v>35</v>
      </c>
      <c r="P3265" t="str">
        <f t="shared" si="203"/>
        <v>57000_0120</v>
      </c>
      <c r="Q3265" s="180">
        <v>0</v>
      </c>
    </row>
    <row r="3266" spans="1:17">
      <c r="A3266" t="str">
        <f t="shared" si="200"/>
        <v>ABAC_0130</v>
      </c>
      <c r="B3266" t="str">
        <f t="shared" si="201"/>
        <v>ABAC_Central Plant</v>
      </c>
      <c r="C3266" t="s">
        <v>457</v>
      </c>
      <c r="D3266" s="180" t="s">
        <v>22</v>
      </c>
      <c r="E3266" t="s">
        <v>753</v>
      </c>
      <c r="F3266" t="s">
        <v>6363</v>
      </c>
      <c r="G3266" s="180">
        <v>8034</v>
      </c>
      <c r="H3266">
        <v>1972</v>
      </c>
      <c r="J3266" s="1334" t="s">
        <v>475</v>
      </c>
      <c r="K3266" s="1335" t="s">
        <v>475</v>
      </c>
      <c r="L3266" s="180">
        <v>100</v>
      </c>
      <c r="M3266" t="s">
        <v>67</v>
      </c>
      <c r="N3266" t="str">
        <f t="shared" si="202"/>
        <v>Central Plant (0130)</v>
      </c>
      <c r="O3266" t="s">
        <v>35</v>
      </c>
      <c r="P3266" t="str">
        <f t="shared" si="203"/>
        <v>57000_0130</v>
      </c>
      <c r="Q3266" s="180">
        <v>0</v>
      </c>
    </row>
    <row r="3267" spans="1:17">
      <c r="A3267" t="str">
        <f t="shared" ref="A3267:A3330" si="204">_xlfn.CONCAT(D3267,"_",E3267)</f>
        <v>ABAC_0140</v>
      </c>
      <c r="B3267" t="str">
        <f t="shared" ref="B3267:B3330" si="205">_xlfn.CONCAT(D3267,"_",F3267)</f>
        <v>ABAC_New Warehouse</v>
      </c>
      <c r="C3267" t="s">
        <v>457</v>
      </c>
      <c r="D3267" s="180" t="s">
        <v>22</v>
      </c>
      <c r="E3267" t="s">
        <v>700</v>
      </c>
      <c r="F3267" t="s">
        <v>6365</v>
      </c>
      <c r="G3267" s="180">
        <v>10297</v>
      </c>
      <c r="H3267">
        <v>1971</v>
      </c>
      <c r="J3267" s="1334" t="s">
        <v>475</v>
      </c>
      <c r="K3267" s="1335" t="s">
        <v>475</v>
      </c>
      <c r="L3267" s="180">
        <v>100</v>
      </c>
      <c r="M3267" t="s">
        <v>67</v>
      </c>
      <c r="N3267" t="str">
        <f t="shared" ref="N3267:N3330" si="206">_xlfn.CONCAT(F3267," (",E3267,")")</f>
        <v>New Warehouse (0140)</v>
      </c>
      <c r="O3267" t="s">
        <v>35</v>
      </c>
      <c r="P3267" t="str">
        <f t="shared" ref="P3267:P3330" si="207">_xlfn.CONCAT(C3267,"_",E3267)</f>
        <v>57000_0140</v>
      </c>
      <c r="Q3267" s="180">
        <v>0</v>
      </c>
    </row>
    <row r="3268" spans="1:17">
      <c r="A3268" t="str">
        <f t="shared" si="204"/>
        <v>ABAC_014B</v>
      </c>
      <c r="B3268" t="str">
        <f t="shared" si="205"/>
        <v>ABAC_Maintenance Shops</v>
      </c>
      <c r="C3268" t="s">
        <v>457</v>
      </c>
      <c r="D3268" s="180" t="s">
        <v>22</v>
      </c>
      <c r="E3268" t="s">
        <v>6255</v>
      </c>
      <c r="F3268" t="s">
        <v>6256</v>
      </c>
      <c r="G3268" s="180">
        <v>12000</v>
      </c>
      <c r="H3268">
        <v>1989</v>
      </c>
      <c r="J3268" s="1334" t="s">
        <v>475</v>
      </c>
      <c r="K3268" s="1335" t="s">
        <v>475</v>
      </c>
      <c r="L3268" s="180">
        <v>100</v>
      </c>
      <c r="M3268" t="s">
        <v>67</v>
      </c>
      <c r="N3268" t="str">
        <f t="shared" si="206"/>
        <v>Maintenance Shops (014B)</v>
      </c>
      <c r="O3268" t="s">
        <v>35</v>
      </c>
      <c r="P3268" t="str">
        <f t="shared" si="207"/>
        <v>57000_014B</v>
      </c>
      <c r="Q3268" s="180">
        <v>0</v>
      </c>
    </row>
    <row r="3269" spans="1:17">
      <c r="A3269" t="str">
        <f t="shared" si="204"/>
        <v>ABAC_0150</v>
      </c>
      <c r="B3269" t="str">
        <f t="shared" si="205"/>
        <v>ABAC_Donaldson Dining Hall</v>
      </c>
      <c r="C3269" t="s">
        <v>457</v>
      </c>
      <c r="D3269" s="180" t="s">
        <v>22</v>
      </c>
      <c r="E3269" t="s">
        <v>3961</v>
      </c>
      <c r="F3269" t="s">
        <v>6290</v>
      </c>
      <c r="G3269" s="180">
        <v>26871</v>
      </c>
      <c r="H3269">
        <v>1961</v>
      </c>
      <c r="I3269">
        <v>2012</v>
      </c>
      <c r="J3269" s="1334" t="s">
        <v>475</v>
      </c>
      <c r="K3269" s="1335" t="s">
        <v>475</v>
      </c>
      <c r="L3269" s="180">
        <v>0</v>
      </c>
      <c r="M3269" t="s">
        <v>67</v>
      </c>
      <c r="N3269" t="str">
        <f t="shared" si="206"/>
        <v>Donaldson Dining Hall (0150)</v>
      </c>
      <c r="O3269" t="s">
        <v>35</v>
      </c>
      <c r="P3269" t="str">
        <f t="shared" si="207"/>
        <v>57000_0150</v>
      </c>
      <c r="Q3269" s="180">
        <v>87</v>
      </c>
    </row>
    <row r="3270" spans="1:17">
      <c r="A3270" t="str">
        <f t="shared" si="204"/>
        <v>ABAC_0170</v>
      </c>
      <c r="B3270" t="str">
        <f t="shared" si="205"/>
        <v>ABAC_Carlton Center</v>
      </c>
      <c r="C3270" t="s">
        <v>457</v>
      </c>
      <c r="D3270" s="180" t="s">
        <v>22</v>
      </c>
      <c r="E3270" t="s">
        <v>884</v>
      </c>
      <c r="F3270" t="s">
        <v>6252</v>
      </c>
      <c r="G3270" s="180">
        <v>51681</v>
      </c>
      <c r="H3270">
        <v>1989</v>
      </c>
      <c r="I3270">
        <v>2020</v>
      </c>
      <c r="J3270" s="1334" t="s">
        <v>520</v>
      </c>
      <c r="K3270" s="1335" t="s">
        <v>475</v>
      </c>
      <c r="L3270" s="180">
        <v>85</v>
      </c>
      <c r="M3270" t="s">
        <v>67</v>
      </c>
      <c r="N3270" t="str">
        <f t="shared" si="206"/>
        <v>Carlton Center (0170)</v>
      </c>
      <c r="O3270" t="s">
        <v>35</v>
      </c>
      <c r="P3270" t="str">
        <f t="shared" si="207"/>
        <v>57000_0170</v>
      </c>
      <c r="Q3270" s="180">
        <v>0</v>
      </c>
    </row>
    <row r="3271" spans="1:17">
      <c r="A3271" t="str">
        <f t="shared" si="204"/>
        <v>ABAC_0180</v>
      </c>
      <c r="B3271" t="str">
        <f t="shared" si="205"/>
        <v>ABAC_King Hall</v>
      </c>
      <c r="C3271" t="s">
        <v>457</v>
      </c>
      <c r="D3271" s="180" t="s">
        <v>22</v>
      </c>
      <c r="E3271" t="s">
        <v>669</v>
      </c>
      <c r="F3271" t="s">
        <v>6342</v>
      </c>
      <c r="G3271" s="180">
        <v>10847</v>
      </c>
      <c r="H3271">
        <v>1939</v>
      </c>
      <c r="I3271">
        <v>2017</v>
      </c>
      <c r="J3271" s="1334" t="s">
        <v>520</v>
      </c>
      <c r="K3271" s="1335" t="s">
        <v>475</v>
      </c>
      <c r="L3271" s="180">
        <v>100</v>
      </c>
      <c r="M3271" t="s">
        <v>67</v>
      </c>
      <c r="N3271" t="str">
        <f t="shared" si="206"/>
        <v>King Hall (0180)</v>
      </c>
      <c r="O3271" t="s">
        <v>35</v>
      </c>
      <c r="P3271" t="str">
        <f t="shared" si="207"/>
        <v>57000_0180</v>
      </c>
      <c r="Q3271" s="180">
        <v>0</v>
      </c>
    </row>
    <row r="3272" spans="1:17">
      <c r="A3272" t="str">
        <f t="shared" si="204"/>
        <v>ABAC_0190</v>
      </c>
      <c r="B3272" t="str">
        <f t="shared" si="205"/>
        <v>ABAC_Conger Hall</v>
      </c>
      <c r="C3272" t="s">
        <v>457</v>
      </c>
      <c r="D3272" s="180" t="s">
        <v>22</v>
      </c>
      <c r="E3272" t="s">
        <v>767</v>
      </c>
      <c r="F3272" t="s">
        <v>6360</v>
      </c>
      <c r="G3272" s="180">
        <v>42654</v>
      </c>
      <c r="H3272">
        <v>1971</v>
      </c>
      <c r="J3272" s="1334" t="s">
        <v>475</v>
      </c>
      <c r="K3272" s="1335" t="s">
        <v>475</v>
      </c>
      <c r="L3272" s="180">
        <v>100</v>
      </c>
      <c r="M3272" t="s">
        <v>67</v>
      </c>
      <c r="N3272" t="str">
        <f t="shared" si="206"/>
        <v>Conger Hall (0190)</v>
      </c>
      <c r="O3272" t="s">
        <v>35</v>
      </c>
      <c r="P3272" t="str">
        <f t="shared" si="207"/>
        <v>57000_0190</v>
      </c>
      <c r="Q3272" s="180">
        <v>0</v>
      </c>
    </row>
    <row r="3273" spans="1:17">
      <c r="A3273" t="str">
        <f t="shared" si="204"/>
        <v>ABAC_0200</v>
      </c>
      <c r="B3273" t="str">
        <f t="shared" si="205"/>
        <v>ABAC_Music Building</v>
      </c>
      <c r="C3273" t="s">
        <v>457</v>
      </c>
      <c r="D3273" s="180" t="s">
        <v>22</v>
      </c>
      <c r="E3273" t="s">
        <v>500</v>
      </c>
      <c r="F3273" t="s">
        <v>5737</v>
      </c>
      <c r="G3273" s="180">
        <v>14850</v>
      </c>
      <c r="H3273">
        <v>1960</v>
      </c>
      <c r="J3273" s="1334" t="s">
        <v>475</v>
      </c>
      <c r="K3273" s="1335" t="s">
        <v>520</v>
      </c>
      <c r="L3273" s="180">
        <v>100</v>
      </c>
      <c r="M3273" t="s">
        <v>67</v>
      </c>
      <c r="N3273" t="str">
        <f t="shared" si="206"/>
        <v>Music Building (0200)</v>
      </c>
      <c r="O3273" t="s">
        <v>35</v>
      </c>
      <c r="P3273" t="str">
        <f t="shared" si="207"/>
        <v>57000_0200</v>
      </c>
      <c r="Q3273" s="180">
        <v>75</v>
      </c>
    </row>
    <row r="3274" spans="1:17">
      <c r="A3274" t="str">
        <f t="shared" si="204"/>
        <v>ABAC_0220</v>
      </c>
      <c r="B3274" t="str">
        <f t="shared" si="205"/>
        <v>ABAC_Britt Hall</v>
      </c>
      <c r="C3274" t="s">
        <v>457</v>
      </c>
      <c r="D3274" s="180" t="s">
        <v>22</v>
      </c>
      <c r="E3274" t="s">
        <v>4893</v>
      </c>
      <c r="F3274" t="s">
        <v>7058</v>
      </c>
      <c r="G3274" s="180">
        <v>13948</v>
      </c>
      <c r="H3274">
        <v>1964</v>
      </c>
      <c r="J3274" s="1334" t="s">
        <v>475</v>
      </c>
      <c r="K3274" s="1335" t="s">
        <v>475</v>
      </c>
      <c r="L3274" s="180">
        <v>100</v>
      </c>
      <c r="M3274" t="s">
        <v>67</v>
      </c>
      <c r="N3274" t="str">
        <f t="shared" si="206"/>
        <v>Britt Hall (0220)</v>
      </c>
      <c r="O3274" t="s">
        <v>35</v>
      </c>
      <c r="P3274" t="str">
        <f t="shared" si="207"/>
        <v>57000_0220</v>
      </c>
      <c r="Q3274" s="180">
        <v>0</v>
      </c>
    </row>
    <row r="3275" spans="1:17">
      <c r="A3275" t="str">
        <f t="shared" si="204"/>
        <v>ABAC_0230</v>
      </c>
      <c r="B3275" t="str">
        <f t="shared" si="205"/>
        <v>ABAC_Driggers Hall - Chapel</v>
      </c>
      <c r="C3275" t="s">
        <v>457</v>
      </c>
      <c r="D3275" s="180" t="s">
        <v>22</v>
      </c>
      <c r="E3275" t="s">
        <v>5130</v>
      </c>
      <c r="F3275" t="s">
        <v>7059</v>
      </c>
      <c r="G3275" s="180">
        <v>5624</v>
      </c>
      <c r="H3275">
        <v>1974</v>
      </c>
      <c r="J3275" s="1334" t="s">
        <v>475</v>
      </c>
      <c r="K3275" s="1335" t="s">
        <v>475</v>
      </c>
      <c r="L3275" s="180">
        <v>100</v>
      </c>
      <c r="M3275" t="s">
        <v>67</v>
      </c>
      <c r="N3275" t="str">
        <f t="shared" si="206"/>
        <v>Driggers Hall - Chapel (0230)</v>
      </c>
      <c r="O3275" t="s">
        <v>35</v>
      </c>
      <c r="P3275" t="str">
        <f t="shared" si="207"/>
        <v>57000_0230</v>
      </c>
      <c r="Q3275" s="180">
        <v>0</v>
      </c>
    </row>
    <row r="3276" spans="1:17">
      <c r="A3276" t="str">
        <f t="shared" si="204"/>
        <v>ABAC_0240</v>
      </c>
      <c r="B3276" t="str">
        <f t="shared" si="205"/>
        <v>ABAC_Science Lab Storage</v>
      </c>
      <c r="C3276" t="s">
        <v>457</v>
      </c>
      <c r="D3276" s="180" t="s">
        <v>22</v>
      </c>
      <c r="E3276" t="s">
        <v>4860</v>
      </c>
      <c r="F3276" t="s">
        <v>6235</v>
      </c>
      <c r="G3276" s="180">
        <v>120</v>
      </c>
      <c r="H3276">
        <v>1989</v>
      </c>
      <c r="J3276" s="1334" t="s">
        <v>475</v>
      </c>
      <c r="K3276" s="1335" t="s">
        <v>475</v>
      </c>
      <c r="L3276" s="180">
        <v>100</v>
      </c>
      <c r="M3276" t="s">
        <v>67</v>
      </c>
      <c r="N3276" t="str">
        <f t="shared" si="206"/>
        <v>Science Lab Storage (0240)</v>
      </c>
      <c r="O3276" t="s">
        <v>35</v>
      </c>
      <c r="P3276" t="str">
        <f t="shared" si="207"/>
        <v>57000_0240</v>
      </c>
      <c r="Q3276" s="180">
        <v>0</v>
      </c>
    </row>
    <row r="3277" spans="1:17">
      <c r="A3277" t="str">
        <f t="shared" si="204"/>
        <v>ABAC_0270</v>
      </c>
      <c r="B3277" t="str">
        <f t="shared" si="205"/>
        <v>ABAC_Gaines Hall</v>
      </c>
      <c r="C3277" t="s">
        <v>457</v>
      </c>
      <c r="D3277" s="180" t="s">
        <v>22</v>
      </c>
      <c r="E3277" t="s">
        <v>3834</v>
      </c>
      <c r="F3277" t="s">
        <v>7060</v>
      </c>
      <c r="G3277" s="180">
        <v>2177</v>
      </c>
      <c r="H3277">
        <v>1955</v>
      </c>
      <c r="I3277">
        <v>2018</v>
      </c>
      <c r="J3277" s="1334" t="s">
        <v>475</v>
      </c>
      <c r="K3277" s="1335" t="s">
        <v>475</v>
      </c>
      <c r="L3277" s="180">
        <v>0</v>
      </c>
      <c r="M3277" t="s">
        <v>67</v>
      </c>
      <c r="N3277" t="str">
        <f t="shared" si="206"/>
        <v>Gaines Hall (0270)</v>
      </c>
      <c r="O3277" t="s">
        <v>35</v>
      </c>
      <c r="P3277" t="str">
        <f t="shared" si="207"/>
        <v>57000_0270</v>
      </c>
      <c r="Q3277" s="180">
        <v>0</v>
      </c>
    </row>
    <row r="3278" spans="1:17">
      <c r="A3278" t="str">
        <f t="shared" si="204"/>
        <v>ABAC_0275</v>
      </c>
      <c r="B3278" t="str">
        <f t="shared" si="205"/>
        <v>ABAC_Health Sciences + Health Ctr</v>
      </c>
      <c r="C3278" t="s">
        <v>457</v>
      </c>
      <c r="D3278" s="180" t="s">
        <v>22</v>
      </c>
      <c r="E3278" t="s">
        <v>6349</v>
      </c>
      <c r="F3278" t="s">
        <v>7061</v>
      </c>
      <c r="G3278" s="180">
        <v>40120</v>
      </c>
      <c r="H3278">
        <v>2006</v>
      </c>
      <c r="J3278" s="1334" t="s">
        <v>520</v>
      </c>
      <c r="K3278" s="1335" t="s">
        <v>475</v>
      </c>
      <c r="L3278" s="180">
        <v>92</v>
      </c>
      <c r="M3278" t="s">
        <v>67</v>
      </c>
      <c r="N3278" t="str">
        <f t="shared" si="206"/>
        <v>Health Sciences + Health Ctr (0275)</v>
      </c>
      <c r="O3278" t="s">
        <v>35</v>
      </c>
      <c r="P3278" t="str">
        <f t="shared" si="207"/>
        <v>57000_0275</v>
      </c>
      <c r="Q3278" s="180">
        <v>0</v>
      </c>
    </row>
    <row r="3279" spans="1:17">
      <c r="A3279" t="str">
        <f t="shared" si="204"/>
        <v>ABAC_0310</v>
      </c>
      <c r="B3279" t="str">
        <f t="shared" si="205"/>
        <v>ABAC_Chambliss Building</v>
      </c>
      <c r="C3279" t="s">
        <v>457</v>
      </c>
      <c r="D3279" s="180" t="s">
        <v>22</v>
      </c>
      <c r="E3279" t="s">
        <v>4804</v>
      </c>
      <c r="F3279" t="s">
        <v>7062</v>
      </c>
      <c r="G3279" s="180">
        <v>22215</v>
      </c>
      <c r="H3279">
        <v>1971</v>
      </c>
      <c r="I3279">
        <v>2022</v>
      </c>
      <c r="J3279" s="1334" t="s">
        <v>475</v>
      </c>
      <c r="K3279" s="1335" t="s">
        <v>481</v>
      </c>
      <c r="L3279" s="180">
        <v>100</v>
      </c>
      <c r="M3279" t="s">
        <v>67</v>
      </c>
      <c r="N3279" t="str">
        <f t="shared" si="206"/>
        <v>Chambliss Building (0310)</v>
      </c>
      <c r="O3279" t="s">
        <v>35</v>
      </c>
      <c r="P3279" t="str">
        <f t="shared" si="207"/>
        <v>57000_0310</v>
      </c>
      <c r="Q3279" s="180">
        <v>0</v>
      </c>
    </row>
    <row r="3280" spans="1:17">
      <c r="A3280" t="str">
        <f t="shared" si="204"/>
        <v>ABAC_0315</v>
      </c>
      <c r="B3280" t="str">
        <f t="shared" si="205"/>
        <v>ABAC_Environmental Horticulture Bld</v>
      </c>
      <c r="C3280" t="s">
        <v>457</v>
      </c>
      <c r="D3280" s="180" t="s">
        <v>22</v>
      </c>
      <c r="E3280" t="s">
        <v>6236</v>
      </c>
      <c r="F3280" t="s">
        <v>6237</v>
      </c>
      <c r="G3280" s="180">
        <v>18474</v>
      </c>
      <c r="H3280">
        <v>2001</v>
      </c>
      <c r="J3280" s="1334" t="s">
        <v>475</v>
      </c>
      <c r="K3280" s="1335" t="s">
        <v>475</v>
      </c>
      <c r="L3280" s="180">
        <v>100</v>
      </c>
      <c r="M3280" t="s">
        <v>67</v>
      </c>
      <c r="N3280" t="str">
        <f t="shared" si="206"/>
        <v>Environmental Horticulture Bld (0315)</v>
      </c>
      <c r="O3280" t="s">
        <v>35</v>
      </c>
      <c r="P3280" t="str">
        <f t="shared" si="207"/>
        <v>57000_0315</v>
      </c>
      <c r="Q3280" s="180">
        <v>0</v>
      </c>
    </row>
    <row r="3281" spans="1:17">
      <c r="A3281" t="str">
        <f t="shared" si="204"/>
        <v>ABAC_0316</v>
      </c>
      <c r="B3281" t="str">
        <f t="shared" si="205"/>
        <v>ABAC_Environmental Hort Greenhouse</v>
      </c>
      <c r="C3281" t="s">
        <v>457</v>
      </c>
      <c r="D3281" s="180" t="s">
        <v>22</v>
      </c>
      <c r="E3281" t="s">
        <v>6371</v>
      </c>
      <c r="F3281" t="s">
        <v>6372</v>
      </c>
      <c r="G3281" s="180">
        <v>600</v>
      </c>
      <c r="H3281">
        <v>2000</v>
      </c>
      <c r="J3281" s="1334" t="s">
        <v>475</v>
      </c>
      <c r="K3281" s="1335" t="s">
        <v>475</v>
      </c>
      <c r="L3281" s="180">
        <v>100</v>
      </c>
      <c r="M3281" t="s">
        <v>67</v>
      </c>
      <c r="N3281" t="str">
        <f t="shared" si="206"/>
        <v>Environmental Hort Greenhouse (0316)</v>
      </c>
      <c r="O3281" t="s">
        <v>35</v>
      </c>
      <c r="P3281" t="str">
        <f t="shared" si="207"/>
        <v>57000_0316</v>
      </c>
      <c r="Q3281" s="180">
        <v>0</v>
      </c>
    </row>
    <row r="3282" spans="1:17">
      <c r="A3282" t="str">
        <f t="shared" si="204"/>
        <v>ABAC_0400</v>
      </c>
      <c r="B3282" t="str">
        <f t="shared" si="205"/>
        <v>ABAC_Alumni House</v>
      </c>
      <c r="C3282" t="s">
        <v>457</v>
      </c>
      <c r="D3282" s="180" t="s">
        <v>22</v>
      </c>
      <c r="E3282" t="s">
        <v>5297</v>
      </c>
      <c r="F3282" t="s">
        <v>525</v>
      </c>
      <c r="G3282" s="180">
        <v>4480</v>
      </c>
      <c r="H3282">
        <v>1967</v>
      </c>
      <c r="J3282" s="1334" t="s">
        <v>475</v>
      </c>
      <c r="K3282" s="1335" t="s">
        <v>475</v>
      </c>
      <c r="L3282" s="180">
        <v>100</v>
      </c>
      <c r="M3282" t="s">
        <v>67</v>
      </c>
      <c r="N3282" t="str">
        <f t="shared" si="206"/>
        <v>Alumni House (0400)</v>
      </c>
      <c r="O3282" t="s">
        <v>35</v>
      </c>
      <c r="P3282" t="str">
        <f t="shared" si="207"/>
        <v>57000_0400</v>
      </c>
      <c r="Q3282" s="180">
        <v>0</v>
      </c>
    </row>
    <row r="3283" spans="1:17">
      <c r="A3283" t="str">
        <f t="shared" si="204"/>
        <v>ABAC_0430</v>
      </c>
      <c r="B3283" t="str">
        <f t="shared" si="205"/>
        <v>ABAC_Yow Forestry-Wildlife Bldg</v>
      </c>
      <c r="C3283" t="s">
        <v>457</v>
      </c>
      <c r="D3283" s="180" t="s">
        <v>22</v>
      </c>
      <c r="E3283" t="s">
        <v>4878</v>
      </c>
      <c r="F3283" t="s">
        <v>7063</v>
      </c>
      <c r="G3283" s="180">
        <v>23914</v>
      </c>
      <c r="H3283">
        <v>1979</v>
      </c>
      <c r="I3283">
        <v>2016</v>
      </c>
      <c r="J3283" s="1334" t="s">
        <v>475</v>
      </c>
      <c r="K3283" s="1335" t="s">
        <v>475</v>
      </c>
      <c r="L3283" s="180">
        <v>100</v>
      </c>
      <c r="M3283" t="s">
        <v>67</v>
      </c>
      <c r="N3283" t="str">
        <f t="shared" si="206"/>
        <v>Yow Forestry-Wildlife Bldg (0430)</v>
      </c>
      <c r="O3283" t="s">
        <v>35</v>
      </c>
      <c r="P3283" t="str">
        <f t="shared" si="207"/>
        <v>57000_0430</v>
      </c>
      <c r="Q3283" s="180">
        <v>0</v>
      </c>
    </row>
    <row r="3284" spans="1:17">
      <c r="A3284" t="str">
        <f t="shared" si="204"/>
        <v>ABAC_0440</v>
      </c>
      <c r="B3284" t="str">
        <f t="shared" si="205"/>
        <v>ABAC_Agricultural Sciences Bldg</v>
      </c>
      <c r="C3284" t="s">
        <v>457</v>
      </c>
      <c r="D3284" s="180" t="s">
        <v>22</v>
      </c>
      <c r="E3284" t="s">
        <v>4767</v>
      </c>
      <c r="F3284" t="s">
        <v>7064</v>
      </c>
      <c r="G3284" s="180">
        <v>38669</v>
      </c>
      <c r="H3284">
        <v>2003</v>
      </c>
      <c r="J3284" s="1334" t="s">
        <v>520</v>
      </c>
      <c r="K3284" s="1335" t="s">
        <v>475</v>
      </c>
      <c r="L3284" s="180">
        <v>100</v>
      </c>
      <c r="M3284" t="s">
        <v>67</v>
      </c>
      <c r="N3284" t="str">
        <f t="shared" si="206"/>
        <v>Agricultural Sciences Bldg (0440)</v>
      </c>
      <c r="O3284" t="s">
        <v>35</v>
      </c>
      <c r="P3284" t="str">
        <f t="shared" si="207"/>
        <v>57000_0440</v>
      </c>
      <c r="Q3284" s="180">
        <v>30</v>
      </c>
    </row>
    <row r="3285" spans="1:17">
      <c r="A3285" t="str">
        <f t="shared" si="204"/>
        <v>ABAC_0445</v>
      </c>
      <c r="B3285" t="str">
        <f t="shared" si="205"/>
        <v>ABAC_Agricultural Technology Bldg</v>
      </c>
      <c r="C3285" t="s">
        <v>457</v>
      </c>
      <c r="D3285" s="180" t="s">
        <v>22</v>
      </c>
      <c r="E3285" t="s">
        <v>4812</v>
      </c>
      <c r="F3285" t="s">
        <v>7804</v>
      </c>
      <c r="G3285" s="180">
        <v>27000</v>
      </c>
      <c r="H3285">
        <v>2023</v>
      </c>
      <c r="J3285" s="1334" t="s">
        <v>475</v>
      </c>
      <c r="K3285" s="1335" t="s">
        <v>920</v>
      </c>
      <c r="L3285" s="180">
        <v>100</v>
      </c>
      <c r="M3285" t="s">
        <v>67</v>
      </c>
      <c r="N3285" t="str">
        <f t="shared" si="206"/>
        <v>Agricultural Technology Bldg (0445)</v>
      </c>
      <c r="O3285" t="s">
        <v>35</v>
      </c>
      <c r="P3285" t="str">
        <f t="shared" si="207"/>
        <v>57000_0445</v>
      </c>
      <c r="Q3285" s="180">
        <v>100</v>
      </c>
    </row>
    <row r="3286" spans="1:17">
      <c r="A3286" t="str">
        <f t="shared" si="204"/>
        <v>ABAC_0460</v>
      </c>
      <c r="B3286" t="str">
        <f t="shared" si="205"/>
        <v>ABAC_Lab Sciences Building</v>
      </c>
      <c r="C3286" t="s">
        <v>457</v>
      </c>
      <c r="D3286" s="180" t="s">
        <v>22</v>
      </c>
      <c r="E3286" t="s">
        <v>4850</v>
      </c>
      <c r="F3286" t="s">
        <v>7065</v>
      </c>
      <c r="G3286" s="180">
        <v>20966</v>
      </c>
      <c r="H3286">
        <v>2015</v>
      </c>
      <c r="J3286" s="1334" t="s">
        <v>520</v>
      </c>
      <c r="K3286" s="1335" t="s">
        <v>475</v>
      </c>
      <c r="L3286" s="180">
        <v>100</v>
      </c>
      <c r="M3286" t="s">
        <v>67</v>
      </c>
      <c r="N3286" t="str">
        <f t="shared" si="206"/>
        <v>Lab Sciences Building (0460)</v>
      </c>
      <c r="O3286" t="s">
        <v>35</v>
      </c>
      <c r="P3286" t="str">
        <f t="shared" si="207"/>
        <v>57000_0460</v>
      </c>
      <c r="Q3286" s="180">
        <v>0</v>
      </c>
    </row>
    <row r="3287" spans="1:17">
      <c r="A3287" t="str">
        <f t="shared" si="204"/>
        <v>ABAC_0470</v>
      </c>
      <c r="B3287" t="str">
        <f t="shared" si="205"/>
        <v>ABAC_Edwards Hall</v>
      </c>
      <c r="C3287" t="s">
        <v>457</v>
      </c>
      <c r="D3287" s="180" t="s">
        <v>22</v>
      </c>
      <c r="E3287" t="s">
        <v>4768</v>
      </c>
      <c r="F3287" t="s">
        <v>6298</v>
      </c>
      <c r="G3287" s="180">
        <v>23640</v>
      </c>
      <c r="H3287">
        <v>2020</v>
      </c>
      <c r="J3287" s="1334" t="s">
        <v>520</v>
      </c>
      <c r="K3287" s="1335" t="s">
        <v>475</v>
      </c>
      <c r="L3287" s="180">
        <v>100</v>
      </c>
      <c r="M3287" t="s">
        <v>67</v>
      </c>
      <c r="N3287" t="str">
        <f t="shared" si="206"/>
        <v>Edwards Hall (0470)</v>
      </c>
      <c r="O3287" t="s">
        <v>35</v>
      </c>
      <c r="P3287" t="str">
        <f t="shared" si="207"/>
        <v>57000_0470</v>
      </c>
      <c r="Q3287" s="180">
        <v>0</v>
      </c>
    </row>
    <row r="3288" spans="1:17">
      <c r="A3288" t="str">
        <f t="shared" si="204"/>
        <v>ABAC_0510</v>
      </c>
      <c r="B3288" t="str">
        <f t="shared" si="205"/>
        <v>ABAC_Tennis Center Restrooms</v>
      </c>
      <c r="C3288" t="s">
        <v>457</v>
      </c>
      <c r="D3288" s="180" t="s">
        <v>22</v>
      </c>
      <c r="E3288" t="s">
        <v>4911</v>
      </c>
      <c r="F3288" t="s">
        <v>6313</v>
      </c>
      <c r="G3288" s="180">
        <v>787</v>
      </c>
      <c r="H3288">
        <v>1976</v>
      </c>
      <c r="I3288">
        <v>2002</v>
      </c>
      <c r="J3288" s="1334" t="s">
        <v>475</v>
      </c>
      <c r="K3288" s="1335" t="s">
        <v>475</v>
      </c>
      <c r="L3288" s="180">
        <v>100</v>
      </c>
      <c r="M3288" t="s">
        <v>67</v>
      </c>
      <c r="N3288" t="str">
        <f t="shared" si="206"/>
        <v>Tennis Center Restrooms (0510)</v>
      </c>
      <c r="O3288" t="s">
        <v>35</v>
      </c>
      <c r="P3288" t="str">
        <f t="shared" si="207"/>
        <v>57000_0510</v>
      </c>
      <c r="Q3288" s="180">
        <v>0</v>
      </c>
    </row>
    <row r="3289" spans="1:17">
      <c r="A3289" t="str">
        <f t="shared" si="204"/>
        <v>ABAC_0530</v>
      </c>
      <c r="B3289" t="str">
        <f t="shared" si="205"/>
        <v>ABAC_Tennis Storage</v>
      </c>
      <c r="C3289" t="s">
        <v>457</v>
      </c>
      <c r="D3289" s="180" t="s">
        <v>22</v>
      </c>
      <c r="E3289" t="s">
        <v>4782</v>
      </c>
      <c r="F3289" t="s">
        <v>6385</v>
      </c>
      <c r="G3289" s="180">
        <v>316</v>
      </c>
      <c r="H3289">
        <v>1993</v>
      </c>
      <c r="J3289" s="1334" t="s">
        <v>475</v>
      </c>
      <c r="K3289" s="1335" t="s">
        <v>475</v>
      </c>
      <c r="L3289" s="180">
        <v>100</v>
      </c>
      <c r="M3289" t="s">
        <v>67</v>
      </c>
      <c r="N3289" t="str">
        <f t="shared" si="206"/>
        <v>Tennis Storage (0530)</v>
      </c>
      <c r="O3289" t="s">
        <v>35</v>
      </c>
      <c r="P3289" t="str">
        <f t="shared" si="207"/>
        <v>57000_0530</v>
      </c>
      <c r="Q3289" s="180">
        <v>100</v>
      </c>
    </row>
    <row r="3290" spans="1:17">
      <c r="A3290" t="str">
        <f t="shared" si="204"/>
        <v>ABAC_0540</v>
      </c>
      <c r="B3290" t="str">
        <f t="shared" si="205"/>
        <v>ABAC_Red Hill Athletic Center</v>
      </c>
      <c r="C3290" t="s">
        <v>457</v>
      </c>
      <c r="D3290" s="180" t="s">
        <v>22</v>
      </c>
      <c r="E3290" t="s">
        <v>4796</v>
      </c>
      <c r="F3290" t="s">
        <v>6327</v>
      </c>
      <c r="G3290" s="180">
        <v>6757</v>
      </c>
      <c r="H3290">
        <v>2002</v>
      </c>
      <c r="J3290" s="1334" t="s">
        <v>475</v>
      </c>
      <c r="K3290" s="1335" t="s">
        <v>475</v>
      </c>
      <c r="L3290" s="180">
        <v>100</v>
      </c>
      <c r="M3290" t="s">
        <v>67</v>
      </c>
      <c r="N3290" t="str">
        <f t="shared" si="206"/>
        <v>Red Hill Athletic Center (0540)</v>
      </c>
      <c r="O3290" t="s">
        <v>35</v>
      </c>
      <c r="P3290" t="str">
        <f t="shared" si="207"/>
        <v>57000_0540</v>
      </c>
      <c r="Q3290" s="180">
        <v>60</v>
      </c>
    </row>
    <row r="3291" spans="1:17">
      <c r="A3291" t="str">
        <f t="shared" si="204"/>
        <v>ABAC_0550</v>
      </c>
      <c r="B3291" t="str">
        <f t="shared" si="205"/>
        <v>ABAC_Tennis Center Concession/Strg</v>
      </c>
      <c r="C3291" t="s">
        <v>457</v>
      </c>
      <c r="D3291" s="180" t="s">
        <v>22</v>
      </c>
      <c r="E3291" t="s">
        <v>4784</v>
      </c>
      <c r="F3291" t="s">
        <v>6268</v>
      </c>
      <c r="G3291" s="180">
        <v>602</v>
      </c>
      <c r="H3291">
        <v>2002</v>
      </c>
      <c r="J3291" s="1334" t="s">
        <v>475</v>
      </c>
      <c r="K3291" s="1335" t="s">
        <v>475</v>
      </c>
      <c r="L3291" s="180">
        <v>100</v>
      </c>
      <c r="M3291" t="s">
        <v>67</v>
      </c>
      <c r="N3291" t="str">
        <f t="shared" si="206"/>
        <v>Tennis Center Concession/Strg (0550)</v>
      </c>
      <c r="O3291" t="s">
        <v>35</v>
      </c>
      <c r="P3291" t="str">
        <f t="shared" si="207"/>
        <v>57000_0550</v>
      </c>
      <c r="Q3291" s="180">
        <v>84</v>
      </c>
    </row>
    <row r="3292" spans="1:17">
      <c r="A3292" t="str">
        <f t="shared" si="204"/>
        <v>ABAC_0600</v>
      </c>
      <c r="B3292" t="str">
        <f t="shared" si="205"/>
        <v>ABAC_Farm Green House #1</v>
      </c>
      <c r="C3292" t="s">
        <v>457</v>
      </c>
      <c r="D3292" s="180" t="s">
        <v>22</v>
      </c>
      <c r="E3292" t="s">
        <v>4818</v>
      </c>
      <c r="F3292" t="s">
        <v>6318</v>
      </c>
      <c r="G3292" s="180">
        <v>3224</v>
      </c>
      <c r="H3292">
        <v>1981</v>
      </c>
      <c r="J3292" s="1334" t="s">
        <v>475</v>
      </c>
      <c r="K3292" s="1335" t="s">
        <v>475</v>
      </c>
      <c r="L3292" s="180">
        <v>100</v>
      </c>
      <c r="M3292" t="s">
        <v>67</v>
      </c>
      <c r="N3292" t="str">
        <f t="shared" si="206"/>
        <v>Farm Green House #1 (0600)</v>
      </c>
      <c r="O3292" t="s">
        <v>35</v>
      </c>
      <c r="P3292" t="str">
        <f t="shared" si="207"/>
        <v>57000_0600</v>
      </c>
      <c r="Q3292" s="180">
        <v>0</v>
      </c>
    </row>
    <row r="3293" spans="1:17">
      <c r="A3293" t="str">
        <f t="shared" si="204"/>
        <v>ABAC_0601</v>
      </c>
      <c r="B3293" t="str">
        <f t="shared" si="205"/>
        <v>ABAC_Farm Green House #2</v>
      </c>
      <c r="C3293" t="s">
        <v>457</v>
      </c>
      <c r="D3293" s="180" t="s">
        <v>22</v>
      </c>
      <c r="E3293" t="s">
        <v>880</v>
      </c>
      <c r="F3293" t="s">
        <v>6317</v>
      </c>
      <c r="G3293" s="180">
        <v>3600</v>
      </c>
      <c r="H3293">
        <v>2019</v>
      </c>
      <c r="J3293" s="1334" t="s">
        <v>475</v>
      </c>
      <c r="K3293" s="1335" t="s">
        <v>475</v>
      </c>
      <c r="L3293" s="180">
        <v>100</v>
      </c>
      <c r="M3293" t="s">
        <v>67</v>
      </c>
      <c r="N3293" t="str">
        <f t="shared" si="206"/>
        <v>Farm Green House #2 (0601)</v>
      </c>
      <c r="O3293" t="s">
        <v>35</v>
      </c>
      <c r="P3293" t="str">
        <f t="shared" si="207"/>
        <v>57000_0601</v>
      </c>
      <c r="Q3293" s="180">
        <v>100</v>
      </c>
    </row>
    <row r="3294" spans="1:17">
      <c r="A3294" t="str">
        <f t="shared" si="204"/>
        <v>ABAC_0610</v>
      </c>
      <c r="B3294" t="str">
        <f t="shared" si="205"/>
        <v>ABAC_Hort Storage House #1</v>
      </c>
      <c r="C3294" t="s">
        <v>457</v>
      </c>
      <c r="D3294" s="180" t="s">
        <v>22</v>
      </c>
      <c r="E3294" t="s">
        <v>4922</v>
      </c>
      <c r="F3294" t="s">
        <v>6386</v>
      </c>
      <c r="G3294" s="180">
        <v>624</v>
      </c>
      <c r="H3294">
        <v>1978</v>
      </c>
      <c r="J3294" s="1334" t="s">
        <v>475</v>
      </c>
      <c r="K3294" s="1335" t="s">
        <v>475</v>
      </c>
      <c r="L3294" s="180">
        <v>100</v>
      </c>
      <c r="M3294" t="s">
        <v>67</v>
      </c>
      <c r="N3294" t="str">
        <f t="shared" si="206"/>
        <v>Hort Storage House #1 (0610)</v>
      </c>
      <c r="O3294" t="s">
        <v>35</v>
      </c>
      <c r="P3294" t="str">
        <f t="shared" si="207"/>
        <v>57000_0610</v>
      </c>
      <c r="Q3294" s="180">
        <v>65</v>
      </c>
    </row>
    <row r="3295" spans="1:17">
      <c r="A3295" t="str">
        <f t="shared" si="204"/>
        <v>ABAC_0620</v>
      </c>
      <c r="B3295" t="str">
        <f t="shared" si="205"/>
        <v>ABAC_Hort Storage House #2</v>
      </c>
      <c r="C3295" t="s">
        <v>457</v>
      </c>
      <c r="D3295" s="180" t="s">
        <v>22</v>
      </c>
      <c r="E3295" t="s">
        <v>2735</v>
      </c>
      <c r="F3295" t="s">
        <v>6370</v>
      </c>
      <c r="G3295" s="180">
        <v>624</v>
      </c>
      <c r="H3295">
        <v>1981</v>
      </c>
      <c r="J3295" s="1336" t="s">
        <v>475</v>
      </c>
      <c r="K3295" s="1335" t="s">
        <v>475</v>
      </c>
      <c r="L3295" s="180">
        <v>100</v>
      </c>
      <c r="M3295" t="s">
        <v>67</v>
      </c>
      <c r="N3295" t="str">
        <f t="shared" si="206"/>
        <v>Hort Storage House #2 (0620)</v>
      </c>
      <c r="O3295" t="s">
        <v>35</v>
      </c>
      <c r="P3295" t="str">
        <f t="shared" si="207"/>
        <v>57000_0620</v>
      </c>
      <c r="Q3295" s="180">
        <v>29</v>
      </c>
    </row>
    <row r="3296" spans="1:17">
      <c r="A3296" t="str">
        <f t="shared" si="204"/>
        <v>ABAC_0631</v>
      </c>
      <c r="B3296" t="str">
        <f t="shared" si="205"/>
        <v>ABAC_Farm Shop</v>
      </c>
      <c r="C3296" t="s">
        <v>457</v>
      </c>
      <c r="D3296" s="180" t="s">
        <v>22</v>
      </c>
      <c r="E3296" t="s">
        <v>1718</v>
      </c>
      <c r="F3296" t="s">
        <v>6319</v>
      </c>
      <c r="G3296" s="180">
        <v>6000</v>
      </c>
      <c r="H3296">
        <v>2022</v>
      </c>
      <c r="J3296" s="1334" t="s">
        <v>475</v>
      </c>
      <c r="K3296" s="1335" t="s">
        <v>475</v>
      </c>
      <c r="L3296" s="180">
        <v>100</v>
      </c>
      <c r="M3296" t="s">
        <v>67</v>
      </c>
      <c r="N3296" t="str">
        <f t="shared" si="206"/>
        <v>Farm Shop (0631)</v>
      </c>
      <c r="O3296" t="s">
        <v>35</v>
      </c>
      <c r="P3296" t="str">
        <f t="shared" si="207"/>
        <v>57000_0631</v>
      </c>
      <c r="Q3296" s="180">
        <v>0</v>
      </c>
    </row>
    <row r="3297" spans="1:17">
      <c r="A3297" t="str">
        <f t="shared" si="204"/>
        <v>ABAC_0632</v>
      </c>
      <c r="B3297" t="str">
        <f t="shared" si="205"/>
        <v>ABAC_Equipment Shed #1</v>
      </c>
      <c r="C3297" t="s">
        <v>457</v>
      </c>
      <c r="D3297" s="180" t="s">
        <v>22</v>
      </c>
      <c r="E3297" t="s">
        <v>3836</v>
      </c>
      <c r="F3297" t="s">
        <v>6279</v>
      </c>
      <c r="G3297" s="180">
        <v>1665</v>
      </c>
      <c r="H3297">
        <v>1978</v>
      </c>
      <c r="J3297" s="1334" t="s">
        <v>475</v>
      </c>
      <c r="K3297" s="1335" t="s">
        <v>475</v>
      </c>
      <c r="L3297" s="180">
        <v>100</v>
      </c>
      <c r="M3297" t="s">
        <v>67</v>
      </c>
      <c r="N3297" t="str">
        <f t="shared" si="206"/>
        <v>Equipment Shed #1 (0632)</v>
      </c>
      <c r="O3297" t="s">
        <v>35</v>
      </c>
      <c r="P3297" t="str">
        <f t="shared" si="207"/>
        <v>57000_0632</v>
      </c>
      <c r="Q3297" s="180">
        <v>100</v>
      </c>
    </row>
    <row r="3298" spans="1:17">
      <c r="A3298" t="str">
        <f t="shared" si="204"/>
        <v>ABAC_0633</v>
      </c>
      <c r="B3298" t="str">
        <f t="shared" si="205"/>
        <v>ABAC_Equipment Shed #2</v>
      </c>
      <c r="C3298" t="s">
        <v>457</v>
      </c>
      <c r="D3298" s="180" t="s">
        <v>22</v>
      </c>
      <c r="E3298" t="s">
        <v>6350</v>
      </c>
      <c r="F3298" t="s">
        <v>6351</v>
      </c>
      <c r="G3298" s="180">
        <v>5977</v>
      </c>
      <c r="H3298">
        <v>1985</v>
      </c>
      <c r="J3298" s="1334" t="s">
        <v>475</v>
      </c>
      <c r="K3298" s="1335" t="s">
        <v>475</v>
      </c>
      <c r="L3298" s="180">
        <v>100</v>
      </c>
      <c r="M3298" t="s">
        <v>67</v>
      </c>
      <c r="N3298" t="str">
        <f t="shared" si="206"/>
        <v>Equipment Shed #2 (0633)</v>
      </c>
      <c r="O3298" t="s">
        <v>35</v>
      </c>
      <c r="P3298" t="str">
        <f t="shared" si="207"/>
        <v>57000_0633</v>
      </c>
      <c r="Q3298" s="180">
        <v>0</v>
      </c>
    </row>
    <row r="3299" spans="1:17">
      <c r="A3299" t="str">
        <f t="shared" si="204"/>
        <v>ABAC_0634</v>
      </c>
      <c r="B3299" t="str">
        <f t="shared" si="205"/>
        <v>ABAC_Equipment Shed #3</v>
      </c>
      <c r="C3299" t="s">
        <v>457</v>
      </c>
      <c r="D3299" s="180" t="s">
        <v>22</v>
      </c>
      <c r="E3299" t="s">
        <v>6259</v>
      </c>
      <c r="F3299" t="s">
        <v>6260</v>
      </c>
      <c r="G3299" s="180">
        <v>978</v>
      </c>
      <c r="H3299">
        <v>1985</v>
      </c>
      <c r="J3299" s="1334" t="s">
        <v>475</v>
      </c>
      <c r="K3299" s="1335" t="s">
        <v>475</v>
      </c>
      <c r="L3299" s="180">
        <v>100</v>
      </c>
      <c r="M3299" t="s">
        <v>67</v>
      </c>
      <c r="N3299" t="str">
        <f t="shared" si="206"/>
        <v>Equipment Shed #3 (0634)</v>
      </c>
      <c r="O3299" t="s">
        <v>35</v>
      </c>
      <c r="P3299" t="str">
        <f t="shared" si="207"/>
        <v>57000_0634</v>
      </c>
      <c r="Q3299" s="180">
        <v>0</v>
      </c>
    </row>
    <row r="3300" spans="1:17">
      <c r="A3300" t="str">
        <f t="shared" si="204"/>
        <v>ABAC_0635</v>
      </c>
      <c r="B3300" t="str">
        <f t="shared" si="205"/>
        <v>ABAC_Equipment Shed #4</v>
      </c>
      <c r="C3300" t="s">
        <v>457</v>
      </c>
      <c r="D3300" s="180" t="s">
        <v>22</v>
      </c>
      <c r="E3300" t="s">
        <v>6269</v>
      </c>
      <c r="F3300" t="s">
        <v>6270</v>
      </c>
      <c r="G3300" s="180">
        <v>7676</v>
      </c>
      <c r="H3300">
        <v>1985</v>
      </c>
      <c r="J3300" s="1334" t="s">
        <v>475</v>
      </c>
      <c r="K3300" s="1335" t="s">
        <v>475</v>
      </c>
      <c r="L3300" s="180">
        <v>100</v>
      </c>
      <c r="M3300" t="s">
        <v>67</v>
      </c>
      <c r="N3300" t="str">
        <f t="shared" si="206"/>
        <v>Equipment Shed #4 (0635)</v>
      </c>
      <c r="O3300" t="s">
        <v>35</v>
      </c>
      <c r="P3300" t="str">
        <f t="shared" si="207"/>
        <v>57000_0635</v>
      </c>
      <c r="Q3300" s="180">
        <v>0</v>
      </c>
    </row>
    <row r="3301" spans="1:17">
      <c r="A3301" t="str">
        <f t="shared" si="204"/>
        <v>ABAC_0636</v>
      </c>
      <c r="B3301" t="str">
        <f t="shared" si="205"/>
        <v>ABAC_Farm Shed #1/Sow Barn</v>
      </c>
      <c r="C3301" t="s">
        <v>457</v>
      </c>
      <c r="D3301" s="180" t="s">
        <v>22</v>
      </c>
      <c r="E3301" t="s">
        <v>6305</v>
      </c>
      <c r="F3301" t="s">
        <v>6306</v>
      </c>
      <c r="G3301" s="180">
        <v>2499</v>
      </c>
      <c r="H3301">
        <v>1974</v>
      </c>
      <c r="J3301" s="1334" t="s">
        <v>475</v>
      </c>
      <c r="K3301" s="1335" t="s">
        <v>475</v>
      </c>
      <c r="L3301" s="180">
        <v>100</v>
      </c>
      <c r="M3301" t="s">
        <v>67</v>
      </c>
      <c r="N3301" t="str">
        <f t="shared" si="206"/>
        <v>Farm Shed #1/Sow Barn (0636)</v>
      </c>
      <c r="O3301" t="s">
        <v>35</v>
      </c>
      <c r="P3301" t="str">
        <f t="shared" si="207"/>
        <v>57000_0636</v>
      </c>
      <c r="Q3301" s="180">
        <v>0</v>
      </c>
    </row>
    <row r="3302" spans="1:17">
      <c r="A3302" t="str">
        <f t="shared" si="204"/>
        <v>ABAC_0637</v>
      </c>
      <c r="B3302" t="str">
        <f t="shared" si="205"/>
        <v>ABAC_Farm Shed #2/Finishing Barn</v>
      </c>
      <c r="C3302" t="s">
        <v>457</v>
      </c>
      <c r="D3302" s="180" t="s">
        <v>22</v>
      </c>
      <c r="E3302" t="s">
        <v>6250</v>
      </c>
      <c r="F3302" t="s">
        <v>6251</v>
      </c>
      <c r="G3302" s="180">
        <v>3043</v>
      </c>
      <c r="H3302">
        <v>1974</v>
      </c>
      <c r="J3302" s="1334" t="s">
        <v>475</v>
      </c>
      <c r="K3302" s="1335" t="s">
        <v>475</v>
      </c>
      <c r="L3302" s="180">
        <v>100</v>
      </c>
      <c r="M3302" t="s">
        <v>67</v>
      </c>
      <c r="N3302" t="str">
        <f t="shared" si="206"/>
        <v>Farm Shed #2/Finishing Barn (0637)</v>
      </c>
      <c r="O3302" t="s">
        <v>35</v>
      </c>
      <c r="P3302" t="str">
        <f t="shared" si="207"/>
        <v>57000_0637</v>
      </c>
      <c r="Q3302" s="180">
        <v>0</v>
      </c>
    </row>
    <row r="3303" spans="1:17">
      <c r="A3303" t="str">
        <f t="shared" si="204"/>
        <v>ABAC_0638</v>
      </c>
      <c r="B3303" t="str">
        <f t="shared" si="205"/>
        <v>ABAC_Beef Unit #2 (Zion Hope Rd.)</v>
      </c>
      <c r="C3303" t="s">
        <v>457</v>
      </c>
      <c r="D3303" s="180" t="s">
        <v>22</v>
      </c>
      <c r="E3303" t="s">
        <v>7652</v>
      </c>
      <c r="F3303" t="s">
        <v>7805</v>
      </c>
      <c r="G3303" s="180">
        <v>2400</v>
      </c>
      <c r="H3303">
        <v>2022</v>
      </c>
      <c r="J3303" s="1334" t="s">
        <v>475</v>
      </c>
      <c r="K3303" s="1335" t="s">
        <v>475</v>
      </c>
      <c r="L3303" s="180">
        <v>100</v>
      </c>
      <c r="M3303" t="s">
        <v>67</v>
      </c>
      <c r="N3303" t="str">
        <f t="shared" si="206"/>
        <v>Beef Unit #2 (Zion Hope Rd.) (0638)</v>
      </c>
      <c r="O3303" t="s">
        <v>35</v>
      </c>
      <c r="P3303" t="str">
        <f t="shared" si="207"/>
        <v>57000_0638</v>
      </c>
      <c r="Q3303" s="180">
        <v>12</v>
      </c>
    </row>
    <row r="3304" spans="1:17">
      <c r="A3304" t="str">
        <f t="shared" si="204"/>
        <v>ABAC_0639</v>
      </c>
      <c r="B3304" t="str">
        <f t="shared" si="205"/>
        <v>ABAC_Beef Unit Hay Barn</v>
      </c>
      <c r="C3304" t="s">
        <v>457</v>
      </c>
      <c r="D3304" s="180" t="s">
        <v>22</v>
      </c>
      <c r="E3304" t="s">
        <v>6280</v>
      </c>
      <c r="F3304" t="s">
        <v>6281</v>
      </c>
      <c r="G3304" s="180">
        <v>2995</v>
      </c>
      <c r="H3304">
        <v>1990</v>
      </c>
      <c r="J3304" s="1334" t="s">
        <v>475</v>
      </c>
      <c r="K3304" s="1335" t="s">
        <v>475</v>
      </c>
      <c r="L3304" s="180">
        <v>100</v>
      </c>
      <c r="M3304" t="s">
        <v>67</v>
      </c>
      <c r="N3304" t="str">
        <f t="shared" si="206"/>
        <v>Beef Unit Hay Barn (0639)</v>
      </c>
      <c r="O3304" t="s">
        <v>35</v>
      </c>
      <c r="P3304" t="str">
        <f t="shared" si="207"/>
        <v>57000_0639</v>
      </c>
      <c r="Q3304" s="180">
        <v>0</v>
      </c>
    </row>
    <row r="3305" spans="1:17">
      <c r="A3305" t="str">
        <f t="shared" si="204"/>
        <v>ABAC_0640</v>
      </c>
      <c r="B3305" t="str">
        <f t="shared" si="205"/>
        <v>ABAC_Corral Shelter</v>
      </c>
      <c r="C3305" t="s">
        <v>457</v>
      </c>
      <c r="D3305" s="180" t="s">
        <v>22</v>
      </c>
      <c r="E3305" t="s">
        <v>4364</v>
      </c>
      <c r="F3305" t="s">
        <v>7066</v>
      </c>
      <c r="G3305" s="180">
        <v>5352</v>
      </c>
      <c r="H3305">
        <v>1954</v>
      </c>
      <c r="I3305">
        <v>2011</v>
      </c>
      <c r="J3305" s="1334" t="s">
        <v>475</v>
      </c>
      <c r="K3305" s="1335" t="s">
        <v>475</v>
      </c>
      <c r="L3305" s="180">
        <v>100</v>
      </c>
      <c r="M3305" t="s">
        <v>67</v>
      </c>
      <c r="N3305" t="str">
        <f t="shared" si="206"/>
        <v>Corral Shelter (0640)</v>
      </c>
      <c r="O3305" t="s">
        <v>35</v>
      </c>
      <c r="P3305" t="str">
        <f t="shared" si="207"/>
        <v>57000_0640</v>
      </c>
      <c r="Q3305" s="180">
        <v>68</v>
      </c>
    </row>
    <row r="3306" spans="1:17">
      <c r="A3306" t="str">
        <f t="shared" si="204"/>
        <v>ABAC_0641</v>
      </c>
      <c r="B3306" t="str">
        <f t="shared" si="205"/>
        <v>ABAC_Horse Tacking Shed #1</v>
      </c>
      <c r="C3306" t="s">
        <v>457</v>
      </c>
      <c r="D3306" s="180" t="s">
        <v>22</v>
      </c>
      <c r="E3306" t="s">
        <v>6261</v>
      </c>
      <c r="F3306" t="s">
        <v>6262</v>
      </c>
      <c r="G3306" s="180">
        <v>244</v>
      </c>
      <c r="H3306">
        <v>1978</v>
      </c>
      <c r="J3306" s="1334" t="s">
        <v>475</v>
      </c>
      <c r="K3306" s="1335" t="s">
        <v>475</v>
      </c>
      <c r="L3306" s="180">
        <v>100</v>
      </c>
      <c r="M3306" t="s">
        <v>67</v>
      </c>
      <c r="N3306" t="str">
        <f t="shared" si="206"/>
        <v>Horse Tacking Shed #1 (0641)</v>
      </c>
      <c r="O3306" t="s">
        <v>35</v>
      </c>
      <c r="P3306" t="str">
        <f t="shared" si="207"/>
        <v>57000_0641</v>
      </c>
      <c r="Q3306" s="180">
        <v>97</v>
      </c>
    </row>
    <row r="3307" spans="1:17">
      <c r="A3307" t="str">
        <f t="shared" si="204"/>
        <v>ABAC_0642</v>
      </c>
      <c r="B3307" t="str">
        <f t="shared" si="205"/>
        <v>ABAC_Horse Barn</v>
      </c>
      <c r="C3307" t="s">
        <v>457</v>
      </c>
      <c r="D3307" s="180" t="s">
        <v>22</v>
      </c>
      <c r="E3307" t="s">
        <v>6263</v>
      </c>
      <c r="F3307" t="s">
        <v>6264</v>
      </c>
      <c r="G3307" s="180">
        <v>2361</v>
      </c>
      <c r="H3307">
        <v>1978</v>
      </c>
      <c r="J3307" s="1334" t="s">
        <v>475</v>
      </c>
      <c r="K3307" s="1335" t="s">
        <v>475</v>
      </c>
      <c r="L3307" s="180">
        <v>100</v>
      </c>
      <c r="M3307" t="s">
        <v>67</v>
      </c>
      <c r="N3307" t="str">
        <f t="shared" si="206"/>
        <v>Horse Barn (0642)</v>
      </c>
      <c r="O3307" t="s">
        <v>35</v>
      </c>
      <c r="P3307" t="str">
        <f t="shared" si="207"/>
        <v>57000_0642</v>
      </c>
      <c r="Q3307" s="180">
        <v>100</v>
      </c>
    </row>
    <row r="3308" spans="1:17">
      <c r="A3308" t="str">
        <f t="shared" si="204"/>
        <v>ABAC_0643</v>
      </c>
      <c r="B3308" t="str">
        <f t="shared" si="205"/>
        <v>ABAC_Horse Barn #2</v>
      </c>
      <c r="C3308" t="s">
        <v>457</v>
      </c>
      <c r="D3308" s="180" t="s">
        <v>22</v>
      </c>
      <c r="E3308" t="s">
        <v>6242</v>
      </c>
      <c r="F3308" t="s">
        <v>6243</v>
      </c>
      <c r="G3308" s="180">
        <v>2403</v>
      </c>
      <c r="H3308">
        <v>1994</v>
      </c>
      <c r="J3308" s="1334" t="s">
        <v>475</v>
      </c>
      <c r="K3308" s="1335" t="s">
        <v>475</v>
      </c>
      <c r="L3308" s="180">
        <v>100</v>
      </c>
      <c r="M3308" t="s">
        <v>67</v>
      </c>
      <c r="N3308" t="str">
        <f t="shared" si="206"/>
        <v>Horse Barn #2 (0643)</v>
      </c>
      <c r="O3308" t="s">
        <v>35</v>
      </c>
      <c r="P3308" t="str">
        <f t="shared" si="207"/>
        <v>57000_0643</v>
      </c>
      <c r="Q3308" s="180">
        <v>0</v>
      </c>
    </row>
    <row r="3309" spans="1:17">
      <c r="A3309" t="str">
        <f t="shared" si="204"/>
        <v>ABAC_0644</v>
      </c>
      <c r="B3309" t="str">
        <f t="shared" si="205"/>
        <v>ABAC_Horse Tacking Shed #2</v>
      </c>
      <c r="C3309" t="s">
        <v>457</v>
      </c>
      <c r="D3309" s="180" t="s">
        <v>22</v>
      </c>
      <c r="E3309" t="s">
        <v>5821</v>
      </c>
      <c r="F3309" t="s">
        <v>6374</v>
      </c>
      <c r="G3309" s="180">
        <v>226</v>
      </c>
      <c r="H3309">
        <v>1994</v>
      </c>
      <c r="J3309" s="1334" t="s">
        <v>475</v>
      </c>
      <c r="K3309" s="1335" t="s">
        <v>475</v>
      </c>
      <c r="L3309" s="180">
        <v>100</v>
      </c>
      <c r="M3309" t="s">
        <v>67</v>
      </c>
      <c r="N3309" t="str">
        <f t="shared" si="206"/>
        <v>Horse Tacking Shed #2 (0644)</v>
      </c>
      <c r="O3309" t="s">
        <v>35</v>
      </c>
      <c r="P3309" t="str">
        <f t="shared" si="207"/>
        <v>57000_0644</v>
      </c>
      <c r="Q3309" s="180">
        <v>100</v>
      </c>
    </row>
    <row r="3310" spans="1:17">
      <c r="A3310" t="str">
        <f t="shared" si="204"/>
        <v>ABAC_0645</v>
      </c>
      <c r="B3310" t="str">
        <f t="shared" si="205"/>
        <v>ABAC_Pump House - Athletic Fields</v>
      </c>
      <c r="C3310" t="s">
        <v>457</v>
      </c>
      <c r="D3310" s="180" t="s">
        <v>22</v>
      </c>
      <c r="E3310" t="s">
        <v>4684</v>
      </c>
      <c r="F3310" t="s">
        <v>6322</v>
      </c>
      <c r="G3310" s="180">
        <v>169</v>
      </c>
      <c r="H3310">
        <v>1995</v>
      </c>
      <c r="J3310" s="1334" t="s">
        <v>475</v>
      </c>
      <c r="K3310" s="1335" t="s">
        <v>475</v>
      </c>
      <c r="L3310" s="180">
        <v>100</v>
      </c>
      <c r="M3310" t="s">
        <v>67</v>
      </c>
      <c r="N3310" t="str">
        <f t="shared" si="206"/>
        <v>Pump House - Athletic Fields (0645)</v>
      </c>
      <c r="O3310" t="s">
        <v>35</v>
      </c>
      <c r="P3310" t="str">
        <f t="shared" si="207"/>
        <v>57000_0645</v>
      </c>
      <c r="Q3310" s="180">
        <v>0</v>
      </c>
    </row>
    <row r="3311" spans="1:17">
      <c r="A3311" t="str">
        <f t="shared" si="204"/>
        <v>ABAC_0646</v>
      </c>
      <c r="B3311" t="str">
        <f t="shared" si="205"/>
        <v>ABAC_Beef Unit Office</v>
      </c>
      <c r="C3311" t="s">
        <v>457</v>
      </c>
      <c r="D3311" s="180" t="s">
        <v>22</v>
      </c>
      <c r="E3311" t="s">
        <v>6296</v>
      </c>
      <c r="F3311" t="s">
        <v>6297</v>
      </c>
      <c r="G3311" s="180">
        <v>1152</v>
      </c>
      <c r="H3311">
        <v>2010</v>
      </c>
      <c r="J3311" s="1334" t="s">
        <v>475</v>
      </c>
      <c r="K3311" s="1335" t="s">
        <v>475</v>
      </c>
      <c r="L3311" s="180">
        <v>100</v>
      </c>
      <c r="M3311" t="s">
        <v>67</v>
      </c>
      <c r="N3311" t="str">
        <f t="shared" si="206"/>
        <v>Beef Unit Office (0646)</v>
      </c>
      <c r="O3311" t="s">
        <v>35</v>
      </c>
      <c r="P3311" t="str">
        <f t="shared" si="207"/>
        <v>57000_0646</v>
      </c>
      <c r="Q3311" s="180">
        <v>95</v>
      </c>
    </row>
    <row r="3312" spans="1:17">
      <c r="A3312" t="str">
        <f t="shared" si="204"/>
        <v>ABAC_0647</v>
      </c>
      <c r="B3312" t="str">
        <f t="shared" si="205"/>
        <v>ABAC_Water Tower</v>
      </c>
      <c r="C3312" t="s">
        <v>457</v>
      </c>
      <c r="D3312" s="180" t="s">
        <v>22</v>
      </c>
      <c r="E3312" t="s">
        <v>6379</v>
      </c>
      <c r="F3312" t="s">
        <v>6380</v>
      </c>
      <c r="G3312" s="180">
        <v>1600</v>
      </c>
      <c r="H3312">
        <v>1948</v>
      </c>
      <c r="J3312" s="1334" t="s">
        <v>475</v>
      </c>
      <c r="K3312" s="1335" t="s">
        <v>475</v>
      </c>
      <c r="L3312" s="180">
        <v>100</v>
      </c>
      <c r="M3312" t="s">
        <v>67</v>
      </c>
      <c r="N3312" t="str">
        <f t="shared" si="206"/>
        <v>Water Tower (0647)</v>
      </c>
      <c r="O3312" t="s">
        <v>35</v>
      </c>
      <c r="P3312" t="str">
        <f t="shared" si="207"/>
        <v>57000_0647</v>
      </c>
      <c r="Q3312" s="180">
        <v>0</v>
      </c>
    </row>
    <row r="3313" spans="1:17">
      <c r="A3313" t="str">
        <f t="shared" si="204"/>
        <v>ABAC_0648</v>
      </c>
      <c r="B3313" t="str">
        <f t="shared" si="205"/>
        <v>ABAC_Water Tower Pump House</v>
      </c>
      <c r="C3313" t="s">
        <v>457</v>
      </c>
      <c r="D3313" s="180" t="s">
        <v>22</v>
      </c>
      <c r="E3313" t="s">
        <v>6325</v>
      </c>
      <c r="F3313" t="s">
        <v>6326</v>
      </c>
      <c r="G3313" s="180">
        <v>200</v>
      </c>
      <c r="H3313">
        <v>1948</v>
      </c>
      <c r="J3313" s="1334" t="s">
        <v>475</v>
      </c>
      <c r="K3313" s="1335" t="s">
        <v>475</v>
      </c>
      <c r="L3313" s="180">
        <v>100</v>
      </c>
      <c r="M3313" t="s">
        <v>67</v>
      </c>
      <c r="N3313" t="str">
        <f t="shared" si="206"/>
        <v>Water Tower Pump House (0648)</v>
      </c>
      <c r="O3313" t="s">
        <v>35</v>
      </c>
      <c r="P3313" t="str">
        <f t="shared" si="207"/>
        <v>57000_0648</v>
      </c>
      <c r="Q3313" s="180">
        <v>75</v>
      </c>
    </row>
    <row r="3314" spans="1:17">
      <c r="A3314" t="str">
        <f t="shared" si="204"/>
        <v>ABAC_0649</v>
      </c>
      <c r="B3314" t="str">
        <f t="shared" si="205"/>
        <v>ABAC_DATA Farm</v>
      </c>
      <c r="C3314" t="s">
        <v>457</v>
      </c>
      <c r="D3314" s="180" t="s">
        <v>22</v>
      </c>
      <c r="E3314" t="s">
        <v>7653</v>
      </c>
      <c r="F3314" t="s">
        <v>7806</v>
      </c>
      <c r="G3314" s="180">
        <v>2400</v>
      </c>
      <c r="H3314">
        <v>2022</v>
      </c>
      <c r="J3314" s="1334" t="s">
        <v>475</v>
      </c>
      <c r="K3314" s="1335" t="s">
        <v>475</v>
      </c>
      <c r="L3314" s="180">
        <v>100</v>
      </c>
      <c r="M3314" t="s">
        <v>67</v>
      </c>
      <c r="N3314" t="str">
        <f t="shared" si="206"/>
        <v>DATA Farm (0649)</v>
      </c>
      <c r="O3314" t="s">
        <v>35</v>
      </c>
      <c r="P3314" t="str">
        <f t="shared" si="207"/>
        <v>57000_0649</v>
      </c>
      <c r="Q3314" s="180">
        <v>100</v>
      </c>
    </row>
    <row r="3315" spans="1:17">
      <c r="A3315" t="str">
        <f t="shared" si="204"/>
        <v>ABAC_0650</v>
      </c>
      <c r="B3315" t="str">
        <f t="shared" si="205"/>
        <v>ABAC_Willis Still Lab Building</v>
      </c>
      <c r="C3315" t="s">
        <v>457</v>
      </c>
      <c r="D3315" s="180" t="s">
        <v>22</v>
      </c>
      <c r="E3315" t="s">
        <v>2585</v>
      </c>
      <c r="F3315" t="s">
        <v>7807</v>
      </c>
      <c r="G3315" s="180">
        <v>3850</v>
      </c>
      <c r="H3315">
        <v>2023</v>
      </c>
      <c r="J3315" s="1334" t="s">
        <v>475</v>
      </c>
      <c r="K3315" s="1335" t="s">
        <v>475</v>
      </c>
      <c r="L3315" s="180">
        <v>100</v>
      </c>
      <c r="M3315" t="s">
        <v>67</v>
      </c>
      <c r="N3315" t="str">
        <f t="shared" si="206"/>
        <v>Willis Still Lab Building (0650)</v>
      </c>
      <c r="O3315" t="s">
        <v>35</v>
      </c>
      <c r="P3315" t="str">
        <f t="shared" si="207"/>
        <v>57000_0650</v>
      </c>
      <c r="Q3315" s="180">
        <v>0</v>
      </c>
    </row>
    <row r="3316" spans="1:17">
      <c r="A3316" t="str">
        <f t="shared" si="204"/>
        <v>ABAC_G100</v>
      </c>
      <c r="B3316" t="str">
        <f t="shared" si="205"/>
        <v>ABAC_Artifact Storage</v>
      </c>
      <c r="C3316" t="s">
        <v>457</v>
      </c>
      <c r="D3316" s="180" t="s">
        <v>22</v>
      </c>
      <c r="E3316" t="s">
        <v>6340</v>
      </c>
      <c r="F3316" t="s">
        <v>6341</v>
      </c>
      <c r="G3316" s="180">
        <v>3750</v>
      </c>
      <c r="H3316">
        <v>1981</v>
      </c>
      <c r="J3316" s="1334" t="s">
        <v>475</v>
      </c>
      <c r="K3316" s="1335" t="s">
        <v>475</v>
      </c>
      <c r="L3316" s="180">
        <v>100</v>
      </c>
      <c r="M3316" t="s">
        <v>67</v>
      </c>
      <c r="N3316" t="str">
        <f t="shared" si="206"/>
        <v>Artifact Storage (G100)</v>
      </c>
      <c r="O3316" t="s">
        <v>35</v>
      </c>
      <c r="P3316" t="str">
        <f t="shared" si="207"/>
        <v>57000_G100</v>
      </c>
      <c r="Q3316" s="180">
        <v>100</v>
      </c>
    </row>
    <row r="3317" spans="1:17">
      <c r="A3317" t="str">
        <f t="shared" si="204"/>
        <v>ABAC_G101</v>
      </c>
      <c r="B3317" t="str">
        <f t="shared" si="205"/>
        <v>ABAC_Artifact Storage Shepard</v>
      </c>
      <c r="C3317" t="s">
        <v>457</v>
      </c>
      <c r="D3317" s="180" t="s">
        <v>22</v>
      </c>
      <c r="E3317" t="s">
        <v>1254</v>
      </c>
      <c r="F3317" t="s">
        <v>6373</v>
      </c>
      <c r="G3317" s="180">
        <v>1800</v>
      </c>
      <c r="H3317">
        <v>2006</v>
      </c>
      <c r="J3317" s="1334" t="s">
        <v>475</v>
      </c>
      <c r="K3317" s="1335" t="s">
        <v>475</v>
      </c>
      <c r="L3317" s="180">
        <v>100</v>
      </c>
      <c r="M3317" t="s">
        <v>67</v>
      </c>
      <c r="N3317" t="str">
        <f t="shared" si="206"/>
        <v>Artifact Storage Shepard (G101)</v>
      </c>
      <c r="O3317" t="s">
        <v>35</v>
      </c>
      <c r="P3317" t="str">
        <f t="shared" si="207"/>
        <v>57000_G101</v>
      </c>
      <c r="Q3317" s="180">
        <v>1</v>
      </c>
    </row>
    <row r="3318" spans="1:17">
      <c r="A3318" t="str">
        <f t="shared" si="204"/>
        <v>ABAC_G102</v>
      </c>
      <c r="B3318" t="str">
        <f t="shared" si="205"/>
        <v>ABAC_Artifact Storage Tift</v>
      </c>
      <c r="C3318" t="s">
        <v>457</v>
      </c>
      <c r="D3318" s="180" t="s">
        <v>22</v>
      </c>
      <c r="E3318" t="s">
        <v>6391</v>
      </c>
      <c r="F3318" t="s">
        <v>6392</v>
      </c>
      <c r="G3318" s="180">
        <v>4626</v>
      </c>
      <c r="H3318">
        <v>2006</v>
      </c>
      <c r="J3318" s="1334" t="s">
        <v>475</v>
      </c>
      <c r="K3318" s="1335" t="s">
        <v>475</v>
      </c>
      <c r="L3318" s="180">
        <v>100</v>
      </c>
      <c r="M3318" t="s">
        <v>67</v>
      </c>
      <c r="N3318" t="str">
        <f t="shared" si="206"/>
        <v>Artifact Storage Tift (G102)</v>
      </c>
      <c r="O3318" t="s">
        <v>35</v>
      </c>
      <c r="P3318" t="str">
        <f t="shared" si="207"/>
        <v>57000_G102</v>
      </c>
      <c r="Q3318" s="180">
        <v>0</v>
      </c>
    </row>
    <row r="3319" spans="1:17">
      <c r="A3319" t="str">
        <f t="shared" si="204"/>
        <v>ABAC_G103</v>
      </c>
      <c r="B3319" t="str">
        <f t="shared" si="205"/>
        <v>ABAC_Artifact Storage West</v>
      </c>
      <c r="C3319" t="s">
        <v>457</v>
      </c>
      <c r="D3319" s="180" t="s">
        <v>22</v>
      </c>
      <c r="E3319" t="s">
        <v>6356</v>
      </c>
      <c r="F3319" t="s">
        <v>6357</v>
      </c>
      <c r="G3319" s="180">
        <v>3600</v>
      </c>
      <c r="H3319">
        <v>1998</v>
      </c>
      <c r="J3319" s="1334" t="s">
        <v>475</v>
      </c>
      <c r="K3319" s="1335" t="s">
        <v>475</v>
      </c>
      <c r="L3319" s="180">
        <v>100</v>
      </c>
      <c r="M3319" t="s">
        <v>67</v>
      </c>
      <c r="N3319" t="str">
        <f t="shared" si="206"/>
        <v>Artifact Storage West (G103)</v>
      </c>
      <c r="O3319" t="s">
        <v>35</v>
      </c>
      <c r="P3319" t="str">
        <f t="shared" si="207"/>
        <v>57000_G103</v>
      </c>
      <c r="Q3319" s="180">
        <v>100</v>
      </c>
    </row>
    <row r="3320" spans="1:17">
      <c r="A3320" t="str">
        <f t="shared" si="204"/>
        <v>ABAC_G104</v>
      </c>
      <c r="B3320" t="str">
        <f t="shared" si="205"/>
        <v>ABAC_Cotton Warehouse</v>
      </c>
      <c r="C3320" t="s">
        <v>457</v>
      </c>
      <c r="D3320" s="180" t="s">
        <v>22</v>
      </c>
      <c r="E3320" t="s">
        <v>6277</v>
      </c>
      <c r="F3320" t="s">
        <v>6278</v>
      </c>
      <c r="G3320" s="180">
        <v>7350</v>
      </c>
      <c r="H3320">
        <v>1976</v>
      </c>
      <c r="J3320" s="1334" t="s">
        <v>475</v>
      </c>
      <c r="K3320" s="1335" t="s">
        <v>475</v>
      </c>
      <c r="L3320" s="180">
        <v>100</v>
      </c>
      <c r="M3320" t="s">
        <v>67</v>
      </c>
      <c r="N3320" t="str">
        <f t="shared" si="206"/>
        <v>Cotton Warehouse (G104)</v>
      </c>
      <c r="O3320" t="s">
        <v>35</v>
      </c>
      <c r="P3320" t="str">
        <f t="shared" si="207"/>
        <v>57000_G104</v>
      </c>
      <c r="Q3320" s="180">
        <v>0</v>
      </c>
    </row>
    <row r="3321" spans="1:17">
      <c r="A3321" t="str">
        <f t="shared" si="204"/>
        <v>ABAC_G105</v>
      </c>
      <c r="B3321" t="str">
        <f t="shared" si="205"/>
        <v>ABAC_Ground Landscape</v>
      </c>
      <c r="C3321" t="s">
        <v>457</v>
      </c>
      <c r="D3321" s="180" t="s">
        <v>22</v>
      </c>
      <c r="E3321" t="s">
        <v>6282</v>
      </c>
      <c r="F3321" t="s">
        <v>6283</v>
      </c>
      <c r="G3321" s="180">
        <v>1815</v>
      </c>
      <c r="H3321">
        <v>2008</v>
      </c>
      <c r="J3321" s="1334" t="s">
        <v>475</v>
      </c>
      <c r="K3321" s="1335" t="s">
        <v>475</v>
      </c>
      <c r="L3321" s="180">
        <v>100</v>
      </c>
      <c r="M3321" t="s">
        <v>67</v>
      </c>
      <c r="N3321" t="str">
        <f t="shared" si="206"/>
        <v>Ground Landscape (G105)</v>
      </c>
      <c r="O3321" t="s">
        <v>35</v>
      </c>
      <c r="P3321" t="str">
        <f t="shared" si="207"/>
        <v>57000_G105</v>
      </c>
      <c r="Q3321" s="180">
        <v>0</v>
      </c>
    </row>
    <row r="3322" spans="1:17">
      <c r="A3322" t="str">
        <f t="shared" si="204"/>
        <v>ABAC_G106</v>
      </c>
      <c r="B3322" t="str">
        <f t="shared" si="205"/>
        <v>ABAC_Maintenance Building/Rr Shop</v>
      </c>
      <c r="C3322" t="s">
        <v>457</v>
      </c>
      <c r="D3322" s="180" t="s">
        <v>22</v>
      </c>
      <c r="E3322" t="s">
        <v>6284</v>
      </c>
      <c r="F3322" t="s">
        <v>6285</v>
      </c>
      <c r="G3322" s="180">
        <v>4000</v>
      </c>
      <c r="H3322">
        <v>2000</v>
      </c>
      <c r="J3322" s="1334" t="s">
        <v>475</v>
      </c>
      <c r="K3322" s="1335" t="s">
        <v>475</v>
      </c>
      <c r="L3322" s="180">
        <v>100</v>
      </c>
      <c r="M3322" t="s">
        <v>67</v>
      </c>
      <c r="N3322" t="str">
        <f t="shared" si="206"/>
        <v>Maintenance Building/Rr Shop (G106)</v>
      </c>
      <c r="O3322" t="s">
        <v>35</v>
      </c>
      <c r="P3322" t="str">
        <f t="shared" si="207"/>
        <v>57000_G106</v>
      </c>
      <c r="Q3322" s="180">
        <v>1</v>
      </c>
    </row>
    <row r="3323" spans="1:17">
      <c r="A3323" t="str">
        <f t="shared" si="204"/>
        <v>ABAC_G107</v>
      </c>
      <c r="B3323" t="str">
        <f t="shared" si="205"/>
        <v>ABAC_Maintenance Storage/Franklin</v>
      </c>
      <c r="C3323" t="s">
        <v>457</v>
      </c>
      <c r="D3323" s="180" t="s">
        <v>22</v>
      </c>
      <c r="E3323" t="s">
        <v>6393</v>
      </c>
      <c r="F3323" t="s">
        <v>6394</v>
      </c>
      <c r="G3323" s="180">
        <v>1815</v>
      </c>
      <c r="H3323">
        <v>2007</v>
      </c>
      <c r="J3323" s="1334" t="s">
        <v>475</v>
      </c>
      <c r="K3323" s="1335" t="s">
        <v>475</v>
      </c>
      <c r="L3323" s="180">
        <v>100</v>
      </c>
      <c r="M3323" t="s">
        <v>67</v>
      </c>
      <c r="N3323" t="str">
        <f t="shared" si="206"/>
        <v>Maintenance Storage/Franklin (G107)</v>
      </c>
      <c r="O3323" t="s">
        <v>35</v>
      </c>
      <c r="P3323" t="str">
        <f t="shared" si="207"/>
        <v>57000_G107</v>
      </c>
      <c r="Q3323" s="180">
        <v>100</v>
      </c>
    </row>
    <row r="3324" spans="1:17">
      <c r="A3324" t="str">
        <f t="shared" si="204"/>
        <v>ABAC_G108</v>
      </c>
      <c r="B3324" t="str">
        <f t="shared" si="205"/>
        <v>ABAC_Opry Area Picnic/Serv Shelters</v>
      </c>
      <c r="C3324" t="s">
        <v>457</v>
      </c>
      <c r="D3324" s="180" t="s">
        <v>22</v>
      </c>
      <c r="E3324" t="s">
        <v>6266</v>
      </c>
      <c r="F3324" t="s">
        <v>6267</v>
      </c>
      <c r="G3324" s="180">
        <v>819</v>
      </c>
      <c r="H3324">
        <v>1975</v>
      </c>
      <c r="J3324" s="1334" t="s">
        <v>475</v>
      </c>
      <c r="K3324" s="1335" t="s">
        <v>475</v>
      </c>
      <c r="L3324" s="180">
        <v>100</v>
      </c>
      <c r="M3324" t="s">
        <v>67</v>
      </c>
      <c r="N3324" t="str">
        <f t="shared" si="206"/>
        <v>Opry Area Picnic/Serv Shelters (G108)</v>
      </c>
      <c r="O3324" t="s">
        <v>35</v>
      </c>
      <c r="P3324" t="str">
        <f t="shared" si="207"/>
        <v>57000_G108</v>
      </c>
      <c r="Q3324" s="180">
        <v>0</v>
      </c>
    </row>
    <row r="3325" spans="1:17">
      <c r="A3325" t="str">
        <f t="shared" si="204"/>
        <v>ABAC_G109</v>
      </c>
      <c r="B3325" t="str">
        <f t="shared" si="205"/>
        <v>ABAC_Opry Area Restroom</v>
      </c>
      <c r="C3325" t="s">
        <v>457</v>
      </c>
      <c r="D3325" s="180" t="s">
        <v>22</v>
      </c>
      <c r="E3325" t="s">
        <v>6253</v>
      </c>
      <c r="F3325" t="s">
        <v>6254</v>
      </c>
      <c r="G3325" s="180">
        <v>1300</v>
      </c>
      <c r="H3325">
        <v>1993</v>
      </c>
      <c r="J3325" s="1334" t="s">
        <v>475</v>
      </c>
      <c r="K3325" s="1335" t="s">
        <v>475</v>
      </c>
      <c r="L3325" s="180">
        <v>100</v>
      </c>
      <c r="M3325" t="s">
        <v>67</v>
      </c>
      <c r="N3325" t="str">
        <f t="shared" si="206"/>
        <v>Opry Area Restroom (G109)</v>
      </c>
      <c r="O3325" t="s">
        <v>35</v>
      </c>
      <c r="P3325" t="str">
        <f t="shared" si="207"/>
        <v>57000_G109</v>
      </c>
      <c r="Q3325" s="180">
        <v>0</v>
      </c>
    </row>
    <row r="3326" spans="1:17">
      <c r="A3326" t="str">
        <f t="shared" si="204"/>
        <v>ABAC_G110</v>
      </c>
      <c r="B3326" t="str">
        <f t="shared" si="205"/>
        <v>ABAC_Opry Shelter</v>
      </c>
      <c r="C3326" t="s">
        <v>457</v>
      </c>
      <c r="D3326" s="180" t="s">
        <v>22</v>
      </c>
      <c r="E3326" t="s">
        <v>6345</v>
      </c>
      <c r="F3326" t="s">
        <v>6346</v>
      </c>
      <c r="G3326" s="180">
        <v>6200</v>
      </c>
      <c r="H3326">
        <v>1985</v>
      </c>
      <c r="J3326" s="1334" t="s">
        <v>475</v>
      </c>
      <c r="K3326" s="1335" t="s">
        <v>475</v>
      </c>
      <c r="L3326" s="180">
        <v>100</v>
      </c>
      <c r="M3326" t="s">
        <v>67</v>
      </c>
      <c r="N3326" t="str">
        <f t="shared" si="206"/>
        <v>Opry Shelter (G110)</v>
      </c>
      <c r="O3326" t="s">
        <v>35</v>
      </c>
      <c r="P3326" t="str">
        <f t="shared" si="207"/>
        <v>57000_G110</v>
      </c>
      <c r="Q3326" s="180">
        <v>50</v>
      </c>
    </row>
    <row r="3327" spans="1:17">
      <c r="A3327" t="str">
        <f t="shared" si="204"/>
        <v>ABAC_G111</v>
      </c>
      <c r="B3327" t="str">
        <f t="shared" si="205"/>
        <v>ABAC_Security/Old Concessions</v>
      </c>
      <c r="C3327" t="s">
        <v>457</v>
      </c>
      <c r="D3327" s="180" t="s">
        <v>22</v>
      </c>
      <c r="E3327" t="s">
        <v>6310</v>
      </c>
      <c r="F3327" t="s">
        <v>6311</v>
      </c>
      <c r="G3327" s="180">
        <v>400</v>
      </c>
      <c r="H3327">
        <v>1975</v>
      </c>
      <c r="J3327" s="1334" t="s">
        <v>475</v>
      </c>
      <c r="K3327" s="1335" t="s">
        <v>475</v>
      </c>
      <c r="L3327" s="180">
        <v>100</v>
      </c>
      <c r="M3327" t="s">
        <v>67</v>
      </c>
      <c r="N3327" t="str">
        <f t="shared" si="206"/>
        <v>Security/Old Concessions (G111)</v>
      </c>
      <c r="O3327" t="s">
        <v>35</v>
      </c>
      <c r="P3327" t="str">
        <f t="shared" si="207"/>
        <v>57000_G111</v>
      </c>
      <c r="Q3327" s="180">
        <v>86</v>
      </c>
    </row>
    <row r="3328" spans="1:17">
      <c r="A3328" t="str">
        <f t="shared" si="204"/>
        <v>ABAC_G112</v>
      </c>
      <c r="B3328" t="str">
        <f t="shared" si="205"/>
        <v>ABAC_Blacksmith Shop</v>
      </c>
      <c r="C3328" t="s">
        <v>457</v>
      </c>
      <c r="D3328" s="180" t="s">
        <v>22</v>
      </c>
      <c r="E3328" t="s">
        <v>6332</v>
      </c>
      <c r="F3328" t="s">
        <v>6333</v>
      </c>
      <c r="G3328" s="180">
        <v>474</v>
      </c>
      <c r="H3328">
        <v>1977</v>
      </c>
      <c r="J3328" s="1334" t="s">
        <v>475</v>
      </c>
      <c r="K3328" s="1335" t="s">
        <v>475</v>
      </c>
      <c r="L3328" s="180">
        <v>100</v>
      </c>
      <c r="M3328" t="s">
        <v>67</v>
      </c>
      <c r="N3328" t="str">
        <f t="shared" si="206"/>
        <v>Blacksmith Shop (G112)</v>
      </c>
      <c r="O3328" t="s">
        <v>35</v>
      </c>
      <c r="P3328" t="str">
        <f t="shared" si="207"/>
        <v>57000_G112</v>
      </c>
      <c r="Q3328" s="180">
        <v>100</v>
      </c>
    </row>
    <row r="3329" spans="1:17">
      <c r="A3329" t="str">
        <f t="shared" si="204"/>
        <v>ABAC_G113</v>
      </c>
      <c r="B3329" t="str">
        <f t="shared" si="205"/>
        <v>ABAC_Church</v>
      </c>
      <c r="C3329" t="s">
        <v>457</v>
      </c>
      <c r="D3329" s="180" t="s">
        <v>22</v>
      </c>
      <c r="E3329" t="s">
        <v>6308</v>
      </c>
      <c r="F3329" t="s">
        <v>6309</v>
      </c>
      <c r="G3329" s="180">
        <v>1036</v>
      </c>
      <c r="H3329">
        <v>1890</v>
      </c>
      <c r="J3329" s="1334" t="s">
        <v>475</v>
      </c>
      <c r="K3329" s="1335" t="s">
        <v>475</v>
      </c>
      <c r="L3329" s="180">
        <v>100</v>
      </c>
      <c r="M3329" t="s">
        <v>67</v>
      </c>
      <c r="N3329" t="str">
        <f t="shared" si="206"/>
        <v>Church (G113)</v>
      </c>
      <c r="O3329" t="s">
        <v>35</v>
      </c>
      <c r="P3329" t="str">
        <f t="shared" si="207"/>
        <v>57000_G113</v>
      </c>
      <c r="Q3329" s="180">
        <v>50</v>
      </c>
    </row>
    <row r="3330" spans="1:17">
      <c r="A3330" t="str">
        <f t="shared" si="204"/>
        <v>ABAC_G114</v>
      </c>
      <c r="B3330" t="str">
        <f t="shared" si="205"/>
        <v>ABAC_Clark Barn</v>
      </c>
      <c r="C3330" t="s">
        <v>457</v>
      </c>
      <c r="D3330" s="180" t="s">
        <v>22</v>
      </c>
      <c r="E3330" t="s">
        <v>6314</v>
      </c>
      <c r="F3330" t="s">
        <v>6315</v>
      </c>
      <c r="G3330" s="180">
        <v>1056</v>
      </c>
      <c r="H3330">
        <v>1870</v>
      </c>
      <c r="J3330" s="1334" t="s">
        <v>475</v>
      </c>
      <c r="K3330" s="1335" t="s">
        <v>475</v>
      </c>
      <c r="L3330" s="180">
        <v>100</v>
      </c>
      <c r="M3330" t="s">
        <v>67</v>
      </c>
      <c r="N3330" t="str">
        <f t="shared" si="206"/>
        <v>Clark Barn (G114)</v>
      </c>
      <c r="O3330" t="s">
        <v>35</v>
      </c>
      <c r="P3330" t="str">
        <f t="shared" si="207"/>
        <v>57000_G114</v>
      </c>
      <c r="Q3330" s="180">
        <v>0</v>
      </c>
    </row>
    <row r="3331" spans="1:17">
      <c r="A3331" t="str">
        <f t="shared" ref="A3331:A3394" si="208">_xlfn.CONCAT(D3331,"_",E3331)</f>
        <v>ABAC_G115</v>
      </c>
      <c r="B3331" t="str">
        <f t="shared" ref="B3331:B3394" si="209">_xlfn.CONCAT(D3331,"_",F3331)</f>
        <v>ABAC_Clark Farmhouse</v>
      </c>
      <c r="C3331" t="s">
        <v>457</v>
      </c>
      <c r="D3331" s="180" t="s">
        <v>22</v>
      </c>
      <c r="E3331" t="s">
        <v>6271</v>
      </c>
      <c r="F3331" t="s">
        <v>6272</v>
      </c>
      <c r="G3331" s="180">
        <v>889</v>
      </c>
      <c r="H3331">
        <v>1870</v>
      </c>
      <c r="J3331" s="1334" t="s">
        <v>475</v>
      </c>
      <c r="K3331" s="1335" t="s">
        <v>475</v>
      </c>
      <c r="L3331" s="180">
        <v>100</v>
      </c>
      <c r="M3331" t="s">
        <v>67</v>
      </c>
      <c r="N3331" t="str">
        <f t="shared" ref="N3331:N3394" si="210">_xlfn.CONCAT(F3331," (",E3331,")")</f>
        <v>Clark Farmhouse (G115)</v>
      </c>
      <c r="O3331" t="s">
        <v>35</v>
      </c>
      <c r="P3331" t="str">
        <f t="shared" ref="P3331:P3394" si="211">_xlfn.CONCAT(C3331,"_",E3331)</f>
        <v>57000_G115</v>
      </c>
      <c r="Q3331" s="180">
        <v>0</v>
      </c>
    </row>
    <row r="3332" spans="1:17">
      <c r="A3332" t="str">
        <f t="shared" si="208"/>
        <v>ABAC_G116</v>
      </c>
      <c r="B3332" t="str">
        <f t="shared" si="209"/>
        <v>ABAC_Clark Smokehouse</v>
      </c>
      <c r="C3332" t="s">
        <v>457</v>
      </c>
      <c r="D3332" s="180" t="s">
        <v>22</v>
      </c>
      <c r="E3332" t="s">
        <v>6244</v>
      </c>
      <c r="F3332" t="s">
        <v>6245</v>
      </c>
      <c r="G3332" s="180">
        <v>99</v>
      </c>
      <c r="H3332">
        <v>1870</v>
      </c>
      <c r="J3332" s="1334" t="s">
        <v>475</v>
      </c>
      <c r="K3332" s="1335" t="s">
        <v>475</v>
      </c>
      <c r="L3332" s="180">
        <v>100</v>
      </c>
      <c r="M3332" t="s">
        <v>67</v>
      </c>
      <c r="N3332" t="str">
        <f t="shared" si="210"/>
        <v>Clark Smokehouse (G116)</v>
      </c>
      <c r="O3332" t="s">
        <v>35</v>
      </c>
      <c r="P3332" t="str">
        <f t="shared" si="211"/>
        <v>57000_G116</v>
      </c>
      <c r="Q3332" s="180">
        <v>0</v>
      </c>
    </row>
    <row r="3333" spans="1:17">
      <c r="A3333" t="str">
        <f t="shared" si="208"/>
        <v>ABAC_G117</v>
      </c>
      <c r="B3333" t="str">
        <f t="shared" si="209"/>
        <v>ABAC_Clyatt Cabin</v>
      </c>
      <c r="C3333" t="s">
        <v>457</v>
      </c>
      <c r="D3333" s="180" t="s">
        <v>22</v>
      </c>
      <c r="E3333" t="s">
        <v>6323</v>
      </c>
      <c r="F3333" t="s">
        <v>6324</v>
      </c>
      <c r="G3333" s="180">
        <v>900</v>
      </c>
      <c r="H3333">
        <v>1850</v>
      </c>
      <c r="J3333" s="1334" t="s">
        <v>475</v>
      </c>
      <c r="K3333" s="1335" t="s">
        <v>475</v>
      </c>
      <c r="L3333" s="180">
        <v>100</v>
      </c>
      <c r="M3333" t="s">
        <v>67</v>
      </c>
      <c r="N3333" t="str">
        <f t="shared" si="210"/>
        <v>Clyatt Cabin (G117)</v>
      </c>
      <c r="O3333" t="s">
        <v>35</v>
      </c>
      <c r="P3333" t="str">
        <f t="shared" si="211"/>
        <v>57000_G117</v>
      </c>
      <c r="Q3333" s="180">
        <v>0</v>
      </c>
    </row>
    <row r="3334" spans="1:17">
      <c r="A3334" t="str">
        <f t="shared" si="208"/>
        <v>ABAC_G118</v>
      </c>
      <c r="B3334" t="str">
        <f t="shared" si="209"/>
        <v>ABAC_Coopers Shed</v>
      </c>
      <c r="C3334" t="s">
        <v>457</v>
      </c>
      <c r="D3334" s="180" t="s">
        <v>22</v>
      </c>
      <c r="E3334" t="s">
        <v>6294</v>
      </c>
      <c r="F3334" t="s">
        <v>6295</v>
      </c>
      <c r="G3334" s="180">
        <v>250</v>
      </c>
      <c r="H3334">
        <v>1982</v>
      </c>
      <c r="J3334" s="1334" t="s">
        <v>475</v>
      </c>
      <c r="K3334" s="1335" t="s">
        <v>475</v>
      </c>
      <c r="L3334" s="180">
        <v>100</v>
      </c>
      <c r="M3334" t="s">
        <v>67</v>
      </c>
      <c r="N3334" t="str">
        <f t="shared" si="210"/>
        <v>Coopers Shed (G118)</v>
      </c>
      <c r="O3334" t="s">
        <v>35</v>
      </c>
      <c r="P3334" t="str">
        <f t="shared" si="211"/>
        <v>57000_G118</v>
      </c>
      <c r="Q3334" s="180">
        <v>100</v>
      </c>
    </row>
    <row r="3335" spans="1:17">
      <c r="A3335" t="str">
        <f t="shared" si="208"/>
        <v>ABAC_G119</v>
      </c>
      <c r="B3335" t="str">
        <f t="shared" si="209"/>
        <v>ABAC_Corn Crib</v>
      </c>
      <c r="C3335" t="s">
        <v>457</v>
      </c>
      <c r="D3335" s="180" t="s">
        <v>22</v>
      </c>
      <c r="E3335" t="s">
        <v>6358</v>
      </c>
      <c r="F3335" t="s">
        <v>6359</v>
      </c>
      <c r="G3335" s="180">
        <v>120</v>
      </c>
      <c r="H3335">
        <v>1900</v>
      </c>
      <c r="J3335" s="1334" t="s">
        <v>475</v>
      </c>
      <c r="K3335" s="1335" t="s">
        <v>475</v>
      </c>
      <c r="L3335" s="180">
        <v>100</v>
      </c>
      <c r="M3335" t="s">
        <v>67</v>
      </c>
      <c r="N3335" t="str">
        <f t="shared" si="210"/>
        <v>Corn Crib (G119)</v>
      </c>
      <c r="O3335" t="s">
        <v>35</v>
      </c>
      <c r="P3335" t="str">
        <f t="shared" si="211"/>
        <v>57000_G119</v>
      </c>
      <c r="Q3335" s="180">
        <v>0</v>
      </c>
    </row>
    <row r="3336" spans="1:17">
      <c r="A3336" t="str">
        <f t="shared" si="208"/>
        <v>ABAC_G120</v>
      </c>
      <c r="B3336" t="str">
        <f t="shared" si="209"/>
        <v>ABAC_Cotton Gin</v>
      </c>
      <c r="C3336" t="s">
        <v>457</v>
      </c>
      <c r="D3336" s="180" t="s">
        <v>22</v>
      </c>
      <c r="E3336" t="s">
        <v>6375</v>
      </c>
      <c r="F3336" t="s">
        <v>6376</v>
      </c>
      <c r="G3336" s="180">
        <v>2237</v>
      </c>
      <c r="H3336">
        <v>1976</v>
      </c>
      <c r="J3336" s="1334" t="s">
        <v>475</v>
      </c>
      <c r="K3336" s="1335" t="s">
        <v>475</v>
      </c>
      <c r="L3336" s="180">
        <v>100</v>
      </c>
      <c r="M3336" t="s">
        <v>67</v>
      </c>
      <c r="N3336" t="str">
        <f t="shared" si="210"/>
        <v>Cotton Gin (G120)</v>
      </c>
      <c r="O3336" t="s">
        <v>35</v>
      </c>
      <c r="P3336" t="str">
        <f t="shared" si="211"/>
        <v>57000_G120</v>
      </c>
      <c r="Q3336" s="180">
        <v>0</v>
      </c>
    </row>
    <row r="3337" spans="1:17">
      <c r="A3337" t="str">
        <f t="shared" si="208"/>
        <v>ABAC_G121</v>
      </c>
      <c r="B3337" t="str">
        <f t="shared" si="209"/>
        <v>ABAC_Knight Cabin</v>
      </c>
      <c r="C3337" t="s">
        <v>457</v>
      </c>
      <c r="D3337" s="180" t="s">
        <v>22</v>
      </c>
      <c r="E3337" t="s">
        <v>6301</v>
      </c>
      <c r="F3337" t="s">
        <v>6302</v>
      </c>
      <c r="G3337" s="180">
        <v>500</v>
      </c>
      <c r="H3337">
        <v>2008</v>
      </c>
      <c r="J3337" s="1334" t="s">
        <v>475</v>
      </c>
      <c r="K3337" s="1335" t="s">
        <v>475</v>
      </c>
      <c r="L3337" s="180">
        <v>100</v>
      </c>
      <c r="M3337" t="s">
        <v>67</v>
      </c>
      <c r="N3337" t="str">
        <f t="shared" si="210"/>
        <v>Knight Cabin (G121)</v>
      </c>
      <c r="O3337" t="s">
        <v>35</v>
      </c>
      <c r="P3337" t="str">
        <f t="shared" si="211"/>
        <v>57000_G121</v>
      </c>
      <c r="Q3337" s="180">
        <v>0</v>
      </c>
    </row>
    <row r="3338" spans="1:17">
      <c r="A3338" t="str">
        <f t="shared" si="208"/>
        <v>ABAC_G122</v>
      </c>
      <c r="B3338" t="str">
        <f t="shared" si="209"/>
        <v>ABAC_Doctors Office</v>
      </c>
      <c r="C3338" t="s">
        <v>457</v>
      </c>
      <c r="D3338" s="180" t="s">
        <v>22</v>
      </c>
      <c r="E3338" t="s">
        <v>6238</v>
      </c>
      <c r="F3338" t="s">
        <v>6239</v>
      </c>
      <c r="G3338" s="180">
        <v>476</v>
      </c>
      <c r="H3338">
        <v>1850</v>
      </c>
      <c r="J3338" s="1334" t="s">
        <v>475</v>
      </c>
      <c r="K3338" s="1335" t="s">
        <v>475</v>
      </c>
      <c r="L3338" s="180">
        <v>100</v>
      </c>
      <c r="M3338" t="s">
        <v>67</v>
      </c>
      <c r="N3338" t="str">
        <f t="shared" si="210"/>
        <v>Doctors Office (G122)</v>
      </c>
      <c r="O3338" t="s">
        <v>35</v>
      </c>
      <c r="P3338" t="str">
        <f t="shared" si="211"/>
        <v>57000_G122</v>
      </c>
      <c r="Q3338" s="180">
        <v>0</v>
      </c>
    </row>
    <row r="3339" spans="1:17">
      <c r="A3339" t="str">
        <f t="shared" si="208"/>
        <v>ABAC_G123</v>
      </c>
      <c r="B3339" t="str">
        <f t="shared" si="209"/>
        <v>ABAC_Feed&amp;Seed/Mercantile/Drug Stor</v>
      </c>
      <c r="C3339" t="s">
        <v>457</v>
      </c>
      <c r="D3339" s="180" t="s">
        <v>22</v>
      </c>
      <c r="E3339" t="s">
        <v>6240</v>
      </c>
      <c r="F3339" t="s">
        <v>7067</v>
      </c>
      <c r="G3339" s="180">
        <v>5760</v>
      </c>
      <c r="H3339">
        <v>1985</v>
      </c>
      <c r="J3339" s="1334" t="s">
        <v>475</v>
      </c>
      <c r="K3339" s="1335" t="s">
        <v>475</v>
      </c>
      <c r="L3339" s="180">
        <v>0</v>
      </c>
      <c r="M3339" t="s">
        <v>67</v>
      </c>
      <c r="N3339" t="str">
        <f t="shared" si="210"/>
        <v>Feed&amp;Seed/Mercantile/Drug Stor (G123)</v>
      </c>
      <c r="O3339" t="s">
        <v>35</v>
      </c>
      <c r="P3339" t="str">
        <f t="shared" si="211"/>
        <v>57000_G123</v>
      </c>
      <c r="Q3339" s="180">
        <v>0</v>
      </c>
    </row>
    <row r="3340" spans="1:17">
      <c r="A3340" t="str">
        <f t="shared" si="208"/>
        <v>ABAC_G124</v>
      </c>
      <c r="B3340" t="str">
        <f t="shared" si="209"/>
        <v>ABAC_Gibbs Buggy Shed</v>
      </c>
      <c r="C3340" t="s">
        <v>457</v>
      </c>
      <c r="D3340" s="180" t="s">
        <v>22</v>
      </c>
      <c r="E3340" t="s">
        <v>6299</v>
      </c>
      <c r="F3340" t="s">
        <v>6300</v>
      </c>
      <c r="G3340" s="180">
        <v>358</v>
      </c>
      <c r="H3340">
        <v>1976</v>
      </c>
      <c r="J3340" s="1334" t="s">
        <v>475</v>
      </c>
      <c r="K3340" s="1335" t="s">
        <v>475</v>
      </c>
      <c r="L3340" s="180">
        <v>100</v>
      </c>
      <c r="M3340" t="s">
        <v>67</v>
      </c>
      <c r="N3340" t="str">
        <f t="shared" si="210"/>
        <v>Gibbs Buggy Shed (G124)</v>
      </c>
      <c r="O3340" t="s">
        <v>35</v>
      </c>
      <c r="P3340" t="str">
        <f t="shared" si="211"/>
        <v>57000_G124</v>
      </c>
      <c r="Q3340" s="180">
        <v>0</v>
      </c>
    </row>
    <row r="3341" spans="1:17">
      <c r="A3341" t="str">
        <f t="shared" si="208"/>
        <v>ABAC_G125</v>
      </c>
      <c r="B3341" t="str">
        <f t="shared" si="209"/>
        <v>ABAC_Gibbs Syrup Shed</v>
      </c>
      <c r="C3341" t="s">
        <v>457</v>
      </c>
      <c r="D3341" s="180" t="s">
        <v>22</v>
      </c>
      <c r="E3341" t="s">
        <v>6320</v>
      </c>
      <c r="F3341" t="s">
        <v>6321</v>
      </c>
      <c r="G3341" s="180">
        <v>336</v>
      </c>
      <c r="H3341">
        <v>1977</v>
      </c>
      <c r="J3341" s="1334" t="s">
        <v>475</v>
      </c>
      <c r="K3341" s="1335" t="s">
        <v>475</v>
      </c>
      <c r="L3341" s="180">
        <v>100</v>
      </c>
      <c r="M3341" t="s">
        <v>67</v>
      </c>
      <c r="N3341" t="str">
        <f t="shared" si="210"/>
        <v>Gibbs Syrup Shed (G125)</v>
      </c>
      <c r="O3341" t="s">
        <v>35</v>
      </c>
      <c r="P3341" t="str">
        <f t="shared" si="211"/>
        <v>57000_G125</v>
      </c>
      <c r="Q3341" s="180">
        <v>0</v>
      </c>
    </row>
    <row r="3342" spans="1:17">
      <c r="A3342" t="str">
        <f t="shared" si="208"/>
        <v>ABAC_G126</v>
      </c>
      <c r="B3342" t="str">
        <f t="shared" si="209"/>
        <v>ABAC_Grist Mill</v>
      </c>
      <c r="C3342" t="s">
        <v>457</v>
      </c>
      <c r="D3342" s="180" t="s">
        <v>22</v>
      </c>
      <c r="E3342" t="s">
        <v>6328</v>
      </c>
      <c r="F3342" t="s">
        <v>6329</v>
      </c>
      <c r="G3342" s="180">
        <v>690</v>
      </c>
      <c r="H3342">
        <v>1880</v>
      </c>
      <c r="J3342" s="1334" t="s">
        <v>475</v>
      </c>
      <c r="K3342" s="1335" t="s">
        <v>475</v>
      </c>
      <c r="L3342" s="180">
        <v>100</v>
      </c>
      <c r="M3342" t="s">
        <v>67</v>
      </c>
      <c r="N3342" t="str">
        <f t="shared" si="210"/>
        <v>Grist Mill (G126)</v>
      </c>
      <c r="O3342" t="s">
        <v>35</v>
      </c>
      <c r="P3342" t="str">
        <f t="shared" si="211"/>
        <v>57000_G126</v>
      </c>
      <c r="Q3342" s="180">
        <v>0</v>
      </c>
    </row>
    <row r="3343" spans="1:17">
      <c r="A3343" t="str">
        <f t="shared" si="208"/>
        <v>ABAC_G127</v>
      </c>
      <c r="B3343" t="str">
        <f t="shared" si="209"/>
        <v>ABAC_Langdale Nature Center</v>
      </c>
      <c r="C3343" t="s">
        <v>457</v>
      </c>
      <c r="D3343" s="180" t="s">
        <v>22</v>
      </c>
      <c r="E3343" t="s">
        <v>6330</v>
      </c>
      <c r="F3343" t="s">
        <v>6331</v>
      </c>
      <c r="G3343" s="180">
        <v>330</v>
      </c>
      <c r="H3343">
        <v>2002</v>
      </c>
      <c r="J3343" s="1334" t="s">
        <v>475</v>
      </c>
      <c r="K3343" s="1335" t="s">
        <v>475</v>
      </c>
      <c r="L3343" s="180">
        <v>100</v>
      </c>
      <c r="M3343" t="s">
        <v>67</v>
      </c>
      <c r="N3343" t="str">
        <f t="shared" si="210"/>
        <v>Langdale Nature Center (G127)</v>
      </c>
      <c r="O3343" t="s">
        <v>35</v>
      </c>
      <c r="P3343" t="str">
        <f t="shared" si="211"/>
        <v>57000_G127</v>
      </c>
      <c r="Q3343" s="180">
        <v>0</v>
      </c>
    </row>
    <row r="3344" spans="1:17">
      <c r="A3344" t="str">
        <f t="shared" si="208"/>
        <v>ABAC_G128</v>
      </c>
      <c r="B3344" t="str">
        <f t="shared" si="209"/>
        <v>ABAC_Masonic Lodge</v>
      </c>
      <c r="C3344" t="s">
        <v>457</v>
      </c>
      <c r="D3344" s="180" t="s">
        <v>22</v>
      </c>
      <c r="E3344" t="s">
        <v>6316</v>
      </c>
      <c r="F3344" t="s">
        <v>5882</v>
      </c>
      <c r="G3344" s="180">
        <v>1680</v>
      </c>
      <c r="H3344">
        <v>1909</v>
      </c>
      <c r="J3344" s="1334" t="s">
        <v>475</v>
      </c>
      <c r="K3344" s="1335" t="s">
        <v>475</v>
      </c>
      <c r="L3344" s="180">
        <v>100</v>
      </c>
      <c r="M3344" t="s">
        <v>67</v>
      </c>
      <c r="N3344" t="str">
        <f t="shared" si="210"/>
        <v>Masonic Lodge (G128)</v>
      </c>
      <c r="O3344" t="s">
        <v>35</v>
      </c>
      <c r="P3344" t="str">
        <f t="shared" si="211"/>
        <v>57000_G128</v>
      </c>
      <c r="Q3344" s="180">
        <v>0</v>
      </c>
    </row>
    <row r="3345" spans="1:17">
      <c r="A3345" t="str">
        <f t="shared" si="208"/>
        <v>ABAC_G129</v>
      </c>
      <c r="B3345" t="str">
        <f t="shared" si="209"/>
        <v>ABAC_Cravey House</v>
      </c>
      <c r="C3345" t="s">
        <v>457</v>
      </c>
      <c r="D3345" s="180" t="s">
        <v>22</v>
      </c>
      <c r="E3345" t="s">
        <v>6248</v>
      </c>
      <c r="F3345" t="s">
        <v>6249</v>
      </c>
      <c r="G3345" s="180">
        <v>1300</v>
      </c>
      <c r="H3345">
        <v>1870</v>
      </c>
      <c r="J3345" s="1334" t="s">
        <v>475</v>
      </c>
      <c r="K3345" s="1335" t="s">
        <v>475</v>
      </c>
      <c r="L3345" s="180">
        <v>100</v>
      </c>
      <c r="M3345" t="s">
        <v>67</v>
      </c>
      <c r="N3345" t="str">
        <f t="shared" si="210"/>
        <v>Cravey House (G129)</v>
      </c>
      <c r="O3345" t="s">
        <v>35</v>
      </c>
      <c r="P3345" t="str">
        <f t="shared" si="211"/>
        <v>57000_G129</v>
      </c>
      <c r="Q3345" s="180">
        <v>0</v>
      </c>
    </row>
    <row r="3346" spans="1:17">
      <c r="A3346" t="str">
        <f t="shared" si="208"/>
        <v>ABAC_G130</v>
      </c>
      <c r="B3346" t="str">
        <f t="shared" si="209"/>
        <v>ABAC_Simon's/James' Cabin</v>
      </c>
      <c r="C3346" t="s">
        <v>457</v>
      </c>
      <c r="D3346" s="180" t="s">
        <v>22</v>
      </c>
      <c r="E3346" t="s">
        <v>6275</v>
      </c>
      <c r="F3346" t="s">
        <v>6276</v>
      </c>
      <c r="G3346" s="180">
        <v>1776</v>
      </c>
      <c r="H3346">
        <v>1890</v>
      </c>
      <c r="J3346" s="1334" t="s">
        <v>475</v>
      </c>
      <c r="K3346" s="1335" t="s">
        <v>475</v>
      </c>
      <c r="L3346" s="180">
        <v>100</v>
      </c>
      <c r="M3346" t="s">
        <v>67</v>
      </c>
      <c r="N3346" t="str">
        <f t="shared" si="210"/>
        <v>Simon's/James' Cabin (G130)</v>
      </c>
      <c r="O3346" t="s">
        <v>35</v>
      </c>
      <c r="P3346" t="str">
        <f t="shared" si="211"/>
        <v>57000_G130</v>
      </c>
      <c r="Q3346" s="180">
        <v>0</v>
      </c>
    </row>
    <row r="3347" spans="1:17">
      <c r="A3347" t="str">
        <f t="shared" si="208"/>
        <v>ABAC_G131</v>
      </c>
      <c r="B3347" t="str">
        <f t="shared" si="209"/>
        <v>ABAC_Powell Commissary</v>
      </c>
      <c r="C3347" t="s">
        <v>457</v>
      </c>
      <c r="D3347" s="180" t="s">
        <v>22</v>
      </c>
      <c r="E3347" t="s">
        <v>6347</v>
      </c>
      <c r="F3347" t="s">
        <v>6348</v>
      </c>
      <c r="G3347" s="180">
        <v>544</v>
      </c>
      <c r="H3347">
        <v>1850</v>
      </c>
      <c r="J3347" s="1334" t="s">
        <v>475</v>
      </c>
      <c r="K3347" s="1335" t="s">
        <v>475</v>
      </c>
      <c r="L3347" s="180">
        <v>100</v>
      </c>
      <c r="M3347" t="s">
        <v>67</v>
      </c>
      <c r="N3347" t="str">
        <f t="shared" si="210"/>
        <v>Powell Commissary (G131)</v>
      </c>
      <c r="O3347" t="s">
        <v>35</v>
      </c>
      <c r="P3347" t="str">
        <f t="shared" si="211"/>
        <v>57000_G131</v>
      </c>
      <c r="Q3347" s="180">
        <v>0</v>
      </c>
    </row>
    <row r="3348" spans="1:17">
      <c r="A3348" t="str">
        <f t="shared" si="208"/>
        <v>ABAC_G132</v>
      </c>
      <c r="B3348" t="str">
        <f t="shared" si="209"/>
        <v>ABAC_Preachers Cabin</v>
      </c>
      <c r="C3348" t="s">
        <v>457</v>
      </c>
      <c r="D3348" s="180" t="s">
        <v>22</v>
      </c>
      <c r="E3348" t="s">
        <v>6387</v>
      </c>
      <c r="F3348" t="s">
        <v>6388</v>
      </c>
      <c r="G3348" s="180">
        <v>486</v>
      </c>
      <c r="H3348">
        <v>1890</v>
      </c>
      <c r="J3348" s="1334" t="s">
        <v>475</v>
      </c>
      <c r="K3348" s="1335" t="s">
        <v>475</v>
      </c>
      <c r="L3348" s="180">
        <v>100</v>
      </c>
      <c r="M3348" t="s">
        <v>67</v>
      </c>
      <c r="N3348" t="str">
        <f t="shared" si="210"/>
        <v>Preachers Cabin (G132)</v>
      </c>
      <c r="O3348" t="s">
        <v>35</v>
      </c>
      <c r="P3348" t="str">
        <f t="shared" si="211"/>
        <v>57000_G132</v>
      </c>
      <c r="Q3348" s="180">
        <v>0</v>
      </c>
    </row>
    <row r="3349" spans="1:17">
      <c r="A3349" t="str">
        <f t="shared" si="208"/>
        <v>ABAC_G133</v>
      </c>
      <c r="B3349" t="str">
        <f t="shared" si="209"/>
        <v>ABAC_Print Shop</v>
      </c>
      <c r="C3349" t="s">
        <v>457</v>
      </c>
      <c r="D3349" s="180" t="s">
        <v>22</v>
      </c>
      <c r="E3349" t="s">
        <v>6273</v>
      </c>
      <c r="F3349" t="s">
        <v>6274</v>
      </c>
      <c r="G3349" s="180">
        <v>1930</v>
      </c>
      <c r="H3349">
        <v>1880</v>
      </c>
      <c r="J3349" s="1334" t="s">
        <v>475</v>
      </c>
      <c r="K3349" s="1335" t="s">
        <v>475</v>
      </c>
      <c r="L3349" s="180">
        <v>100</v>
      </c>
      <c r="M3349" t="s">
        <v>67</v>
      </c>
      <c r="N3349" t="str">
        <f t="shared" si="210"/>
        <v>Print Shop (G133)</v>
      </c>
      <c r="O3349" t="s">
        <v>35</v>
      </c>
      <c r="P3349" t="str">
        <f t="shared" si="211"/>
        <v>57000_G133</v>
      </c>
      <c r="Q3349" s="180">
        <v>0</v>
      </c>
    </row>
    <row r="3350" spans="1:17">
      <c r="A3350" t="str">
        <f t="shared" si="208"/>
        <v>ABAC_G134</v>
      </c>
      <c r="B3350" t="str">
        <f t="shared" si="209"/>
        <v>ABAC_Progressive Barn</v>
      </c>
      <c r="C3350" t="s">
        <v>457</v>
      </c>
      <c r="D3350" s="180" t="s">
        <v>22</v>
      </c>
      <c r="E3350" t="s">
        <v>6257</v>
      </c>
      <c r="F3350" t="s">
        <v>6258</v>
      </c>
      <c r="G3350" s="180">
        <v>1008</v>
      </c>
      <c r="H3350">
        <v>1890</v>
      </c>
      <c r="J3350" s="1334" t="s">
        <v>475</v>
      </c>
      <c r="K3350" s="1335" t="s">
        <v>475</v>
      </c>
      <c r="L3350" s="180">
        <v>100</v>
      </c>
      <c r="M3350" t="s">
        <v>67</v>
      </c>
      <c r="N3350" t="str">
        <f t="shared" si="210"/>
        <v>Progressive Barn (G134)</v>
      </c>
      <c r="O3350" t="s">
        <v>35</v>
      </c>
      <c r="P3350" t="str">
        <f t="shared" si="211"/>
        <v>57000_G134</v>
      </c>
      <c r="Q3350" s="180">
        <v>0</v>
      </c>
    </row>
    <row r="3351" spans="1:17">
      <c r="A3351" t="str">
        <f t="shared" si="208"/>
        <v>ABAC_G135</v>
      </c>
      <c r="B3351" t="str">
        <f t="shared" si="209"/>
        <v>ABAC_Progressive Cottonseed House</v>
      </c>
      <c r="C3351" t="s">
        <v>457</v>
      </c>
      <c r="D3351" s="180" t="s">
        <v>22</v>
      </c>
      <c r="E3351" t="s">
        <v>6366</v>
      </c>
      <c r="F3351" t="s">
        <v>6367</v>
      </c>
      <c r="G3351" s="180">
        <v>864</v>
      </c>
      <c r="H3351">
        <v>1890</v>
      </c>
      <c r="J3351" s="1334" t="s">
        <v>475</v>
      </c>
      <c r="K3351" s="1335" t="s">
        <v>475</v>
      </c>
      <c r="L3351" s="180">
        <v>100</v>
      </c>
      <c r="M3351" t="s">
        <v>67</v>
      </c>
      <c r="N3351" t="str">
        <f t="shared" si="210"/>
        <v>Progressive Cottonseed House (G135)</v>
      </c>
      <c r="O3351" t="s">
        <v>35</v>
      </c>
      <c r="P3351" t="str">
        <f t="shared" si="211"/>
        <v>57000_G135</v>
      </c>
      <c r="Q3351" s="180">
        <v>0</v>
      </c>
    </row>
    <row r="3352" spans="1:17">
      <c r="A3352" t="str">
        <f t="shared" si="208"/>
        <v>ABAC_G136</v>
      </c>
      <c r="B3352" t="str">
        <f t="shared" si="209"/>
        <v>ABAC_Progressive Farmhouse/Gibbs</v>
      </c>
      <c r="C3352" t="s">
        <v>457</v>
      </c>
      <c r="D3352" s="180" t="s">
        <v>22</v>
      </c>
      <c r="E3352" t="s">
        <v>6377</v>
      </c>
      <c r="F3352" t="s">
        <v>6378</v>
      </c>
      <c r="G3352" s="180">
        <v>1700</v>
      </c>
      <c r="H3352">
        <v>1890</v>
      </c>
      <c r="J3352" s="1334" t="s">
        <v>475</v>
      </c>
      <c r="K3352" s="1335" t="s">
        <v>475</v>
      </c>
      <c r="L3352" s="180">
        <v>100</v>
      </c>
      <c r="M3352" t="s">
        <v>67</v>
      </c>
      <c r="N3352" t="str">
        <f t="shared" si="210"/>
        <v>Progressive Farmhouse/Gibbs (G136)</v>
      </c>
      <c r="O3352" t="s">
        <v>35</v>
      </c>
      <c r="P3352" t="str">
        <f t="shared" si="211"/>
        <v>57000_G136</v>
      </c>
      <c r="Q3352" s="180">
        <v>0</v>
      </c>
    </row>
    <row r="3353" spans="1:17">
      <c r="A3353" t="str">
        <f t="shared" si="208"/>
        <v>ABAC_G137</v>
      </c>
      <c r="B3353" t="str">
        <f t="shared" si="209"/>
        <v>ABAC_Progressive Smokehouse</v>
      </c>
      <c r="C3353" t="s">
        <v>457</v>
      </c>
      <c r="D3353" s="180" t="s">
        <v>22</v>
      </c>
      <c r="E3353" t="s">
        <v>6334</v>
      </c>
      <c r="F3353" t="s">
        <v>6335</v>
      </c>
      <c r="G3353" s="180">
        <v>80</v>
      </c>
      <c r="H3353">
        <v>1890</v>
      </c>
      <c r="J3353" s="1334" t="s">
        <v>475</v>
      </c>
      <c r="K3353" s="1335" t="s">
        <v>475</v>
      </c>
      <c r="L3353" s="180">
        <v>100</v>
      </c>
      <c r="M3353" t="s">
        <v>67</v>
      </c>
      <c r="N3353" t="str">
        <f t="shared" si="210"/>
        <v>Progressive Smokehouse (G137)</v>
      </c>
      <c r="O3353" t="s">
        <v>35</v>
      </c>
      <c r="P3353" t="str">
        <f t="shared" si="211"/>
        <v>57000_G137</v>
      </c>
      <c r="Q3353" s="180">
        <v>0</v>
      </c>
    </row>
    <row r="3354" spans="1:17">
      <c r="A3354" t="str">
        <f t="shared" si="208"/>
        <v>ABAC_G138</v>
      </c>
      <c r="B3354" t="str">
        <f t="shared" si="209"/>
        <v>ABAC_Progressive Storehouse</v>
      </c>
      <c r="C3354" t="s">
        <v>457</v>
      </c>
      <c r="D3354" s="180" t="s">
        <v>22</v>
      </c>
      <c r="E3354" t="s">
        <v>6338</v>
      </c>
      <c r="F3354" t="s">
        <v>6339</v>
      </c>
      <c r="G3354" s="180">
        <v>88</v>
      </c>
      <c r="H3354">
        <v>1890</v>
      </c>
      <c r="J3354" s="1334" t="s">
        <v>475</v>
      </c>
      <c r="K3354" s="1335" t="s">
        <v>475</v>
      </c>
      <c r="L3354" s="180">
        <v>100</v>
      </c>
      <c r="M3354" t="s">
        <v>67</v>
      </c>
      <c r="N3354" t="str">
        <f t="shared" si="210"/>
        <v>Progressive Storehouse (G138)</v>
      </c>
      <c r="O3354" t="s">
        <v>35</v>
      </c>
      <c r="P3354" t="str">
        <f t="shared" si="211"/>
        <v>57000_G138</v>
      </c>
      <c r="Q3354" s="180">
        <v>0</v>
      </c>
    </row>
    <row r="3355" spans="1:17">
      <c r="A3355" t="str">
        <f t="shared" si="208"/>
        <v>ABAC_G139</v>
      </c>
      <c r="B3355" t="str">
        <f t="shared" si="209"/>
        <v>ABAC_Railroad Depot</v>
      </c>
      <c r="C3355" t="s">
        <v>457</v>
      </c>
      <c r="D3355" s="180" t="s">
        <v>22</v>
      </c>
      <c r="E3355" t="s">
        <v>6381</v>
      </c>
      <c r="F3355" t="s">
        <v>6382</v>
      </c>
      <c r="G3355" s="180">
        <v>1298</v>
      </c>
      <c r="H3355">
        <v>1905</v>
      </c>
      <c r="J3355" s="1334" t="s">
        <v>475</v>
      </c>
      <c r="K3355" s="1335" t="s">
        <v>475</v>
      </c>
      <c r="L3355" s="180">
        <v>100</v>
      </c>
      <c r="M3355" t="s">
        <v>67</v>
      </c>
      <c r="N3355" t="str">
        <f t="shared" si="210"/>
        <v>Railroad Depot (G139)</v>
      </c>
      <c r="O3355" t="s">
        <v>35</v>
      </c>
      <c r="P3355" t="str">
        <f t="shared" si="211"/>
        <v>57000_G139</v>
      </c>
      <c r="Q3355" s="180">
        <v>0</v>
      </c>
    </row>
    <row r="3356" spans="1:17">
      <c r="A3356" t="str">
        <f t="shared" si="208"/>
        <v>ABAC_G140</v>
      </c>
      <c r="B3356" t="str">
        <f t="shared" si="209"/>
        <v>ABAC_Railroad Docks</v>
      </c>
      <c r="C3356" t="s">
        <v>457</v>
      </c>
      <c r="D3356" s="180" t="s">
        <v>22</v>
      </c>
      <c r="E3356" t="s">
        <v>6361</v>
      </c>
      <c r="F3356" t="s">
        <v>6362</v>
      </c>
      <c r="G3356" s="180">
        <v>960</v>
      </c>
      <c r="H3356">
        <v>2000</v>
      </c>
      <c r="J3356" s="1334" t="s">
        <v>475</v>
      </c>
      <c r="K3356" s="1335" t="s">
        <v>475</v>
      </c>
      <c r="L3356" s="180">
        <v>100</v>
      </c>
      <c r="M3356" t="s">
        <v>67</v>
      </c>
      <c r="N3356" t="str">
        <f t="shared" si="210"/>
        <v>Railroad Docks (G140)</v>
      </c>
      <c r="O3356" t="s">
        <v>35</v>
      </c>
      <c r="P3356" t="str">
        <f t="shared" si="211"/>
        <v>57000_G140</v>
      </c>
      <c r="Q3356" s="180">
        <v>0</v>
      </c>
    </row>
    <row r="3357" spans="1:17">
      <c r="A3357" t="str">
        <f t="shared" si="208"/>
        <v>ABAC_G141</v>
      </c>
      <c r="B3357" t="str">
        <f t="shared" si="209"/>
        <v>ABAC_Sawmill</v>
      </c>
      <c r="C3357" t="s">
        <v>457</v>
      </c>
      <c r="D3357" s="180" t="s">
        <v>22</v>
      </c>
      <c r="E3357" t="s">
        <v>6352</v>
      </c>
      <c r="F3357" t="s">
        <v>6353</v>
      </c>
      <c r="G3357" s="180">
        <v>1400</v>
      </c>
      <c r="H3357">
        <v>1979</v>
      </c>
      <c r="J3357" s="1334" t="s">
        <v>475</v>
      </c>
      <c r="K3357" s="1335" t="s">
        <v>475</v>
      </c>
      <c r="L3357" s="180">
        <v>100</v>
      </c>
      <c r="M3357" t="s">
        <v>67</v>
      </c>
      <c r="N3357" t="str">
        <f t="shared" si="210"/>
        <v>Sawmill (G141)</v>
      </c>
      <c r="O3357" t="s">
        <v>35</v>
      </c>
      <c r="P3357" t="str">
        <f t="shared" si="211"/>
        <v>57000_G141</v>
      </c>
      <c r="Q3357" s="180">
        <v>0</v>
      </c>
    </row>
    <row r="3358" spans="1:17">
      <c r="A3358" t="str">
        <f t="shared" si="208"/>
        <v>ABAC_G142</v>
      </c>
      <c r="B3358" t="str">
        <f t="shared" si="209"/>
        <v>ABAC_School House</v>
      </c>
      <c r="C3358" t="s">
        <v>457</v>
      </c>
      <c r="D3358" s="180" t="s">
        <v>22</v>
      </c>
      <c r="E3358" t="s">
        <v>6336</v>
      </c>
      <c r="F3358" t="s">
        <v>6337</v>
      </c>
      <c r="G3358" s="180">
        <v>814</v>
      </c>
      <c r="H3358">
        <v>1890</v>
      </c>
      <c r="J3358" s="1334" t="s">
        <v>475</v>
      </c>
      <c r="K3358" s="1335" t="s">
        <v>475</v>
      </c>
      <c r="L3358" s="180">
        <v>100</v>
      </c>
      <c r="M3358" t="s">
        <v>67</v>
      </c>
      <c r="N3358" t="str">
        <f t="shared" si="210"/>
        <v>School House (G142)</v>
      </c>
      <c r="O3358" t="s">
        <v>35</v>
      </c>
      <c r="P3358" t="str">
        <f t="shared" si="211"/>
        <v>57000_G142</v>
      </c>
      <c r="Q3358" s="180">
        <v>0</v>
      </c>
    </row>
    <row r="3359" spans="1:17">
      <c r="A3359" t="str">
        <f t="shared" si="208"/>
        <v>ABAC_G143</v>
      </c>
      <c r="B3359" t="str">
        <f t="shared" si="209"/>
        <v>ABAC_Shepherd Peanut Museum</v>
      </c>
      <c r="C3359" t="s">
        <v>457</v>
      </c>
      <c r="D3359" s="180" t="s">
        <v>22</v>
      </c>
      <c r="E3359" t="s">
        <v>6291</v>
      </c>
      <c r="F3359" t="s">
        <v>6292</v>
      </c>
      <c r="G3359" s="180">
        <v>6361</v>
      </c>
      <c r="H3359">
        <v>1996</v>
      </c>
      <c r="J3359" s="1334" t="s">
        <v>475</v>
      </c>
      <c r="K3359" s="1335" t="s">
        <v>475</v>
      </c>
      <c r="L3359" s="180">
        <v>100</v>
      </c>
      <c r="M3359" t="s">
        <v>67</v>
      </c>
      <c r="N3359" t="str">
        <f t="shared" si="210"/>
        <v>Shepherd Peanut Museum (G143)</v>
      </c>
      <c r="O3359" t="s">
        <v>35</v>
      </c>
      <c r="P3359" t="str">
        <f t="shared" si="211"/>
        <v>57000_G143</v>
      </c>
      <c r="Q3359" s="180">
        <v>0</v>
      </c>
    </row>
    <row r="3360" spans="1:17">
      <c r="A3360" t="str">
        <f t="shared" si="208"/>
        <v>ABAC_G144</v>
      </c>
      <c r="B3360" t="str">
        <f t="shared" si="209"/>
        <v>ABAC_Tift House</v>
      </c>
      <c r="C3360" t="s">
        <v>457</v>
      </c>
      <c r="D3360" s="180" t="s">
        <v>22</v>
      </c>
      <c r="E3360" t="s">
        <v>6389</v>
      </c>
      <c r="F3360" t="s">
        <v>6390</v>
      </c>
      <c r="G3360" s="180">
        <v>4070</v>
      </c>
      <c r="H3360">
        <v>1887</v>
      </c>
      <c r="J3360" s="1334" t="s">
        <v>475</v>
      </c>
      <c r="K3360" s="1335" t="s">
        <v>475</v>
      </c>
      <c r="L3360" s="180">
        <v>100</v>
      </c>
      <c r="M3360" t="s">
        <v>67</v>
      </c>
      <c r="N3360" t="str">
        <f t="shared" si="210"/>
        <v>Tift House (G144)</v>
      </c>
      <c r="O3360" t="s">
        <v>35</v>
      </c>
      <c r="P3360" t="str">
        <f t="shared" si="211"/>
        <v>57000_G144</v>
      </c>
      <c r="Q3360" s="180">
        <v>0</v>
      </c>
    </row>
    <row r="3361" spans="1:17">
      <c r="A3361" t="str">
        <f t="shared" si="208"/>
        <v>ABAC_G145</v>
      </c>
      <c r="B3361" t="str">
        <f t="shared" si="209"/>
        <v>ABAC_Turpentine Still</v>
      </c>
      <c r="C3361" t="s">
        <v>457</v>
      </c>
      <c r="D3361" s="180" t="s">
        <v>22</v>
      </c>
      <c r="E3361" t="s">
        <v>6383</v>
      </c>
      <c r="F3361" t="s">
        <v>6384</v>
      </c>
      <c r="G3361" s="180">
        <v>830</v>
      </c>
      <c r="H3361">
        <v>1982</v>
      </c>
      <c r="J3361" s="1334" t="s">
        <v>475</v>
      </c>
      <c r="K3361" s="1335" t="s">
        <v>475</v>
      </c>
      <c r="L3361" s="180">
        <v>100</v>
      </c>
      <c r="M3361" t="s">
        <v>67</v>
      </c>
      <c r="N3361" t="str">
        <f t="shared" si="210"/>
        <v>Turpentine Still (G145)</v>
      </c>
      <c r="O3361" t="s">
        <v>35</v>
      </c>
      <c r="P3361" t="str">
        <f t="shared" si="211"/>
        <v>57000_G145</v>
      </c>
      <c r="Q3361" s="180">
        <v>0</v>
      </c>
    </row>
    <row r="3362" spans="1:17">
      <c r="A3362" t="str">
        <f t="shared" si="208"/>
        <v>ABAC_G146</v>
      </c>
      <c r="B3362" t="str">
        <f t="shared" si="209"/>
        <v>ABAC_Variety Woodworking Shop</v>
      </c>
      <c r="C3362" t="s">
        <v>457</v>
      </c>
      <c r="D3362" s="180" t="s">
        <v>22</v>
      </c>
      <c r="E3362" t="s">
        <v>6354</v>
      </c>
      <c r="F3362" t="s">
        <v>6355</v>
      </c>
      <c r="G3362" s="180">
        <v>1830</v>
      </c>
      <c r="H3362">
        <v>1985</v>
      </c>
      <c r="J3362" s="1334" t="s">
        <v>475</v>
      </c>
      <c r="K3362" s="1335" t="s">
        <v>475</v>
      </c>
      <c r="L3362" s="180">
        <v>100</v>
      </c>
      <c r="M3362" t="s">
        <v>67</v>
      </c>
      <c r="N3362" t="str">
        <f t="shared" si="210"/>
        <v>Variety Woodworking Shop (G146)</v>
      </c>
      <c r="O3362" t="s">
        <v>35</v>
      </c>
      <c r="P3362" t="str">
        <f t="shared" si="211"/>
        <v>57000_G146</v>
      </c>
      <c r="Q3362" s="180">
        <v>0</v>
      </c>
    </row>
    <row r="3363" spans="1:17">
      <c r="A3363" t="str">
        <f t="shared" si="208"/>
        <v>ABAC_G147</v>
      </c>
      <c r="B3363" t="str">
        <f t="shared" si="209"/>
        <v>ABAC_Wood Storage</v>
      </c>
      <c r="C3363" t="s">
        <v>457</v>
      </c>
      <c r="D3363" s="180" t="s">
        <v>22</v>
      </c>
      <c r="E3363" t="s">
        <v>6303</v>
      </c>
      <c r="F3363" t="s">
        <v>6304</v>
      </c>
      <c r="G3363" s="180">
        <v>1231</v>
      </c>
      <c r="H3363">
        <v>2007</v>
      </c>
      <c r="J3363" s="1334" t="s">
        <v>475</v>
      </c>
      <c r="K3363" s="1335" t="s">
        <v>475</v>
      </c>
      <c r="L3363" s="180">
        <v>100</v>
      </c>
      <c r="M3363" t="s">
        <v>67</v>
      </c>
      <c r="N3363" t="str">
        <f t="shared" si="210"/>
        <v>Wood Storage (G147)</v>
      </c>
      <c r="O3363" t="s">
        <v>35</v>
      </c>
      <c r="P3363" t="str">
        <f t="shared" si="211"/>
        <v>57000_G147</v>
      </c>
      <c r="Q3363" s="180">
        <v>0</v>
      </c>
    </row>
    <row r="3364" spans="1:17">
      <c r="A3364" t="str">
        <f t="shared" si="208"/>
        <v>ABAC_G148</v>
      </c>
      <c r="B3364" t="str">
        <f t="shared" si="209"/>
        <v>ABAC_Progressive Feed Room</v>
      </c>
      <c r="C3364" t="s">
        <v>457</v>
      </c>
      <c r="D3364" s="180" t="s">
        <v>22</v>
      </c>
      <c r="E3364" t="s">
        <v>6368</v>
      </c>
      <c r="F3364" t="s">
        <v>6369</v>
      </c>
      <c r="G3364" s="180">
        <v>832</v>
      </c>
      <c r="H3364">
        <v>1890</v>
      </c>
      <c r="J3364" s="1334" t="s">
        <v>475</v>
      </c>
      <c r="K3364" s="1335" t="s">
        <v>475</v>
      </c>
      <c r="L3364" s="180">
        <v>100</v>
      </c>
      <c r="M3364" t="s">
        <v>67</v>
      </c>
      <c r="N3364" t="str">
        <f t="shared" si="210"/>
        <v>Progressive Feed Room (G148)</v>
      </c>
      <c r="O3364" t="s">
        <v>35</v>
      </c>
      <c r="P3364" t="str">
        <f t="shared" si="211"/>
        <v>57000_G148</v>
      </c>
      <c r="Q3364" s="180">
        <v>0</v>
      </c>
    </row>
    <row r="3365" spans="1:17">
      <c r="A3365" t="str">
        <f t="shared" si="208"/>
        <v>ABAC_G149</v>
      </c>
      <c r="B3365" t="str">
        <f t="shared" si="209"/>
        <v>ABAC_Destination Ag Barn &amp; Learning</v>
      </c>
      <c r="C3365" t="s">
        <v>457</v>
      </c>
      <c r="D3365" s="180" t="s">
        <v>22</v>
      </c>
      <c r="E3365" t="s">
        <v>7011</v>
      </c>
      <c r="F3365" t="s">
        <v>7068</v>
      </c>
      <c r="G3365" s="180">
        <v>2772</v>
      </c>
      <c r="H3365">
        <v>2020</v>
      </c>
      <c r="J3365" s="1334" t="s">
        <v>475</v>
      </c>
      <c r="K3365" s="1335" t="s">
        <v>475</v>
      </c>
      <c r="L3365" s="180">
        <v>100</v>
      </c>
      <c r="M3365" t="s">
        <v>67</v>
      </c>
      <c r="N3365" t="str">
        <f t="shared" si="210"/>
        <v>Destination Ag Barn &amp; Learning (G149)</v>
      </c>
      <c r="O3365" t="s">
        <v>35</v>
      </c>
      <c r="P3365" t="str">
        <f t="shared" si="211"/>
        <v>57000_G149</v>
      </c>
      <c r="Q3365" s="180">
        <v>0</v>
      </c>
    </row>
    <row r="3366" spans="1:17">
      <c r="A3366" t="str">
        <f t="shared" si="208"/>
        <v>ABAC_G200</v>
      </c>
      <c r="B3366" t="str">
        <f t="shared" si="209"/>
        <v>ABAC_Welcome Center</v>
      </c>
      <c r="C3366" t="s">
        <v>457</v>
      </c>
      <c r="D3366" s="180" t="s">
        <v>22</v>
      </c>
      <c r="E3366" t="s">
        <v>6286</v>
      </c>
      <c r="F3366" t="s">
        <v>6287</v>
      </c>
      <c r="G3366" s="180">
        <v>6998</v>
      </c>
      <c r="H3366">
        <v>2001</v>
      </c>
      <c r="J3366" s="1334" t="s">
        <v>475</v>
      </c>
      <c r="K3366" s="1335" t="s">
        <v>475</v>
      </c>
      <c r="L3366" s="180">
        <v>70</v>
      </c>
      <c r="M3366" t="s">
        <v>67</v>
      </c>
      <c r="N3366" t="str">
        <f t="shared" si="210"/>
        <v>Welcome Center (G200)</v>
      </c>
      <c r="O3366" t="s">
        <v>35</v>
      </c>
      <c r="P3366" t="str">
        <f t="shared" si="211"/>
        <v>57000_G200</v>
      </c>
      <c r="Q3366" s="180">
        <v>0</v>
      </c>
    </row>
    <row r="3367" spans="1:17">
      <c r="A3367" t="str">
        <f t="shared" si="208"/>
        <v>ABAC_G300</v>
      </c>
      <c r="B3367" t="str">
        <f t="shared" si="209"/>
        <v>ABAC_Ga Museum of Ag (Admin)</v>
      </c>
      <c r="C3367" t="s">
        <v>457</v>
      </c>
      <c r="D3367" s="180" t="s">
        <v>22</v>
      </c>
      <c r="E3367" t="s">
        <v>6288</v>
      </c>
      <c r="F3367" t="s">
        <v>7069</v>
      </c>
      <c r="G3367" s="180">
        <v>66141</v>
      </c>
      <c r="H3367">
        <v>2005</v>
      </c>
      <c r="J3367" s="1334" t="s">
        <v>475</v>
      </c>
      <c r="K3367" s="1335" t="s">
        <v>475</v>
      </c>
      <c r="L3367" s="180">
        <v>95</v>
      </c>
      <c r="M3367" t="s">
        <v>67</v>
      </c>
      <c r="N3367" t="str">
        <f t="shared" si="210"/>
        <v>Ga Museum of Ag (Admin) (G300)</v>
      </c>
      <c r="O3367" t="s">
        <v>35</v>
      </c>
      <c r="P3367" t="str">
        <f t="shared" si="211"/>
        <v>57000_G300</v>
      </c>
      <c r="Q3367" s="180">
        <v>0</v>
      </c>
    </row>
    <row r="3368" spans="1:17">
      <c r="A3368" t="str">
        <f t="shared" si="208"/>
        <v>AMSC_0002</v>
      </c>
      <c r="B3368" t="str">
        <f t="shared" si="209"/>
        <v>AMSC_STORAGE WH</v>
      </c>
      <c r="C3368" t="s">
        <v>458</v>
      </c>
      <c r="D3368" s="180" t="s">
        <v>55</v>
      </c>
      <c r="E3368" t="s">
        <v>769</v>
      </c>
      <c r="F3368" t="s">
        <v>6402</v>
      </c>
      <c r="G3368" s="180">
        <v>1536</v>
      </c>
      <c r="H3368">
        <v>1965</v>
      </c>
      <c r="J3368" s="1334" t="s">
        <v>475</v>
      </c>
      <c r="K3368" s="1335" t="s">
        <v>475</v>
      </c>
      <c r="L3368" s="180">
        <v>100</v>
      </c>
      <c r="M3368" t="s">
        <v>68</v>
      </c>
      <c r="N3368" t="str">
        <f t="shared" si="210"/>
        <v>STORAGE WH (0002)</v>
      </c>
      <c r="O3368" t="s">
        <v>56</v>
      </c>
      <c r="P3368" t="str">
        <f t="shared" si="211"/>
        <v>61000_0002</v>
      </c>
      <c r="Q3368" s="180">
        <v>0</v>
      </c>
    </row>
    <row r="3369" spans="1:17">
      <c r="A3369" t="str">
        <f t="shared" si="208"/>
        <v>AMSC_0003</v>
      </c>
      <c r="B3369" t="str">
        <f t="shared" si="209"/>
        <v>AMSC_STORAGE WH II</v>
      </c>
      <c r="C3369" t="s">
        <v>458</v>
      </c>
      <c r="D3369" s="180" t="s">
        <v>55</v>
      </c>
      <c r="E3369" t="s">
        <v>524</v>
      </c>
      <c r="F3369" t="s">
        <v>6396</v>
      </c>
      <c r="G3369" s="180">
        <v>1536</v>
      </c>
      <c r="H3369">
        <v>1965</v>
      </c>
      <c r="J3369" s="1334" t="s">
        <v>475</v>
      </c>
      <c r="K3369" s="1335" t="s">
        <v>475</v>
      </c>
      <c r="L3369" s="180">
        <v>100</v>
      </c>
      <c r="M3369" t="s">
        <v>68</v>
      </c>
      <c r="N3369" t="str">
        <f t="shared" si="210"/>
        <v>STORAGE WH II (0003)</v>
      </c>
      <c r="O3369" t="s">
        <v>56</v>
      </c>
      <c r="P3369" t="str">
        <f t="shared" si="211"/>
        <v>61000_0003</v>
      </c>
      <c r="Q3369" s="180">
        <v>0</v>
      </c>
    </row>
    <row r="3370" spans="1:17">
      <c r="A3370" t="str">
        <f t="shared" si="208"/>
        <v>AMSC_0004</v>
      </c>
      <c r="B3370" t="str">
        <f t="shared" si="209"/>
        <v>AMSC_STORAGE WH II</v>
      </c>
      <c r="C3370" t="s">
        <v>458</v>
      </c>
      <c r="D3370" s="180" t="s">
        <v>55</v>
      </c>
      <c r="E3370" t="s">
        <v>1059</v>
      </c>
      <c r="F3370" t="s">
        <v>6396</v>
      </c>
      <c r="G3370" s="180">
        <v>1536</v>
      </c>
      <c r="H3370">
        <v>1965</v>
      </c>
      <c r="J3370" s="1334" t="s">
        <v>475</v>
      </c>
      <c r="K3370" s="1335" t="s">
        <v>475</v>
      </c>
      <c r="L3370" s="180">
        <v>100</v>
      </c>
      <c r="M3370" t="s">
        <v>68</v>
      </c>
      <c r="N3370" t="str">
        <f t="shared" si="210"/>
        <v>STORAGE WH II (0004)</v>
      </c>
      <c r="O3370" t="s">
        <v>56</v>
      </c>
      <c r="P3370" t="str">
        <f t="shared" si="211"/>
        <v>61000_0004</v>
      </c>
      <c r="Q3370" s="180">
        <v>0</v>
      </c>
    </row>
    <row r="3371" spans="1:17">
      <c r="A3371" t="str">
        <f t="shared" si="208"/>
        <v>AMSC_0005</v>
      </c>
      <c r="B3371" t="str">
        <f t="shared" si="209"/>
        <v>AMSC_SECURITY</v>
      </c>
      <c r="C3371" t="s">
        <v>458</v>
      </c>
      <c r="D3371" s="180" t="s">
        <v>55</v>
      </c>
      <c r="E3371" t="s">
        <v>1139</v>
      </c>
      <c r="F3371" t="s">
        <v>6395</v>
      </c>
      <c r="G3371" s="180">
        <v>1536</v>
      </c>
      <c r="H3371">
        <v>1965</v>
      </c>
      <c r="J3371" s="1334" t="s">
        <v>475</v>
      </c>
      <c r="K3371" s="1335" t="s">
        <v>475</v>
      </c>
      <c r="L3371" s="180">
        <v>100</v>
      </c>
      <c r="M3371" t="s">
        <v>68</v>
      </c>
      <c r="N3371" t="str">
        <f t="shared" si="210"/>
        <v>SECURITY (0005)</v>
      </c>
      <c r="O3371" t="s">
        <v>56</v>
      </c>
      <c r="P3371" t="str">
        <f t="shared" si="211"/>
        <v>61000_0005</v>
      </c>
      <c r="Q3371" s="180">
        <v>0</v>
      </c>
    </row>
    <row r="3372" spans="1:17">
      <c r="A3372" t="str">
        <f t="shared" si="208"/>
        <v>AMSC_0006</v>
      </c>
      <c r="B3372" t="str">
        <f t="shared" si="209"/>
        <v>AMSC_CARPENTER SHOP</v>
      </c>
      <c r="C3372" t="s">
        <v>458</v>
      </c>
      <c r="D3372" s="180" t="s">
        <v>55</v>
      </c>
      <c r="E3372" t="s">
        <v>855</v>
      </c>
      <c r="F3372" t="s">
        <v>3432</v>
      </c>
      <c r="G3372" s="180">
        <v>1536</v>
      </c>
      <c r="H3372">
        <v>1965</v>
      </c>
      <c r="J3372" s="1334" t="s">
        <v>475</v>
      </c>
      <c r="K3372" s="1335" t="s">
        <v>475</v>
      </c>
      <c r="L3372" s="180">
        <v>100</v>
      </c>
      <c r="M3372" t="s">
        <v>68</v>
      </c>
      <c r="N3372" t="str">
        <f t="shared" si="210"/>
        <v>CARPENTER SHOP (0006)</v>
      </c>
      <c r="O3372" t="s">
        <v>56</v>
      </c>
      <c r="P3372" t="str">
        <f t="shared" si="211"/>
        <v>61000_0006</v>
      </c>
      <c r="Q3372" s="180">
        <v>0</v>
      </c>
    </row>
    <row r="3373" spans="1:17">
      <c r="A3373" t="str">
        <f t="shared" si="208"/>
        <v>AMSC_0100</v>
      </c>
      <c r="B3373" t="str">
        <f t="shared" si="209"/>
        <v>AMSC_Building 100 Science Lecture</v>
      </c>
      <c r="C3373" t="s">
        <v>458</v>
      </c>
      <c r="D3373" s="180" t="s">
        <v>55</v>
      </c>
      <c r="E3373" t="s">
        <v>684</v>
      </c>
      <c r="F3373" t="s">
        <v>7808</v>
      </c>
      <c r="G3373" s="180">
        <v>51549</v>
      </c>
      <c r="H3373">
        <v>1974</v>
      </c>
      <c r="J3373" s="1334" t="s">
        <v>475</v>
      </c>
      <c r="K3373" s="1335" t="s">
        <v>475</v>
      </c>
      <c r="L3373" s="180">
        <v>100</v>
      </c>
      <c r="M3373" t="s">
        <v>68</v>
      </c>
      <c r="N3373" t="str">
        <f t="shared" si="210"/>
        <v>Building 100 Science Lecture (0100)</v>
      </c>
      <c r="O3373" t="s">
        <v>56</v>
      </c>
      <c r="P3373" t="str">
        <f t="shared" si="211"/>
        <v>61000_0100</v>
      </c>
      <c r="Q3373" s="180">
        <v>0</v>
      </c>
    </row>
    <row r="3374" spans="1:17">
      <c r="A3374" t="str">
        <f t="shared" si="208"/>
        <v>AMSC_0200</v>
      </c>
      <c r="B3374" t="str">
        <f t="shared" si="209"/>
        <v>AMSC_HARMON HOUSE</v>
      </c>
      <c r="C3374" t="s">
        <v>458</v>
      </c>
      <c r="D3374" s="180" t="s">
        <v>55</v>
      </c>
      <c r="E3374" t="s">
        <v>500</v>
      </c>
      <c r="F3374" t="s">
        <v>6405</v>
      </c>
      <c r="G3374" s="180">
        <v>5066</v>
      </c>
      <c r="H3374">
        <v>1954</v>
      </c>
      <c r="J3374" s="1334" t="s">
        <v>475</v>
      </c>
      <c r="K3374" s="1335" t="s">
        <v>475</v>
      </c>
      <c r="L3374" s="180">
        <v>100</v>
      </c>
      <c r="M3374" t="s">
        <v>68</v>
      </c>
      <c r="N3374" t="str">
        <f t="shared" si="210"/>
        <v>HARMON HOUSE (0200)</v>
      </c>
      <c r="O3374" t="s">
        <v>56</v>
      </c>
      <c r="P3374" t="str">
        <f t="shared" si="211"/>
        <v>61000_0200</v>
      </c>
      <c r="Q3374" s="180">
        <v>0</v>
      </c>
    </row>
    <row r="3375" spans="1:17">
      <c r="A3375" t="str">
        <f t="shared" si="208"/>
        <v>AMSC_0400</v>
      </c>
      <c r="B3375" t="str">
        <f t="shared" si="209"/>
        <v>AMSC_CENTRAL ENERGY PLT</v>
      </c>
      <c r="C3375" t="s">
        <v>458</v>
      </c>
      <c r="D3375" s="180" t="s">
        <v>55</v>
      </c>
      <c r="E3375" t="s">
        <v>5297</v>
      </c>
      <c r="F3375" t="s">
        <v>6404</v>
      </c>
      <c r="G3375" s="180">
        <v>7200</v>
      </c>
      <c r="H3375">
        <v>1976</v>
      </c>
      <c r="J3375" s="1334" t="s">
        <v>475</v>
      </c>
      <c r="K3375" s="1335" t="s">
        <v>475</v>
      </c>
      <c r="L3375" s="180">
        <v>100</v>
      </c>
      <c r="M3375" t="s">
        <v>68</v>
      </c>
      <c r="N3375" t="str">
        <f t="shared" si="210"/>
        <v>CENTRAL ENERGY PLT (0400)</v>
      </c>
      <c r="O3375" t="s">
        <v>56</v>
      </c>
      <c r="P3375" t="str">
        <f t="shared" si="211"/>
        <v>61000_0400</v>
      </c>
      <c r="Q3375" s="180">
        <v>0</v>
      </c>
    </row>
    <row r="3376" spans="1:17">
      <c r="A3376" t="str">
        <f t="shared" si="208"/>
        <v>AMSC_0500</v>
      </c>
      <c r="B3376" t="str">
        <f t="shared" si="209"/>
        <v>AMSC_Building 500 Academic Bldg</v>
      </c>
      <c r="C3376" t="s">
        <v>458</v>
      </c>
      <c r="D3376" s="180" t="s">
        <v>55</v>
      </c>
      <c r="E3376" t="s">
        <v>5145</v>
      </c>
      <c r="F3376" t="s">
        <v>7809</v>
      </c>
      <c r="G3376" s="180">
        <v>58093</v>
      </c>
      <c r="H3376">
        <v>1977</v>
      </c>
      <c r="J3376" s="1334" t="s">
        <v>475</v>
      </c>
      <c r="K3376" s="1335" t="s">
        <v>475</v>
      </c>
      <c r="L3376" s="180">
        <v>100</v>
      </c>
      <c r="M3376" t="s">
        <v>68</v>
      </c>
      <c r="N3376" t="str">
        <f t="shared" si="210"/>
        <v>Building 500 Academic Bldg (0500)</v>
      </c>
      <c r="O3376" t="s">
        <v>56</v>
      </c>
      <c r="P3376" t="str">
        <f t="shared" si="211"/>
        <v>61000_0500</v>
      </c>
      <c r="Q3376" s="180">
        <v>0</v>
      </c>
    </row>
    <row r="3377" spans="1:17">
      <c r="A3377" t="str">
        <f t="shared" si="208"/>
        <v>AMSC_0600</v>
      </c>
      <c r="B3377" t="str">
        <f t="shared" si="209"/>
        <v>AMSC_Building 600 Library/Admin</v>
      </c>
      <c r="C3377" t="s">
        <v>458</v>
      </c>
      <c r="D3377" s="180" t="s">
        <v>55</v>
      </c>
      <c r="E3377" t="s">
        <v>4818</v>
      </c>
      <c r="F3377" t="s">
        <v>7070</v>
      </c>
      <c r="G3377" s="180">
        <v>53637</v>
      </c>
      <c r="H3377">
        <v>1978</v>
      </c>
      <c r="I3377">
        <v>2004</v>
      </c>
      <c r="J3377" s="1334" t="s">
        <v>475</v>
      </c>
      <c r="K3377" s="1335" t="s">
        <v>475</v>
      </c>
      <c r="L3377" s="180">
        <v>100</v>
      </c>
      <c r="M3377" t="s">
        <v>68</v>
      </c>
      <c r="N3377" t="str">
        <f t="shared" si="210"/>
        <v>Building 600 Library/Admin (0600)</v>
      </c>
      <c r="O3377" t="s">
        <v>56</v>
      </c>
      <c r="P3377" t="str">
        <f t="shared" si="211"/>
        <v>61000_0600</v>
      </c>
      <c r="Q3377" s="180">
        <v>0</v>
      </c>
    </row>
    <row r="3378" spans="1:17">
      <c r="A3378" t="str">
        <f t="shared" si="208"/>
        <v>AMSC_0700</v>
      </c>
      <c r="B3378" t="str">
        <f t="shared" si="209"/>
        <v>AMSC_Building 700 PE Complex</v>
      </c>
      <c r="C3378" t="s">
        <v>458</v>
      </c>
      <c r="D3378" s="180" t="s">
        <v>55</v>
      </c>
      <c r="E3378" t="s">
        <v>6397</v>
      </c>
      <c r="F3378" t="s">
        <v>7071</v>
      </c>
      <c r="G3378" s="180">
        <v>41426</v>
      </c>
      <c r="H3378">
        <v>1991</v>
      </c>
      <c r="J3378" s="1334" t="s">
        <v>475</v>
      </c>
      <c r="K3378" s="1335" t="s">
        <v>475</v>
      </c>
      <c r="L3378" s="180">
        <v>100</v>
      </c>
      <c r="M3378" t="s">
        <v>68</v>
      </c>
      <c r="N3378" t="str">
        <f t="shared" si="210"/>
        <v>Building 700 PE Complex (0700)</v>
      </c>
      <c r="O3378" t="s">
        <v>56</v>
      </c>
      <c r="P3378" t="str">
        <f t="shared" si="211"/>
        <v>61000_0700</v>
      </c>
      <c r="Q3378" s="180">
        <v>0</v>
      </c>
    </row>
    <row r="3379" spans="1:17">
      <c r="A3379" t="str">
        <f t="shared" si="208"/>
        <v>AMSC_0800</v>
      </c>
      <c r="B3379" t="str">
        <f t="shared" si="209"/>
        <v>AMSC_STUDENT CENTER</v>
      </c>
      <c r="C3379" t="s">
        <v>458</v>
      </c>
      <c r="D3379" s="180" t="s">
        <v>55</v>
      </c>
      <c r="E3379" t="s">
        <v>6400</v>
      </c>
      <c r="F3379" t="s">
        <v>6401</v>
      </c>
      <c r="G3379" s="180">
        <v>30153</v>
      </c>
      <c r="H3379">
        <v>1999</v>
      </c>
      <c r="J3379" s="1334" t="s">
        <v>520</v>
      </c>
      <c r="K3379" s="1335" t="s">
        <v>475</v>
      </c>
      <c r="L3379" s="180">
        <v>88</v>
      </c>
      <c r="M3379" t="s">
        <v>68</v>
      </c>
      <c r="N3379" t="str">
        <f t="shared" si="210"/>
        <v>STUDENT CENTER (0800)</v>
      </c>
      <c r="O3379" t="s">
        <v>56</v>
      </c>
      <c r="P3379" t="str">
        <f t="shared" si="211"/>
        <v>61000_0800</v>
      </c>
      <c r="Q3379" s="180">
        <v>0</v>
      </c>
    </row>
    <row r="3380" spans="1:17">
      <c r="A3380" t="str">
        <f t="shared" si="208"/>
        <v>AMSC_0900</v>
      </c>
      <c r="B3380" t="str">
        <f t="shared" si="209"/>
        <v>AMSC_Building 900 McMillan Science</v>
      </c>
      <c r="C3380" t="s">
        <v>458</v>
      </c>
      <c r="D3380" s="180" t="s">
        <v>55</v>
      </c>
      <c r="E3380" t="s">
        <v>4687</v>
      </c>
      <c r="F3380" t="s">
        <v>7072</v>
      </c>
      <c r="G3380" s="180">
        <v>55767</v>
      </c>
      <c r="H3380">
        <v>2012</v>
      </c>
      <c r="J3380" s="1334" t="s">
        <v>475</v>
      </c>
      <c r="K3380" s="1335" t="s">
        <v>475</v>
      </c>
      <c r="L3380" s="180">
        <v>100</v>
      </c>
      <c r="M3380" t="s">
        <v>68</v>
      </c>
      <c r="N3380" t="str">
        <f t="shared" si="210"/>
        <v>Building 900 McMillan Science (0900)</v>
      </c>
      <c r="O3380" t="s">
        <v>56</v>
      </c>
      <c r="P3380" t="str">
        <f t="shared" si="211"/>
        <v>61000_0900</v>
      </c>
      <c r="Q3380" s="180">
        <v>0</v>
      </c>
    </row>
    <row r="3381" spans="1:17">
      <c r="A3381" t="str">
        <f t="shared" si="208"/>
        <v>AMSC_650</v>
      </c>
      <c r="B3381" t="str">
        <f t="shared" si="209"/>
        <v>AMSC_Student Serv. &amp; Success Center</v>
      </c>
      <c r="C3381" t="s">
        <v>458</v>
      </c>
      <c r="D3381" s="180" t="s">
        <v>55</v>
      </c>
      <c r="E3381" t="s">
        <v>6399</v>
      </c>
      <c r="F3381" t="s">
        <v>7073</v>
      </c>
      <c r="G3381" s="180">
        <v>22586</v>
      </c>
      <c r="H3381">
        <v>2017</v>
      </c>
      <c r="J3381" s="1334" t="s">
        <v>520</v>
      </c>
      <c r="K3381" s="1335" t="s">
        <v>475</v>
      </c>
      <c r="L3381" s="180">
        <v>100</v>
      </c>
      <c r="M3381" t="s">
        <v>68</v>
      </c>
      <c r="N3381" t="str">
        <f t="shared" si="210"/>
        <v>Student Serv. &amp; Success Center (650)</v>
      </c>
      <c r="O3381" t="s">
        <v>56</v>
      </c>
      <c r="P3381" t="str">
        <f t="shared" si="211"/>
        <v>61000_650</v>
      </c>
      <c r="Q3381" s="180">
        <v>0</v>
      </c>
    </row>
    <row r="3382" spans="1:17">
      <c r="A3382" t="str">
        <f t="shared" si="208"/>
        <v>AMSC_800A</v>
      </c>
      <c r="B3382" t="str">
        <f t="shared" si="209"/>
        <v>AMSC_Student Center</v>
      </c>
      <c r="C3382" t="s">
        <v>458</v>
      </c>
      <c r="D3382" s="180" t="s">
        <v>55</v>
      </c>
      <c r="E3382" t="s">
        <v>6403</v>
      </c>
      <c r="F3382" t="s">
        <v>4471</v>
      </c>
      <c r="G3382" s="180">
        <v>35380</v>
      </c>
      <c r="H3382">
        <v>2011</v>
      </c>
      <c r="J3382" s="1334" t="s">
        <v>486</v>
      </c>
      <c r="K3382" s="1335" t="s">
        <v>475</v>
      </c>
      <c r="L3382" s="180">
        <v>100</v>
      </c>
      <c r="M3382" t="s">
        <v>68</v>
      </c>
      <c r="N3382" t="str">
        <f t="shared" si="210"/>
        <v>Student Center (800A)</v>
      </c>
      <c r="O3382" t="s">
        <v>56</v>
      </c>
      <c r="P3382" t="str">
        <f t="shared" si="211"/>
        <v>61000_800A</v>
      </c>
      <c r="Q3382" s="180">
        <v>0</v>
      </c>
    </row>
    <row r="3383" spans="1:17">
      <c r="A3383" t="str">
        <f t="shared" si="208"/>
        <v>CCGA_0313</v>
      </c>
      <c r="B3383" t="str">
        <f t="shared" si="209"/>
        <v>CCGA_Camden Center at the Lakes</v>
      </c>
      <c r="C3383" t="s">
        <v>459</v>
      </c>
      <c r="D3383" s="180" t="s">
        <v>435</v>
      </c>
      <c r="E3383" t="s">
        <v>5402</v>
      </c>
      <c r="F3383" t="s">
        <v>6423</v>
      </c>
      <c r="G3383" s="180">
        <v>101793</v>
      </c>
      <c r="H3383">
        <v>2001</v>
      </c>
      <c r="J3383" s="1334" t="s">
        <v>520</v>
      </c>
      <c r="K3383" s="1335" t="s">
        <v>475</v>
      </c>
      <c r="L3383" s="180">
        <v>99</v>
      </c>
      <c r="M3383" t="s">
        <v>7828</v>
      </c>
      <c r="N3383" t="str">
        <f t="shared" si="210"/>
        <v>Camden Center at the Lakes (0313)</v>
      </c>
      <c r="O3383" t="s">
        <v>57</v>
      </c>
      <c r="P3383" t="str">
        <f t="shared" si="211"/>
        <v>63000_0313</v>
      </c>
      <c r="Q3383" s="180">
        <v>0</v>
      </c>
    </row>
    <row r="3384" spans="1:17">
      <c r="A3384" t="str">
        <f t="shared" si="208"/>
        <v>CCGA_0714</v>
      </c>
      <c r="B3384" t="str">
        <f t="shared" si="209"/>
        <v>CCGA_Warehouse (0714)</v>
      </c>
      <c r="C3384" t="s">
        <v>459</v>
      </c>
      <c r="D3384" s="180" t="s">
        <v>435</v>
      </c>
      <c r="E3384" t="s">
        <v>6427</v>
      </c>
      <c r="F3384" t="s">
        <v>6428</v>
      </c>
      <c r="G3384" s="180">
        <v>10199</v>
      </c>
      <c r="H3384">
        <v>2007</v>
      </c>
      <c r="J3384" s="1334" t="s">
        <v>520</v>
      </c>
      <c r="K3384" s="1335" t="s">
        <v>920</v>
      </c>
      <c r="L3384" s="180">
        <v>100</v>
      </c>
      <c r="M3384" t="s">
        <v>7829</v>
      </c>
      <c r="N3384" t="str">
        <f t="shared" si="210"/>
        <v>Warehouse (0714) (0714)</v>
      </c>
      <c r="O3384" t="s">
        <v>57</v>
      </c>
      <c r="P3384" t="str">
        <f t="shared" si="211"/>
        <v>63000_0714</v>
      </c>
      <c r="Q3384" s="180">
        <v>0</v>
      </c>
    </row>
    <row r="3385" spans="1:17">
      <c r="A3385" t="str">
        <f t="shared" si="208"/>
        <v>CCGA_1115</v>
      </c>
      <c r="B3385" t="str">
        <f t="shared" si="209"/>
        <v>CCGA_Health Sciences Building</v>
      </c>
      <c r="C3385" t="s">
        <v>459</v>
      </c>
      <c r="D3385" s="180" t="s">
        <v>435</v>
      </c>
      <c r="E3385" t="s">
        <v>6417</v>
      </c>
      <c r="F3385" t="s">
        <v>6418</v>
      </c>
      <c r="G3385" s="180">
        <v>45557</v>
      </c>
      <c r="H3385">
        <v>2010</v>
      </c>
      <c r="J3385" s="1334" t="s">
        <v>520</v>
      </c>
      <c r="K3385" s="1335" t="s">
        <v>475</v>
      </c>
      <c r="L3385" s="180">
        <v>100</v>
      </c>
      <c r="M3385" t="s">
        <v>7829</v>
      </c>
      <c r="N3385" t="str">
        <f t="shared" si="210"/>
        <v>Health Sciences Building (1115)</v>
      </c>
      <c r="O3385" t="s">
        <v>57</v>
      </c>
      <c r="P3385" t="str">
        <f t="shared" si="211"/>
        <v>63000_1115</v>
      </c>
      <c r="Q3385" s="180">
        <v>0</v>
      </c>
    </row>
    <row r="3386" spans="1:17">
      <c r="A3386" t="str">
        <f t="shared" si="208"/>
        <v>CCGA_1117</v>
      </c>
      <c r="B3386" t="str">
        <f t="shared" si="209"/>
        <v>CCGA_Campus Center</v>
      </c>
      <c r="C3386" t="s">
        <v>459</v>
      </c>
      <c r="D3386" s="180" t="s">
        <v>435</v>
      </c>
      <c r="E3386" t="s">
        <v>6410</v>
      </c>
      <c r="F3386" t="s">
        <v>6411</v>
      </c>
      <c r="G3386" s="180">
        <v>47698</v>
      </c>
      <c r="H3386">
        <v>2011</v>
      </c>
      <c r="J3386" s="1334" t="s">
        <v>1520</v>
      </c>
      <c r="K3386" s="1335" t="s">
        <v>475</v>
      </c>
      <c r="L3386" s="180">
        <v>67</v>
      </c>
      <c r="M3386" t="s">
        <v>7829</v>
      </c>
      <c r="N3386" t="str">
        <f t="shared" si="210"/>
        <v>Campus Center (1117)</v>
      </c>
      <c r="O3386" t="s">
        <v>57</v>
      </c>
      <c r="P3386" t="str">
        <f t="shared" si="211"/>
        <v>63000_1117</v>
      </c>
      <c r="Q3386" s="180">
        <v>0</v>
      </c>
    </row>
    <row r="3387" spans="1:17">
      <c r="A3387" t="str">
        <f t="shared" si="208"/>
        <v>CCGA_1218</v>
      </c>
      <c r="B3387" t="str">
        <f t="shared" si="209"/>
        <v>CCGA_Correll Center</v>
      </c>
      <c r="C3387" t="s">
        <v>459</v>
      </c>
      <c r="D3387" s="180" t="s">
        <v>435</v>
      </c>
      <c r="E3387" t="s">
        <v>6419</v>
      </c>
      <c r="F3387" t="s">
        <v>6420</v>
      </c>
      <c r="G3387" s="180">
        <v>31885</v>
      </c>
      <c r="H3387">
        <v>2012</v>
      </c>
      <c r="J3387" s="1334" t="s">
        <v>520</v>
      </c>
      <c r="K3387" s="1335" t="s">
        <v>475</v>
      </c>
      <c r="L3387" s="180">
        <v>100</v>
      </c>
      <c r="M3387" t="s">
        <v>7829</v>
      </c>
      <c r="N3387" t="str">
        <f t="shared" si="210"/>
        <v>Correll Center (1218)</v>
      </c>
      <c r="O3387" t="s">
        <v>57</v>
      </c>
      <c r="P3387" t="str">
        <f t="shared" si="211"/>
        <v>63000_1218</v>
      </c>
      <c r="Q3387" s="180">
        <v>0</v>
      </c>
    </row>
    <row r="3388" spans="1:17">
      <c r="A3388" t="str">
        <f t="shared" si="208"/>
        <v>CCGA_6401</v>
      </c>
      <c r="B3388" t="str">
        <f t="shared" si="209"/>
        <v>CCGA_Administration Building</v>
      </c>
      <c r="C3388" t="s">
        <v>459</v>
      </c>
      <c r="D3388" s="180" t="s">
        <v>435</v>
      </c>
      <c r="E3388" t="s">
        <v>6415</v>
      </c>
      <c r="F3388" t="s">
        <v>6416</v>
      </c>
      <c r="G3388" s="180">
        <v>12804</v>
      </c>
      <c r="H3388">
        <v>1964</v>
      </c>
      <c r="I3388">
        <v>2011</v>
      </c>
      <c r="J3388" s="1334" t="s">
        <v>475</v>
      </c>
      <c r="K3388" s="1335" t="s">
        <v>475</v>
      </c>
      <c r="L3388" s="180">
        <v>100</v>
      </c>
      <c r="M3388" t="s">
        <v>7829</v>
      </c>
      <c r="N3388" t="str">
        <f t="shared" si="210"/>
        <v>Administration Building (6401)</v>
      </c>
      <c r="O3388" t="s">
        <v>57</v>
      </c>
      <c r="P3388" t="str">
        <f t="shared" si="211"/>
        <v>63000_6401</v>
      </c>
      <c r="Q3388" s="180">
        <v>0</v>
      </c>
    </row>
    <row r="3389" spans="1:17">
      <c r="A3389" t="str">
        <f t="shared" si="208"/>
        <v>CCGA_6402</v>
      </c>
      <c r="B3389" t="str">
        <f t="shared" si="209"/>
        <v>CCGA_Machanical Building</v>
      </c>
      <c r="C3389" t="s">
        <v>459</v>
      </c>
      <c r="D3389" s="180" t="s">
        <v>435</v>
      </c>
      <c r="E3389" t="s">
        <v>6406</v>
      </c>
      <c r="F3389" t="s">
        <v>6407</v>
      </c>
      <c r="G3389" s="180">
        <v>4453</v>
      </c>
      <c r="H3389">
        <v>1964</v>
      </c>
      <c r="I3389">
        <v>1972</v>
      </c>
      <c r="J3389" s="1334" t="s">
        <v>475</v>
      </c>
      <c r="K3389" s="1335" t="s">
        <v>475</v>
      </c>
      <c r="L3389" s="180">
        <v>100</v>
      </c>
      <c r="M3389" t="s">
        <v>7829</v>
      </c>
      <c r="N3389" t="str">
        <f t="shared" si="210"/>
        <v>Machanical Building (6402)</v>
      </c>
      <c r="O3389" t="s">
        <v>57</v>
      </c>
      <c r="P3389" t="str">
        <f t="shared" si="211"/>
        <v>63000_6402</v>
      </c>
      <c r="Q3389" s="180">
        <v>0</v>
      </c>
    </row>
    <row r="3390" spans="1:17">
      <c r="A3390" t="str">
        <f t="shared" si="208"/>
        <v>CCGA_6403</v>
      </c>
      <c r="B3390" t="str">
        <f t="shared" si="209"/>
        <v>CCGA_Andrews Building</v>
      </c>
      <c r="C3390" t="s">
        <v>459</v>
      </c>
      <c r="D3390" s="180" t="s">
        <v>435</v>
      </c>
      <c r="E3390" t="s">
        <v>6429</v>
      </c>
      <c r="F3390" t="s">
        <v>6430</v>
      </c>
      <c r="G3390" s="180">
        <v>22573</v>
      </c>
      <c r="H3390">
        <v>1964</v>
      </c>
      <c r="I3390">
        <v>1971</v>
      </c>
      <c r="J3390" s="1334" t="s">
        <v>475</v>
      </c>
      <c r="K3390" s="1335" t="s">
        <v>481</v>
      </c>
      <c r="L3390" s="180">
        <v>97</v>
      </c>
      <c r="M3390" t="s">
        <v>7829</v>
      </c>
      <c r="N3390" t="str">
        <f t="shared" si="210"/>
        <v>Andrews Building (6403)</v>
      </c>
      <c r="O3390" t="s">
        <v>57</v>
      </c>
      <c r="P3390" t="str">
        <f t="shared" si="211"/>
        <v>63000_6403</v>
      </c>
      <c r="Q3390" s="180">
        <v>0</v>
      </c>
    </row>
    <row r="3391" spans="1:17">
      <c r="A3391" t="str">
        <f t="shared" si="208"/>
        <v>CCGA_6404</v>
      </c>
      <c r="B3391" t="str">
        <f t="shared" si="209"/>
        <v>CCGA_Academic Commons South</v>
      </c>
      <c r="C3391" t="s">
        <v>459</v>
      </c>
      <c r="D3391" s="180" t="s">
        <v>435</v>
      </c>
      <c r="E3391" t="s">
        <v>6421</v>
      </c>
      <c r="F3391" t="s">
        <v>6422</v>
      </c>
      <c r="G3391" s="180">
        <v>25593</v>
      </c>
      <c r="H3391">
        <v>1964</v>
      </c>
      <c r="I3391">
        <v>2014</v>
      </c>
      <c r="J3391" s="1334" t="s">
        <v>475</v>
      </c>
      <c r="K3391" s="1335" t="s">
        <v>475</v>
      </c>
      <c r="L3391" s="180">
        <v>100</v>
      </c>
      <c r="M3391" t="s">
        <v>7829</v>
      </c>
      <c r="N3391" t="str">
        <f t="shared" si="210"/>
        <v>Academic Commons South (6404)</v>
      </c>
      <c r="O3391" t="s">
        <v>57</v>
      </c>
      <c r="P3391" t="str">
        <f t="shared" si="211"/>
        <v>63000_6404</v>
      </c>
      <c r="Q3391" s="180">
        <v>0</v>
      </c>
    </row>
    <row r="3392" spans="1:17">
      <c r="A3392" t="str">
        <f t="shared" si="208"/>
        <v>CCGA_6805</v>
      </c>
      <c r="B3392" t="str">
        <f t="shared" si="209"/>
        <v>CCGA_Coffin Building</v>
      </c>
      <c r="C3392" t="s">
        <v>459</v>
      </c>
      <c r="D3392" s="180" t="s">
        <v>435</v>
      </c>
      <c r="E3392" t="s">
        <v>6433</v>
      </c>
      <c r="F3392" t="s">
        <v>6434</v>
      </c>
      <c r="G3392" s="180">
        <v>45155</v>
      </c>
      <c r="H3392">
        <v>1968</v>
      </c>
      <c r="I3392">
        <v>2008</v>
      </c>
      <c r="J3392" s="1334" t="s">
        <v>475</v>
      </c>
      <c r="K3392" s="1335" t="s">
        <v>475</v>
      </c>
      <c r="L3392" s="180">
        <v>88</v>
      </c>
      <c r="M3392" t="s">
        <v>7829</v>
      </c>
      <c r="N3392" t="str">
        <f t="shared" si="210"/>
        <v>Coffin Building (6805)</v>
      </c>
      <c r="O3392" t="s">
        <v>57</v>
      </c>
      <c r="P3392" t="str">
        <f t="shared" si="211"/>
        <v>63000_6805</v>
      </c>
      <c r="Q3392" s="180">
        <v>100</v>
      </c>
    </row>
    <row r="3393" spans="1:17">
      <c r="A3393" t="str">
        <f t="shared" si="208"/>
        <v>CCGA_7206</v>
      </c>
      <c r="B3393" t="str">
        <f t="shared" si="209"/>
        <v>CCGA_Plant Operations</v>
      </c>
      <c r="C3393" t="s">
        <v>459</v>
      </c>
      <c r="D3393" s="180" t="s">
        <v>435</v>
      </c>
      <c r="E3393" t="s">
        <v>6426</v>
      </c>
      <c r="F3393" t="s">
        <v>4554</v>
      </c>
      <c r="G3393" s="180">
        <v>10541</v>
      </c>
      <c r="H3393">
        <v>1972</v>
      </c>
      <c r="J3393" s="1334" t="s">
        <v>475</v>
      </c>
      <c r="K3393" s="1335" t="s">
        <v>475</v>
      </c>
      <c r="L3393" s="180">
        <v>100</v>
      </c>
      <c r="M3393" t="s">
        <v>7829</v>
      </c>
      <c r="N3393" t="str">
        <f t="shared" si="210"/>
        <v>Plant Operations (7206)</v>
      </c>
      <c r="O3393" t="s">
        <v>57</v>
      </c>
      <c r="P3393" t="str">
        <f t="shared" si="211"/>
        <v>63000_7206</v>
      </c>
      <c r="Q3393" s="180">
        <v>100</v>
      </c>
    </row>
    <row r="3394" spans="1:17">
      <c r="A3394" t="str">
        <f t="shared" si="208"/>
        <v>CCGA_7207</v>
      </c>
      <c r="B3394" t="str">
        <f t="shared" si="209"/>
        <v>CCGA_Gould Library</v>
      </c>
      <c r="C3394" t="s">
        <v>459</v>
      </c>
      <c r="D3394" s="180" t="s">
        <v>435</v>
      </c>
      <c r="E3394" t="s">
        <v>6431</v>
      </c>
      <c r="F3394" t="s">
        <v>6432</v>
      </c>
      <c r="G3394" s="180">
        <v>33933</v>
      </c>
      <c r="H3394">
        <v>1972</v>
      </c>
      <c r="I3394">
        <v>2020</v>
      </c>
      <c r="J3394" s="1334" t="s">
        <v>475</v>
      </c>
      <c r="K3394" s="1335" t="s">
        <v>475</v>
      </c>
      <c r="L3394" s="180">
        <v>100</v>
      </c>
      <c r="M3394" t="s">
        <v>7829</v>
      </c>
      <c r="N3394" t="str">
        <f t="shared" si="210"/>
        <v>Gould Library (7207)</v>
      </c>
      <c r="O3394" t="s">
        <v>57</v>
      </c>
      <c r="P3394" t="str">
        <f t="shared" si="211"/>
        <v>63000_7207</v>
      </c>
      <c r="Q3394" s="180">
        <v>0</v>
      </c>
    </row>
    <row r="3395" spans="1:17">
      <c r="A3395" t="str">
        <f t="shared" ref="A3395:A3458" si="212">_xlfn.CONCAT(D3395,"_",E3395)</f>
        <v>CCGA_7308</v>
      </c>
      <c r="B3395" t="str">
        <f t="shared" ref="B3395:B3458" si="213">_xlfn.CONCAT(D3395,"_",F3395)</f>
        <v>CCGA_Student Activity Center</v>
      </c>
      <c r="C3395" t="s">
        <v>459</v>
      </c>
      <c r="D3395" s="180" t="s">
        <v>435</v>
      </c>
      <c r="E3395" t="s">
        <v>6424</v>
      </c>
      <c r="F3395" t="s">
        <v>6425</v>
      </c>
      <c r="G3395" s="180">
        <v>25926</v>
      </c>
      <c r="H3395">
        <v>1975</v>
      </c>
      <c r="I3395">
        <v>2010</v>
      </c>
      <c r="J3395" s="1334" t="s">
        <v>475</v>
      </c>
      <c r="K3395" s="1335" t="s">
        <v>475</v>
      </c>
      <c r="L3395" s="180">
        <v>100</v>
      </c>
      <c r="M3395" t="s">
        <v>7829</v>
      </c>
      <c r="N3395" t="str">
        <f t="shared" ref="N3395:N3458" si="214">_xlfn.CONCAT(F3395," (",E3395,")")</f>
        <v>Student Activity Center (7308)</v>
      </c>
      <c r="O3395" t="s">
        <v>57</v>
      </c>
      <c r="P3395" t="str">
        <f t="shared" ref="P3395:P3458" si="215">_xlfn.CONCAT(C3395,"_",E3395)</f>
        <v>63000_7308</v>
      </c>
      <c r="Q3395" s="180">
        <v>0</v>
      </c>
    </row>
    <row r="3396" spans="1:17">
      <c r="A3396" t="str">
        <f t="shared" si="212"/>
        <v>CCGA_7409</v>
      </c>
      <c r="B3396" t="str">
        <f t="shared" si="213"/>
        <v>CCGA_Jones Building</v>
      </c>
      <c r="C3396" t="s">
        <v>459</v>
      </c>
      <c r="D3396" s="180" t="s">
        <v>435</v>
      </c>
      <c r="E3396" t="s">
        <v>6408</v>
      </c>
      <c r="F3396" t="s">
        <v>6409</v>
      </c>
      <c r="G3396" s="180">
        <v>32682</v>
      </c>
      <c r="H3396">
        <v>1976</v>
      </c>
      <c r="I3396">
        <v>2013</v>
      </c>
      <c r="J3396" s="1334" t="s">
        <v>475</v>
      </c>
      <c r="K3396" s="1335" t="s">
        <v>475</v>
      </c>
      <c r="L3396" s="180">
        <v>100</v>
      </c>
      <c r="M3396" t="s">
        <v>7829</v>
      </c>
      <c r="N3396" t="str">
        <f t="shared" si="214"/>
        <v>Jones Building (7409)</v>
      </c>
      <c r="O3396" t="s">
        <v>57</v>
      </c>
      <c r="P3396" t="str">
        <f t="shared" si="215"/>
        <v>63000_7409</v>
      </c>
      <c r="Q3396" s="180">
        <v>0</v>
      </c>
    </row>
    <row r="3397" spans="1:17">
      <c r="A3397" t="str">
        <f t="shared" si="212"/>
        <v>CCGA_8411</v>
      </c>
      <c r="B3397" t="str">
        <f t="shared" si="213"/>
        <v>CCGA_Academic Commons North</v>
      </c>
      <c r="C3397" t="s">
        <v>459</v>
      </c>
      <c r="D3397" s="180" t="s">
        <v>435</v>
      </c>
      <c r="E3397" t="s">
        <v>6412</v>
      </c>
      <c r="F3397" t="s">
        <v>6413</v>
      </c>
      <c r="G3397" s="180">
        <v>17479</v>
      </c>
      <c r="H3397">
        <v>1984</v>
      </c>
      <c r="I3397">
        <v>2012</v>
      </c>
      <c r="J3397" s="1334" t="s">
        <v>475</v>
      </c>
      <c r="K3397" s="1335" t="s">
        <v>475</v>
      </c>
      <c r="L3397" s="180">
        <v>100</v>
      </c>
      <c r="M3397" t="s">
        <v>7829</v>
      </c>
      <c r="N3397" t="str">
        <f t="shared" si="214"/>
        <v>Academic Commons North (8411)</v>
      </c>
      <c r="O3397" t="s">
        <v>57</v>
      </c>
      <c r="P3397" t="str">
        <f t="shared" si="215"/>
        <v>63000_8411</v>
      </c>
      <c r="Q3397" s="180">
        <v>0</v>
      </c>
    </row>
    <row r="3398" spans="1:17">
      <c r="A3398" t="str">
        <f t="shared" si="212"/>
        <v>CCGA_9112</v>
      </c>
      <c r="B3398" t="str">
        <f t="shared" si="213"/>
        <v>CCGA_SE GA Conference Center</v>
      </c>
      <c r="C3398" t="s">
        <v>459</v>
      </c>
      <c r="D3398" s="180" t="s">
        <v>435</v>
      </c>
      <c r="E3398" t="s">
        <v>6435</v>
      </c>
      <c r="F3398" t="s">
        <v>6436</v>
      </c>
      <c r="G3398" s="180">
        <v>15500</v>
      </c>
      <c r="H3398">
        <v>1991</v>
      </c>
      <c r="J3398" s="1334" t="s">
        <v>475</v>
      </c>
      <c r="K3398" s="1335" t="s">
        <v>475</v>
      </c>
      <c r="L3398" s="180">
        <v>100</v>
      </c>
      <c r="M3398" t="s">
        <v>7829</v>
      </c>
      <c r="N3398" t="str">
        <f t="shared" si="214"/>
        <v>SE GA Conference Center (9112)</v>
      </c>
      <c r="O3398" t="s">
        <v>57</v>
      </c>
      <c r="P3398" t="str">
        <f t="shared" si="215"/>
        <v>63000_9112</v>
      </c>
      <c r="Q3398" s="180">
        <v>0</v>
      </c>
    </row>
    <row r="3399" spans="1:17">
      <c r="A3399" t="str">
        <f t="shared" si="212"/>
        <v>DSC_0010</v>
      </c>
      <c r="B3399" t="str">
        <f t="shared" si="213"/>
        <v>DSC_SEQUOYA HALL</v>
      </c>
      <c r="C3399" t="s">
        <v>460</v>
      </c>
      <c r="D3399" s="180" t="s">
        <v>21</v>
      </c>
      <c r="E3399" t="s">
        <v>815</v>
      </c>
      <c r="F3399" t="s">
        <v>6446</v>
      </c>
      <c r="G3399" s="180">
        <v>48937</v>
      </c>
      <c r="H3399">
        <v>1967</v>
      </c>
      <c r="I3399">
        <v>2020</v>
      </c>
      <c r="J3399" s="1334" t="s">
        <v>520</v>
      </c>
      <c r="K3399" s="1335" t="s">
        <v>475</v>
      </c>
      <c r="L3399" s="180">
        <v>100</v>
      </c>
      <c r="M3399" t="s">
        <v>68</v>
      </c>
      <c r="N3399" t="str">
        <f t="shared" si="214"/>
        <v>SEQUOYA HALL (0010)</v>
      </c>
      <c r="O3399" t="s">
        <v>38</v>
      </c>
      <c r="P3399" t="str">
        <f t="shared" si="215"/>
        <v>69000_0010</v>
      </c>
      <c r="Q3399" s="180">
        <v>0</v>
      </c>
    </row>
    <row r="3400" spans="1:17">
      <c r="A3400" t="str">
        <f t="shared" si="212"/>
        <v>DSC_0020</v>
      </c>
      <c r="B3400" t="str">
        <f t="shared" si="213"/>
        <v>DSC_WESTCOTT HALL</v>
      </c>
      <c r="C3400" t="s">
        <v>460</v>
      </c>
      <c r="D3400" s="180" t="s">
        <v>21</v>
      </c>
      <c r="E3400" t="s">
        <v>529</v>
      </c>
      <c r="F3400" t="s">
        <v>6444</v>
      </c>
      <c r="G3400" s="180">
        <v>21133</v>
      </c>
      <c r="H3400">
        <v>1967</v>
      </c>
      <c r="I3400">
        <v>2011</v>
      </c>
      <c r="J3400" s="1334" t="s">
        <v>520</v>
      </c>
      <c r="K3400" s="1335" t="s">
        <v>475</v>
      </c>
      <c r="L3400" s="180">
        <v>100</v>
      </c>
      <c r="M3400" t="s">
        <v>68</v>
      </c>
      <c r="N3400" t="str">
        <f t="shared" si="214"/>
        <v>WESTCOTT HALL (0020)</v>
      </c>
      <c r="O3400" t="s">
        <v>38</v>
      </c>
      <c r="P3400" t="str">
        <f t="shared" si="215"/>
        <v>69000_0020</v>
      </c>
      <c r="Q3400" s="180">
        <v>0</v>
      </c>
    </row>
    <row r="3401" spans="1:17">
      <c r="A3401" t="str">
        <f t="shared" si="212"/>
        <v>DSC_0030</v>
      </c>
      <c r="B3401" t="str">
        <f t="shared" si="213"/>
        <v>DSC_POPE STUDENT CENTER</v>
      </c>
      <c r="C3401" t="s">
        <v>460</v>
      </c>
      <c r="D3401" s="180" t="s">
        <v>21</v>
      </c>
      <c r="E3401" t="s">
        <v>561</v>
      </c>
      <c r="F3401" t="s">
        <v>6440</v>
      </c>
      <c r="G3401" s="180">
        <v>43722</v>
      </c>
      <c r="H3401">
        <v>1967</v>
      </c>
      <c r="I3401">
        <v>2011</v>
      </c>
      <c r="J3401" s="1334" t="s">
        <v>520</v>
      </c>
      <c r="K3401" s="1335" t="s">
        <v>475</v>
      </c>
      <c r="L3401" s="180">
        <v>87</v>
      </c>
      <c r="M3401" t="s">
        <v>68</v>
      </c>
      <c r="N3401" t="str">
        <f t="shared" si="214"/>
        <v>POPE STUDENT CENTER (0030)</v>
      </c>
      <c r="O3401" t="s">
        <v>38</v>
      </c>
      <c r="P3401" t="str">
        <f t="shared" si="215"/>
        <v>69000_0030</v>
      </c>
      <c r="Q3401" s="180">
        <v>100</v>
      </c>
    </row>
    <row r="3402" spans="1:17">
      <c r="A3402" t="str">
        <f t="shared" si="212"/>
        <v>DSC_0040</v>
      </c>
      <c r="B3402" t="str">
        <f t="shared" si="213"/>
        <v>DSC_BANDY GYMNASIUM</v>
      </c>
      <c r="C3402" t="s">
        <v>460</v>
      </c>
      <c r="D3402" s="180" t="s">
        <v>21</v>
      </c>
      <c r="E3402" t="s">
        <v>724</v>
      </c>
      <c r="F3402" t="s">
        <v>6442</v>
      </c>
      <c r="G3402" s="180">
        <v>32511</v>
      </c>
      <c r="H3402">
        <v>1968</v>
      </c>
      <c r="I3402">
        <v>2022</v>
      </c>
      <c r="J3402" s="1334" t="s">
        <v>520</v>
      </c>
      <c r="K3402" s="1335" t="s">
        <v>475</v>
      </c>
      <c r="L3402" s="180">
        <v>90</v>
      </c>
      <c r="M3402" t="s">
        <v>68</v>
      </c>
      <c r="N3402" t="str">
        <f t="shared" si="214"/>
        <v>BANDY GYMNASIUM (0040)</v>
      </c>
      <c r="O3402" t="s">
        <v>38</v>
      </c>
      <c r="P3402" t="str">
        <f t="shared" si="215"/>
        <v>69000_0040</v>
      </c>
      <c r="Q3402" s="180">
        <v>0</v>
      </c>
    </row>
    <row r="3403" spans="1:17">
      <c r="A3403" t="str">
        <f t="shared" si="212"/>
        <v>DSC_0050</v>
      </c>
      <c r="B3403" t="str">
        <f t="shared" si="213"/>
        <v>DSC_MAINTENANCE BUILDING</v>
      </c>
      <c r="C3403" t="s">
        <v>460</v>
      </c>
      <c r="D3403" s="180" t="s">
        <v>21</v>
      </c>
      <c r="E3403" t="s">
        <v>906</v>
      </c>
      <c r="F3403" t="s">
        <v>6445</v>
      </c>
      <c r="G3403" s="180">
        <v>15005</v>
      </c>
      <c r="H3403">
        <v>1967</v>
      </c>
      <c r="I3403">
        <v>1975</v>
      </c>
      <c r="J3403" s="1334" t="s">
        <v>475</v>
      </c>
      <c r="K3403" s="1335" t="s">
        <v>475</v>
      </c>
      <c r="L3403" s="180">
        <v>100</v>
      </c>
      <c r="M3403" t="s">
        <v>68</v>
      </c>
      <c r="N3403" t="str">
        <f t="shared" si="214"/>
        <v>MAINTENANCE BUILDING (0050)</v>
      </c>
      <c r="O3403" t="s">
        <v>38</v>
      </c>
      <c r="P3403" t="str">
        <f t="shared" si="215"/>
        <v>69000_0050</v>
      </c>
      <c r="Q3403" s="180">
        <v>0</v>
      </c>
    </row>
    <row r="3404" spans="1:17">
      <c r="A3404" t="str">
        <f t="shared" si="212"/>
        <v>DSC_0060</v>
      </c>
      <c r="B3404" t="str">
        <f t="shared" si="213"/>
        <v>DSC_GIGNILLIAT HALL</v>
      </c>
      <c r="C3404" t="s">
        <v>460</v>
      </c>
      <c r="D3404" s="180" t="s">
        <v>21</v>
      </c>
      <c r="E3404" t="s">
        <v>1113</v>
      </c>
      <c r="F3404" t="s">
        <v>7810</v>
      </c>
      <c r="G3404" s="180">
        <v>50000</v>
      </c>
      <c r="H3404">
        <v>1968</v>
      </c>
      <c r="I3404">
        <v>2019</v>
      </c>
      <c r="J3404" s="1334" t="s">
        <v>520</v>
      </c>
      <c r="K3404" s="1335" t="s">
        <v>475</v>
      </c>
      <c r="L3404" s="180">
        <v>100</v>
      </c>
      <c r="M3404" t="s">
        <v>68</v>
      </c>
      <c r="N3404" t="str">
        <f t="shared" si="214"/>
        <v>GIGNILLIAT HALL (0060)</v>
      </c>
      <c r="O3404" t="s">
        <v>38</v>
      </c>
      <c r="P3404" t="str">
        <f t="shared" si="215"/>
        <v>69000_0060</v>
      </c>
      <c r="Q3404" s="180">
        <v>0</v>
      </c>
    </row>
    <row r="3405" spans="1:17">
      <c r="A3405" t="str">
        <f t="shared" si="212"/>
        <v>DSC_0070</v>
      </c>
      <c r="B3405" t="str">
        <f t="shared" si="213"/>
        <v>DSC_ROBERTS LIBRARY</v>
      </c>
      <c r="C3405" t="s">
        <v>460</v>
      </c>
      <c r="D3405" s="180" t="s">
        <v>21</v>
      </c>
      <c r="E3405" t="s">
        <v>4621</v>
      </c>
      <c r="F3405" t="s">
        <v>6443</v>
      </c>
      <c r="G3405" s="180">
        <v>52691</v>
      </c>
      <c r="H3405">
        <v>1971</v>
      </c>
      <c r="I3405">
        <v>2001</v>
      </c>
      <c r="J3405" s="1334" t="s">
        <v>475</v>
      </c>
      <c r="K3405" s="1335" t="s">
        <v>475</v>
      </c>
      <c r="L3405" s="180">
        <v>100</v>
      </c>
      <c r="M3405" t="s">
        <v>68</v>
      </c>
      <c r="N3405" t="str">
        <f t="shared" si="214"/>
        <v>ROBERTS LIBRARY (0070)</v>
      </c>
      <c r="O3405" t="s">
        <v>38</v>
      </c>
      <c r="P3405" t="str">
        <f t="shared" si="215"/>
        <v>69000_0070</v>
      </c>
      <c r="Q3405" s="180">
        <v>95</v>
      </c>
    </row>
    <row r="3406" spans="1:17">
      <c r="A3406" t="str">
        <f t="shared" si="212"/>
        <v>DSC_0080</v>
      </c>
      <c r="B3406" t="str">
        <f t="shared" si="213"/>
        <v>DSC_HEALTH PROFESSIONS BUILDING</v>
      </c>
      <c r="C3406" t="s">
        <v>460</v>
      </c>
      <c r="D3406" s="180" t="s">
        <v>21</v>
      </c>
      <c r="E3406" t="s">
        <v>1050</v>
      </c>
      <c r="F3406" t="s">
        <v>7811</v>
      </c>
      <c r="G3406" s="180">
        <v>62664</v>
      </c>
      <c r="H3406">
        <v>1978</v>
      </c>
      <c r="I3406">
        <v>2015</v>
      </c>
      <c r="J3406" s="1334" t="s">
        <v>520</v>
      </c>
      <c r="K3406" s="1335" t="s">
        <v>475</v>
      </c>
      <c r="L3406" s="180">
        <v>100</v>
      </c>
      <c r="M3406" t="s">
        <v>68</v>
      </c>
      <c r="N3406" t="str">
        <f t="shared" si="214"/>
        <v>HEALTH PROFESSIONS BUILDING (0080)</v>
      </c>
      <c r="O3406" t="s">
        <v>38</v>
      </c>
      <c r="P3406" t="str">
        <f t="shared" si="215"/>
        <v>69000_0080</v>
      </c>
      <c r="Q3406" s="180">
        <v>100</v>
      </c>
    </row>
    <row r="3407" spans="1:17">
      <c r="A3407" t="str">
        <f t="shared" si="212"/>
        <v>DSC_0090</v>
      </c>
      <c r="B3407" t="str">
        <f t="shared" si="213"/>
        <v>DSC_LORBERBAUM HALL</v>
      </c>
      <c r="C3407" t="s">
        <v>460</v>
      </c>
      <c r="D3407" s="180" t="s">
        <v>21</v>
      </c>
      <c r="E3407" t="s">
        <v>656</v>
      </c>
      <c r="F3407" t="s">
        <v>7812</v>
      </c>
      <c r="G3407" s="180">
        <v>41132</v>
      </c>
      <c r="H3407">
        <v>1997</v>
      </c>
      <c r="I3407">
        <v>2024</v>
      </c>
      <c r="J3407" s="1334" t="s">
        <v>520</v>
      </c>
      <c r="K3407" s="1335" t="s">
        <v>475</v>
      </c>
      <c r="L3407" s="180">
        <v>100</v>
      </c>
      <c r="M3407" t="s">
        <v>68</v>
      </c>
      <c r="N3407" t="str">
        <f t="shared" si="214"/>
        <v>LORBERBAUM HALL (0090)</v>
      </c>
      <c r="O3407" t="s">
        <v>38</v>
      </c>
      <c r="P3407" t="str">
        <f t="shared" si="215"/>
        <v>69000_0090</v>
      </c>
      <c r="Q3407" s="180">
        <v>100</v>
      </c>
    </row>
    <row r="3408" spans="1:17">
      <c r="A3408" t="str">
        <f t="shared" si="212"/>
        <v>DSC_0110</v>
      </c>
      <c r="B3408" t="str">
        <f t="shared" si="213"/>
        <v>DSC_MAINTENANCE WAREHOUSE</v>
      </c>
      <c r="C3408" t="s">
        <v>460</v>
      </c>
      <c r="D3408" s="180" t="s">
        <v>21</v>
      </c>
      <c r="E3408" t="s">
        <v>666</v>
      </c>
      <c r="F3408" t="s">
        <v>6439</v>
      </c>
      <c r="G3408" s="180">
        <v>2400</v>
      </c>
      <c r="H3408">
        <v>2000</v>
      </c>
      <c r="J3408" s="1334" t="s">
        <v>475</v>
      </c>
      <c r="K3408" s="1335" t="s">
        <v>475</v>
      </c>
      <c r="L3408" s="180">
        <v>100</v>
      </c>
      <c r="M3408" t="s">
        <v>68</v>
      </c>
      <c r="N3408" t="str">
        <f t="shared" si="214"/>
        <v>MAINTENANCE WAREHOUSE (0110)</v>
      </c>
      <c r="O3408" t="s">
        <v>38</v>
      </c>
      <c r="P3408" t="str">
        <f t="shared" si="215"/>
        <v>69000_0110</v>
      </c>
      <c r="Q3408" s="180">
        <v>100</v>
      </c>
    </row>
    <row r="3409" spans="1:17">
      <c r="A3409" t="str">
        <f t="shared" si="212"/>
        <v>DSC_0120</v>
      </c>
      <c r="B3409" t="str">
        <f t="shared" si="213"/>
        <v>DSC_BROWN HALL</v>
      </c>
      <c r="C3409" t="s">
        <v>460</v>
      </c>
      <c r="D3409" s="180" t="s">
        <v>21</v>
      </c>
      <c r="E3409" t="s">
        <v>1812</v>
      </c>
      <c r="F3409" t="s">
        <v>7813</v>
      </c>
      <c r="G3409" s="180">
        <v>28000</v>
      </c>
      <c r="H3409">
        <v>2005</v>
      </c>
      <c r="J3409" s="1334" t="s">
        <v>520</v>
      </c>
      <c r="K3409" s="1335" t="s">
        <v>475</v>
      </c>
      <c r="L3409" s="180">
        <v>100</v>
      </c>
      <c r="M3409" t="s">
        <v>68</v>
      </c>
      <c r="N3409" t="str">
        <f t="shared" si="214"/>
        <v>BROWN HALL (0120)</v>
      </c>
      <c r="O3409" t="s">
        <v>38</v>
      </c>
      <c r="P3409" t="str">
        <f t="shared" si="215"/>
        <v>69000_0120</v>
      </c>
      <c r="Q3409" s="180">
        <v>100</v>
      </c>
    </row>
    <row r="3410" spans="1:17">
      <c r="A3410" t="str">
        <f t="shared" si="212"/>
        <v>DSC_0140</v>
      </c>
      <c r="B3410" t="str">
        <f t="shared" si="213"/>
        <v>DSC_PARKING DECK</v>
      </c>
      <c r="C3410" t="s">
        <v>460</v>
      </c>
      <c r="D3410" s="180" t="s">
        <v>21</v>
      </c>
      <c r="E3410" t="s">
        <v>700</v>
      </c>
      <c r="F3410" t="s">
        <v>6447</v>
      </c>
      <c r="G3410" s="180">
        <v>60000</v>
      </c>
      <c r="H3410">
        <v>2009</v>
      </c>
      <c r="J3410" s="1334" t="s">
        <v>1520</v>
      </c>
      <c r="K3410" s="1335" t="s">
        <v>475</v>
      </c>
      <c r="L3410" s="180">
        <v>0</v>
      </c>
      <c r="M3410" t="s">
        <v>68</v>
      </c>
      <c r="N3410" t="str">
        <f t="shared" si="214"/>
        <v>PARKING DECK (0140)</v>
      </c>
      <c r="O3410" t="s">
        <v>38</v>
      </c>
      <c r="P3410" t="str">
        <f t="shared" si="215"/>
        <v>69000_0140</v>
      </c>
      <c r="Q3410" s="180">
        <v>100</v>
      </c>
    </row>
    <row r="3411" spans="1:17">
      <c r="A3411" t="str">
        <f t="shared" si="212"/>
        <v>DSC_0150</v>
      </c>
      <c r="B3411" t="str">
        <f t="shared" si="213"/>
        <v>DSC_PEEPLES HALL</v>
      </c>
      <c r="C3411" t="s">
        <v>460</v>
      </c>
      <c r="D3411" s="180" t="s">
        <v>21</v>
      </c>
      <c r="E3411" t="s">
        <v>3961</v>
      </c>
      <c r="F3411" t="s">
        <v>6437</v>
      </c>
      <c r="G3411" s="180">
        <v>60000</v>
      </c>
      <c r="H3411">
        <v>2013</v>
      </c>
      <c r="J3411" s="1334" t="s">
        <v>520</v>
      </c>
      <c r="K3411" s="1335" t="s">
        <v>920</v>
      </c>
      <c r="L3411" s="180">
        <v>99</v>
      </c>
      <c r="M3411" t="s">
        <v>68</v>
      </c>
      <c r="N3411" t="str">
        <f t="shared" si="214"/>
        <v>PEEPLES HALL (0150)</v>
      </c>
      <c r="O3411" t="s">
        <v>38</v>
      </c>
      <c r="P3411" t="str">
        <f t="shared" si="215"/>
        <v>69000_0150</v>
      </c>
      <c r="Q3411" s="180">
        <v>0</v>
      </c>
    </row>
    <row r="3412" spans="1:17">
      <c r="A3412" t="str">
        <f t="shared" si="212"/>
        <v>EGA_0010</v>
      </c>
      <c r="B3412" t="str">
        <f t="shared" si="213"/>
        <v>EGA_GEORGE L. SMITH ADMIN BLDG</v>
      </c>
      <c r="C3412" t="s">
        <v>461</v>
      </c>
      <c r="D3412" s="180" t="s">
        <v>347</v>
      </c>
      <c r="E3412" t="s">
        <v>815</v>
      </c>
      <c r="F3412" t="s">
        <v>6452</v>
      </c>
      <c r="G3412" s="180">
        <v>7126</v>
      </c>
      <c r="H3412">
        <v>1974</v>
      </c>
      <c r="I3412">
        <v>2020</v>
      </c>
      <c r="J3412" s="1334" t="s">
        <v>475</v>
      </c>
      <c r="K3412" s="1335" t="s">
        <v>1520</v>
      </c>
      <c r="L3412" s="180">
        <v>100</v>
      </c>
      <c r="M3412" t="s">
        <v>7830</v>
      </c>
      <c r="N3412" t="str">
        <f t="shared" si="214"/>
        <v>GEORGE L. SMITH ADMIN BLDG (0010)</v>
      </c>
      <c r="O3412" t="s">
        <v>58</v>
      </c>
      <c r="P3412" t="str">
        <f t="shared" si="215"/>
        <v>72000_0010</v>
      </c>
      <c r="Q3412" s="180">
        <v>100</v>
      </c>
    </row>
    <row r="3413" spans="1:17">
      <c r="A3413" t="str">
        <f t="shared" si="212"/>
        <v>EGA_0020</v>
      </c>
      <c r="B3413" t="str">
        <f t="shared" si="213"/>
        <v>EGA_STUDENT SERVICES BLDG</v>
      </c>
      <c r="C3413" t="s">
        <v>461</v>
      </c>
      <c r="D3413" s="180" t="s">
        <v>347</v>
      </c>
      <c r="E3413" t="s">
        <v>529</v>
      </c>
      <c r="F3413" t="s">
        <v>6451</v>
      </c>
      <c r="G3413" s="180">
        <v>12168</v>
      </c>
      <c r="H3413">
        <v>1974</v>
      </c>
      <c r="I3413">
        <v>2006</v>
      </c>
      <c r="J3413" s="1334" t="s">
        <v>520</v>
      </c>
      <c r="K3413" s="1335" t="s">
        <v>475</v>
      </c>
      <c r="L3413" s="180">
        <v>100</v>
      </c>
      <c r="M3413" t="s">
        <v>7830</v>
      </c>
      <c r="N3413" t="str">
        <f t="shared" si="214"/>
        <v>STUDENT SERVICES BLDG (0020)</v>
      </c>
      <c r="O3413" t="s">
        <v>58</v>
      </c>
      <c r="P3413" t="str">
        <f t="shared" si="215"/>
        <v>72000_0020</v>
      </c>
      <c r="Q3413" s="180">
        <v>100</v>
      </c>
    </row>
    <row r="3414" spans="1:17">
      <c r="A3414" t="str">
        <f t="shared" si="212"/>
        <v>EGA_0025</v>
      </c>
      <c r="B3414" t="str">
        <f t="shared" si="213"/>
        <v>EGA_JAM STUDENT ACTIVITIES CTR</v>
      </c>
      <c r="C3414" t="s">
        <v>461</v>
      </c>
      <c r="D3414" s="180" t="s">
        <v>347</v>
      </c>
      <c r="E3414" t="s">
        <v>682</v>
      </c>
      <c r="F3414" t="s">
        <v>6459</v>
      </c>
      <c r="G3414" s="180">
        <v>22205</v>
      </c>
      <c r="H3414">
        <v>2006</v>
      </c>
      <c r="J3414" s="1334" t="s">
        <v>520</v>
      </c>
      <c r="K3414" s="1335" t="s">
        <v>475</v>
      </c>
      <c r="L3414" s="180">
        <v>61</v>
      </c>
      <c r="M3414" t="s">
        <v>7830</v>
      </c>
      <c r="N3414" t="str">
        <f t="shared" si="214"/>
        <v>JAM STUDENT ACTIVITIES CTR (0025)</v>
      </c>
      <c r="O3414" t="s">
        <v>58</v>
      </c>
      <c r="P3414" t="str">
        <f t="shared" si="215"/>
        <v>72000_0025</v>
      </c>
      <c r="Q3414" s="180">
        <v>75</v>
      </c>
    </row>
    <row r="3415" spans="1:17">
      <c r="A3415" t="str">
        <f t="shared" si="212"/>
        <v>EGA_0027</v>
      </c>
      <c r="B3415" t="str">
        <f t="shared" si="213"/>
        <v>EGA_JAM STUDENT ACTIVITIES CTR EXP</v>
      </c>
      <c r="C3415" t="s">
        <v>461</v>
      </c>
      <c r="D3415" s="180" t="s">
        <v>347</v>
      </c>
      <c r="E3415" t="s">
        <v>4571</v>
      </c>
      <c r="F3415" t="s">
        <v>6457</v>
      </c>
      <c r="G3415" s="180">
        <v>16250</v>
      </c>
      <c r="H3415">
        <v>2019</v>
      </c>
      <c r="J3415" s="1334" t="s">
        <v>520</v>
      </c>
      <c r="K3415" s="1335" t="s">
        <v>475</v>
      </c>
      <c r="L3415" s="180">
        <v>100</v>
      </c>
      <c r="M3415" t="s">
        <v>7830</v>
      </c>
      <c r="N3415" t="str">
        <f t="shared" si="214"/>
        <v>JAM STUDENT ACTIVITIES CTR EXP (0027)</v>
      </c>
      <c r="O3415" t="s">
        <v>58</v>
      </c>
      <c r="P3415" t="str">
        <f t="shared" si="215"/>
        <v>72000_0027</v>
      </c>
      <c r="Q3415" s="180">
        <v>0</v>
      </c>
    </row>
    <row r="3416" spans="1:17">
      <c r="A3416" t="str">
        <f t="shared" si="212"/>
        <v>EGA_0030</v>
      </c>
      <c r="B3416" t="str">
        <f t="shared" si="213"/>
        <v>EGA_ACADEMIC BUILDING</v>
      </c>
      <c r="C3416" t="s">
        <v>461</v>
      </c>
      <c r="D3416" s="180" t="s">
        <v>347</v>
      </c>
      <c r="E3416" t="s">
        <v>561</v>
      </c>
      <c r="F3416" t="s">
        <v>6456</v>
      </c>
      <c r="G3416" s="180">
        <v>44357</v>
      </c>
      <c r="H3416">
        <v>1974</v>
      </c>
      <c r="I3416">
        <v>2017</v>
      </c>
      <c r="J3416" s="1334" t="s">
        <v>475</v>
      </c>
      <c r="K3416" s="1335" t="s">
        <v>475</v>
      </c>
      <c r="L3416" s="180">
        <v>100</v>
      </c>
      <c r="M3416" t="s">
        <v>7830</v>
      </c>
      <c r="N3416" t="str">
        <f t="shared" si="214"/>
        <v>ACADEMIC BUILDING (0030)</v>
      </c>
      <c r="O3416" t="s">
        <v>58</v>
      </c>
      <c r="P3416" t="str">
        <f t="shared" si="215"/>
        <v>72000_0030</v>
      </c>
      <c r="Q3416" s="180">
        <v>0</v>
      </c>
    </row>
    <row r="3417" spans="1:17">
      <c r="A3417" t="str">
        <f t="shared" si="212"/>
        <v>EGA_0035</v>
      </c>
      <c r="B3417" t="str">
        <f t="shared" si="213"/>
        <v>EGA_ACADEMIC BUILDING ADDITION</v>
      </c>
      <c r="C3417" t="s">
        <v>461</v>
      </c>
      <c r="D3417" s="180" t="s">
        <v>347</v>
      </c>
      <c r="E3417" t="s">
        <v>830</v>
      </c>
      <c r="F3417" t="s">
        <v>6450</v>
      </c>
      <c r="G3417" s="180">
        <v>13848</v>
      </c>
      <c r="H3417">
        <v>2017</v>
      </c>
      <c r="J3417" s="1334" t="s">
        <v>520</v>
      </c>
      <c r="K3417" s="1335" t="s">
        <v>475</v>
      </c>
      <c r="L3417" s="180">
        <v>100</v>
      </c>
      <c r="M3417" t="s">
        <v>7830</v>
      </c>
      <c r="N3417" t="str">
        <f t="shared" si="214"/>
        <v>ACADEMIC BUILDING ADDITION (0035)</v>
      </c>
      <c r="O3417" t="s">
        <v>58</v>
      </c>
      <c r="P3417" t="str">
        <f t="shared" si="215"/>
        <v>72000_0035</v>
      </c>
      <c r="Q3417" s="180">
        <v>0</v>
      </c>
    </row>
    <row r="3418" spans="1:17">
      <c r="A3418" t="str">
        <f t="shared" si="212"/>
        <v>EGA_0040</v>
      </c>
      <c r="B3418" t="str">
        <f t="shared" si="213"/>
        <v>EGA_PHYSICAL EDUCATION</v>
      </c>
      <c r="C3418" t="s">
        <v>461</v>
      </c>
      <c r="D3418" s="180" t="s">
        <v>347</v>
      </c>
      <c r="E3418" t="s">
        <v>724</v>
      </c>
      <c r="F3418" t="s">
        <v>6398</v>
      </c>
      <c r="G3418" s="180">
        <v>8979</v>
      </c>
      <c r="H3418">
        <v>1974</v>
      </c>
      <c r="J3418" s="1334" t="s">
        <v>475</v>
      </c>
      <c r="K3418" s="1335" t="s">
        <v>475</v>
      </c>
      <c r="L3418" s="180">
        <v>100</v>
      </c>
      <c r="M3418" t="s">
        <v>7830</v>
      </c>
      <c r="N3418" t="str">
        <f t="shared" si="214"/>
        <v>PHYSICAL EDUCATION (0040)</v>
      </c>
      <c r="O3418" t="s">
        <v>58</v>
      </c>
      <c r="P3418" t="str">
        <f t="shared" si="215"/>
        <v>72000_0040</v>
      </c>
      <c r="Q3418" s="180">
        <v>0</v>
      </c>
    </row>
    <row r="3419" spans="1:17">
      <c r="A3419" t="str">
        <f t="shared" si="212"/>
        <v>EGA_0045</v>
      </c>
      <c r="B3419" t="str">
        <f t="shared" si="213"/>
        <v>EGA_CLASSROOM ADD.&amp; ACTIVTY CTR</v>
      </c>
      <c r="C3419" t="s">
        <v>461</v>
      </c>
      <c r="D3419" s="180" t="s">
        <v>347</v>
      </c>
      <c r="E3419" t="s">
        <v>594</v>
      </c>
      <c r="F3419" t="s">
        <v>6458</v>
      </c>
      <c r="G3419" s="180">
        <v>34126</v>
      </c>
      <c r="H3419">
        <v>2001</v>
      </c>
      <c r="J3419" s="1334" t="s">
        <v>520</v>
      </c>
      <c r="K3419" s="1335" t="s">
        <v>475</v>
      </c>
      <c r="L3419" s="180">
        <v>100</v>
      </c>
      <c r="M3419" t="s">
        <v>7830</v>
      </c>
      <c r="N3419" t="str">
        <f t="shared" si="214"/>
        <v>CLASSROOM ADD.&amp; ACTIVTY CTR (0045)</v>
      </c>
      <c r="O3419" t="s">
        <v>58</v>
      </c>
      <c r="P3419" t="str">
        <f t="shared" si="215"/>
        <v>72000_0045</v>
      </c>
      <c r="Q3419" s="180">
        <v>0</v>
      </c>
    </row>
    <row r="3420" spans="1:17">
      <c r="A3420" t="str">
        <f t="shared" si="212"/>
        <v>EGA_0050</v>
      </c>
      <c r="B3420" t="str">
        <f t="shared" si="213"/>
        <v>EGA_MAINTENANCE PLANT</v>
      </c>
      <c r="C3420" t="s">
        <v>461</v>
      </c>
      <c r="D3420" s="180" t="s">
        <v>347</v>
      </c>
      <c r="E3420" t="s">
        <v>906</v>
      </c>
      <c r="F3420" t="s">
        <v>6453</v>
      </c>
      <c r="G3420" s="180">
        <v>5864</v>
      </c>
      <c r="H3420">
        <v>1974</v>
      </c>
      <c r="J3420" s="1334" t="s">
        <v>475</v>
      </c>
      <c r="K3420" s="1335" t="s">
        <v>475</v>
      </c>
      <c r="L3420" s="180">
        <v>100</v>
      </c>
      <c r="M3420" t="s">
        <v>7830</v>
      </c>
      <c r="N3420" t="str">
        <f t="shared" si="214"/>
        <v>MAINTENANCE PLANT (0050)</v>
      </c>
      <c r="O3420" t="s">
        <v>58</v>
      </c>
      <c r="P3420" t="str">
        <f t="shared" si="215"/>
        <v>72000_0050</v>
      </c>
      <c r="Q3420" s="180">
        <v>100</v>
      </c>
    </row>
    <row r="3421" spans="1:17">
      <c r="A3421" t="str">
        <f t="shared" si="212"/>
        <v>EGA_0060</v>
      </c>
      <c r="B3421" t="str">
        <f t="shared" si="213"/>
        <v>EGA_POLICE DEPARTMENT</v>
      </c>
      <c r="C3421" t="s">
        <v>461</v>
      </c>
      <c r="D3421" s="180" t="s">
        <v>347</v>
      </c>
      <c r="E3421" t="s">
        <v>1113</v>
      </c>
      <c r="F3421" t="s">
        <v>6455</v>
      </c>
      <c r="G3421" s="180">
        <v>1078</v>
      </c>
      <c r="H3421">
        <v>1955</v>
      </c>
      <c r="I3421">
        <v>2018</v>
      </c>
      <c r="J3421" s="1334" t="s">
        <v>475</v>
      </c>
      <c r="K3421" s="1335" t="s">
        <v>475</v>
      </c>
      <c r="L3421" s="180">
        <v>100</v>
      </c>
      <c r="M3421" t="s">
        <v>7830</v>
      </c>
      <c r="N3421" t="str">
        <f t="shared" si="214"/>
        <v>POLICE DEPARTMENT (0060)</v>
      </c>
      <c r="O3421" t="s">
        <v>58</v>
      </c>
      <c r="P3421" t="str">
        <f t="shared" si="215"/>
        <v>72000_0060</v>
      </c>
      <c r="Q3421" s="180">
        <v>1</v>
      </c>
    </row>
    <row r="3422" spans="1:17">
      <c r="A3422" t="str">
        <f t="shared" si="212"/>
        <v>EGA_0070</v>
      </c>
      <c r="B3422" t="str">
        <f t="shared" si="213"/>
        <v>EGA_FULFORD COM LRNG CTR</v>
      </c>
      <c r="C3422" t="s">
        <v>461</v>
      </c>
      <c r="D3422" s="180" t="s">
        <v>347</v>
      </c>
      <c r="E3422" t="s">
        <v>4621</v>
      </c>
      <c r="F3422" t="s">
        <v>6454</v>
      </c>
      <c r="G3422" s="180">
        <v>5860</v>
      </c>
      <c r="H3422">
        <v>2010</v>
      </c>
      <c r="J3422" s="1334" t="s">
        <v>475</v>
      </c>
      <c r="K3422" s="1335" t="s">
        <v>475</v>
      </c>
      <c r="L3422" s="180">
        <v>0</v>
      </c>
      <c r="M3422" t="s">
        <v>7830</v>
      </c>
      <c r="N3422" t="str">
        <f t="shared" si="214"/>
        <v>FULFORD COM LRNG CTR (0070)</v>
      </c>
      <c r="O3422" t="s">
        <v>58</v>
      </c>
      <c r="P3422" t="str">
        <f t="shared" si="215"/>
        <v>72000_0070</v>
      </c>
      <c r="Q3422" s="180">
        <v>0</v>
      </c>
    </row>
    <row r="3423" spans="1:17">
      <c r="A3423" t="str">
        <f t="shared" si="212"/>
        <v>EGA_0090</v>
      </c>
      <c r="B3423" t="str">
        <f t="shared" si="213"/>
        <v>EGA_LUCK FLANDERS GAMBRELL CENTER</v>
      </c>
      <c r="C3423" t="s">
        <v>461</v>
      </c>
      <c r="D3423" s="180" t="s">
        <v>347</v>
      </c>
      <c r="E3423" t="s">
        <v>656</v>
      </c>
      <c r="F3423" t="s">
        <v>6449</v>
      </c>
      <c r="G3423" s="180">
        <v>41489</v>
      </c>
      <c r="H3423">
        <v>1998</v>
      </c>
      <c r="J3423" s="1334" t="s">
        <v>520</v>
      </c>
      <c r="K3423" s="1335" t="s">
        <v>475</v>
      </c>
      <c r="L3423" s="180">
        <v>98</v>
      </c>
      <c r="M3423" t="s">
        <v>7830</v>
      </c>
      <c r="N3423" t="str">
        <f t="shared" si="214"/>
        <v>LUCK FLANDERS GAMBRELL CENTER (0090)</v>
      </c>
      <c r="O3423" t="s">
        <v>58</v>
      </c>
      <c r="P3423" t="str">
        <f t="shared" si="215"/>
        <v>72000_0090</v>
      </c>
      <c r="Q3423" s="180">
        <v>98</v>
      </c>
    </row>
    <row r="3424" spans="1:17">
      <c r="A3424" t="str">
        <f t="shared" si="212"/>
        <v>GHC_0001</v>
      </c>
      <c r="B3424" t="str">
        <f t="shared" si="213"/>
        <v>GHC_Administrative</v>
      </c>
      <c r="C3424" t="s">
        <v>462</v>
      </c>
      <c r="D3424" s="180" t="s">
        <v>27</v>
      </c>
      <c r="E3424" t="s">
        <v>4502</v>
      </c>
      <c r="F3424" t="s">
        <v>6464</v>
      </c>
      <c r="G3424" s="180">
        <v>18646</v>
      </c>
      <c r="H3424">
        <v>1970</v>
      </c>
      <c r="J3424" s="1334" t="s">
        <v>475</v>
      </c>
      <c r="K3424" s="1335" t="s">
        <v>475</v>
      </c>
      <c r="L3424" s="180">
        <v>100</v>
      </c>
      <c r="M3424" t="s">
        <v>7831</v>
      </c>
      <c r="N3424" t="str">
        <f t="shared" si="214"/>
        <v>Administrative (0001)</v>
      </c>
      <c r="O3424" t="s">
        <v>42</v>
      </c>
      <c r="P3424" t="str">
        <f t="shared" si="215"/>
        <v>73000_0001</v>
      </c>
      <c r="Q3424" s="180">
        <v>100</v>
      </c>
    </row>
    <row r="3425" spans="1:17">
      <c r="A3425" t="str">
        <f t="shared" si="212"/>
        <v>GHC_0002</v>
      </c>
      <c r="B3425" t="str">
        <f t="shared" si="213"/>
        <v>GHC_Walraven Building</v>
      </c>
      <c r="C3425" t="s">
        <v>462</v>
      </c>
      <c r="D3425" s="180" t="s">
        <v>27</v>
      </c>
      <c r="E3425" t="s">
        <v>769</v>
      </c>
      <c r="F3425" t="s">
        <v>6478</v>
      </c>
      <c r="G3425" s="180">
        <v>57438</v>
      </c>
      <c r="H3425">
        <v>1970</v>
      </c>
      <c r="I3425">
        <v>1975</v>
      </c>
      <c r="J3425" s="1334" t="s">
        <v>475</v>
      </c>
      <c r="K3425" s="1335" t="s">
        <v>475</v>
      </c>
      <c r="L3425" s="180">
        <v>100</v>
      </c>
      <c r="M3425" t="s">
        <v>7831</v>
      </c>
      <c r="N3425" t="str">
        <f t="shared" si="214"/>
        <v>Walraven Building (0002)</v>
      </c>
      <c r="O3425" t="s">
        <v>42</v>
      </c>
      <c r="P3425" t="str">
        <f t="shared" si="215"/>
        <v>73000_0002</v>
      </c>
      <c r="Q3425" s="180">
        <v>100</v>
      </c>
    </row>
    <row r="3426" spans="1:17">
      <c r="A3426" t="str">
        <f t="shared" si="212"/>
        <v>GHC_0003</v>
      </c>
      <c r="B3426" t="str">
        <f t="shared" si="213"/>
        <v>GHC_Library</v>
      </c>
      <c r="C3426" t="s">
        <v>462</v>
      </c>
      <c r="D3426" s="180" t="s">
        <v>27</v>
      </c>
      <c r="E3426" t="s">
        <v>524</v>
      </c>
      <c r="F3426" t="s">
        <v>4597</v>
      </c>
      <c r="G3426" s="180">
        <v>28509</v>
      </c>
      <c r="H3426">
        <v>1974</v>
      </c>
      <c r="J3426" s="1334" t="s">
        <v>475</v>
      </c>
      <c r="K3426" s="1335" t="s">
        <v>475</v>
      </c>
      <c r="L3426" s="180">
        <v>100</v>
      </c>
      <c r="M3426" t="s">
        <v>7831</v>
      </c>
      <c r="N3426" t="str">
        <f t="shared" si="214"/>
        <v>Library (0003)</v>
      </c>
      <c r="O3426" t="s">
        <v>42</v>
      </c>
      <c r="P3426" t="str">
        <f t="shared" si="215"/>
        <v>73000_0003</v>
      </c>
      <c r="Q3426" s="180">
        <v>99</v>
      </c>
    </row>
    <row r="3427" spans="1:17">
      <c r="A3427" t="str">
        <f t="shared" si="212"/>
        <v>GHC_0004</v>
      </c>
      <c r="B3427" t="str">
        <f t="shared" si="213"/>
        <v>GHC_Old P.E.</v>
      </c>
      <c r="C3427" t="s">
        <v>462</v>
      </c>
      <c r="D3427" s="180" t="s">
        <v>27</v>
      </c>
      <c r="E3427" t="s">
        <v>1059</v>
      </c>
      <c r="F3427" t="s">
        <v>6461</v>
      </c>
      <c r="G3427" s="180">
        <v>12200</v>
      </c>
      <c r="H3427">
        <v>1970</v>
      </c>
      <c r="J3427" s="1334" t="s">
        <v>475</v>
      </c>
      <c r="K3427" s="1335" t="s">
        <v>475</v>
      </c>
      <c r="L3427" s="180">
        <v>100</v>
      </c>
      <c r="M3427" t="s">
        <v>7831</v>
      </c>
      <c r="N3427" t="str">
        <f t="shared" si="214"/>
        <v>Old P.E. (0004)</v>
      </c>
      <c r="O3427" t="s">
        <v>42</v>
      </c>
      <c r="P3427" t="str">
        <f t="shared" si="215"/>
        <v>73000_0004</v>
      </c>
      <c r="Q3427" s="180">
        <v>100</v>
      </c>
    </row>
    <row r="3428" spans="1:17">
      <c r="A3428" t="str">
        <f t="shared" si="212"/>
        <v>GHC_0005</v>
      </c>
      <c r="B3428" t="str">
        <f t="shared" si="213"/>
        <v>GHC_Physical Plant-Mentenance</v>
      </c>
      <c r="C3428" t="s">
        <v>462</v>
      </c>
      <c r="D3428" s="180" t="s">
        <v>27</v>
      </c>
      <c r="E3428" t="s">
        <v>1139</v>
      </c>
      <c r="F3428" t="s">
        <v>6476</v>
      </c>
      <c r="G3428" s="180">
        <v>7713</v>
      </c>
      <c r="H3428">
        <v>1970</v>
      </c>
      <c r="I3428">
        <v>1993</v>
      </c>
      <c r="J3428" s="1334" t="s">
        <v>475</v>
      </c>
      <c r="K3428" s="1335" t="s">
        <v>475</v>
      </c>
      <c r="L3428" s="180">
        <v>100</v>
      </c>
      <c r="M3428" t="s">
        <v>7831</v>
      </c>
      <c r="N3428" t="str">
        <f t="shared" si="214"/>
        <v>Physical Plant-Mentenance (0005)</v>
      </c>
      <c r="O3428" t="s">
        <v>42</v>
      </c>
      <c r="P3428" t="str">
        <f t="shared" si="215"/>
        <v>73000_0005</v>
      </c>
      <c r="Q3428" s="180">
        <v>100</v>
      </c>
    </row>
    <row r="3429" spans="1:17">
      <c r="A3429" t="str">
        <f t="shared" si="212"/>
        <v>GHC_0006</v>
      </c>
      <c r="B3429" t="str">
        <f t="shared" si="213"/>
        <v>GHC_F-Wing Annex</v>
      </c>
      <c r="C3429" t="s">
        <v>462</v>
      </c>
      <c r="D3429" s="180" t="s">
        <v>27</v>
      </c>
      <c r="E3429" t="s">
        <v>855</v>
      </c>
      <c r="F3429" t="s">
        <v>6471</v>
      </c>
      <c r="G3429" s="180">
        <v>34619</v>
      </c>
      <c r="H3429">
        <v>1974</v>
      </c>
      <c r="I3429">
        <v>1998</v>
      </c>
      <c r="J3429" s="1334" t="s">
        <v>475</v>
      </c>
      <c r="K3429" s="1335" t="s">
        <v>475</v>
      </c>
      <c r="L3429" s="180">
        <v>85</v>
      </c>
      <c r="M3429" t="s">
        <v>7831</v>
      </c>
      <c r="N3429" t="str">
        <f t="shared" si="214"/>
        <v>F-Wing Annex (0006)</v>
      </c>
      <c r="O3429" t="s">
        <v>42</v>
      </c>
      <c r="P3429" t="str">
        <f t="shared" si="215"/>
        <v>73000_0006</v>
      </c>
      <c r="Q3429" s="180">
        <v>0</v>
      </c>
    </row>
    <row r="3430" spans="1:17">
      <c r="A3430" t="str">
        <f t="shared" si="212"/>
        <v>GHC_0007</v>
      </c>
      <c r="B3430" t="str">
        <f t="shared" si="213"/>
        <v>GHC_Auto Shop</v>
      </c>
      <c r="C3430" t="s">
        <v>462</v>
      </c>
      <c r="D3430" s="180" t="s">
        <v>27</v>
      </c>
      <c r="E3430" t="s">
        <v>872</v>
      </c>
      <c r="F3430" t="s">
        <v>6466</v>
      </c>
      <c r="G3430" s="180">
        <v>6215</v>
      </c>
      <c r="H3430">
        <v>1974</v>
      </c>
      <c r="J3430" s="1334" t="s">
        <v>475</v>
      </c>
      <c r="K3430" s="1335" t="s">
        <v>475</v>
      </c>
      <c r="L3430" s="180">
        <v>100</v>
      </c>
      <c r="M3430" t="s">
        <v>7831</v>
      </c>
      <c r="N3430" t="str">
        <f t="shared" si="214"/>
        <v>Auto Shop (0007)</v>
      </c>
      <c r="O3430" t="s">
        <v>42</v>
      </c>
      <c r="P3430" t="str">
        <f t="shared" si="215"/>
        <v>73000_0007</v>
      </c>
      <c r="Q3430" s="180">
        <v>99</v>
      </c>
    </row>
    <row r="3431" spans="1:17">
      <c r="A3431" t="str">
        <f t="shared" si="212"/>
        <v>GHC_0008</v>
      </c>
      <c r="B3431" t="str">
        <f t="shared" si="213"/>
        <v>GHC_Physical Education Building</v>
      </c>
      <c r="C3431" t="s">
        <v>462</v>
      </c>
      <c r="D3431" s="180" t="s">
        <v>27</v>
      </c>
      <c r="E3431" t="s">
        <v>904</v>
      </c>
      <c r="F3431" t="s">
        <v>6472</v>
      </c>
      <c r="G3431" s="180">
        <v>29511</v>
      </c>
      <c r="H3431">
        <v>1980</v>
      </c>
      <c r="J3431" s="1334" t="s">
        <v>475</v>
      </c>
      <c r="K3431" s="1335" t="s">
        <v>475</v>
      </c>
      <c r="L3431" s="180">
        <v>100</v>
      </c>
      <c r="M3431" t="s">
        <v>7831</v>
      </c>
      <c r="N3431" t="str">
        <f t="shared" si="214"/>
        <v>Physical Education Building (0008)</v>
      </c>
      <c r="O3431" t="s">
        <v>42</v>
      </c>
      <c r="P3431" t="str">
        <f t="shared" si="215"/>
        <v>73000_0008</v>
      </c>
      <c r="Q3431" s="180">
        <v>85</v>
      </c>
    </row>
    <row r="3432" spans="1:17">
      <c r="A3432" t="str">
        <f t="shared" si="212"/>
        <v>GHC_0011</v>
      </c>
      <c r="B3432" t="str">
        <f t="shared" si="213"/>
        <v>GHC_McCorkle Building</v>
      </c>
      <c r="C3432" t="s">
        <v>462</v>
      </c>
      <c r="D3432" s="180" t="s">
        <v>27</v>
      </c>
      <c r="E3432" t="s">
        <v>504</v>
      </c>
      <c r="F3432" t="s">
        <v>6475</v>
      </c>
      <c r="G3432" s="180">
        <v>12650</v>
      </c>
      <c r="H3432">
        <v>1991</v>
      </c>
      <c r="J3432" s="1334" t="s">
        <v>475</v>
      </c>
      <c r="K3432" s="1335" t="s">
        <v>475</v>
      </c>
      <c r="L3432" s="180">
        <v>100</v>
      </c>
      <c r="M3432" t="s">
        <v>7831</v>
      </c>
      <c r="N3432" t="str">
        <f t="shared" si="214"/>
        <v>McCorkle Building (0011)</v>
      </c>
      <c r="O3432" t="s">
        <v>42</v>
      </c>
      <c r="P3432" t="str">
        <f t="shared" si="215"/>
        <v>73000_0011</v>
      </c>
      <c r="Q3432" s="180">
        <v>0</v>
      </c>
    </row>
    <row r="3433" spans="1:17">
      <c r="A3433" t="str">
        <f t="shared" si="212"/>
        <v>GHC_0012</v>
      </c>
      <c r="B3433" t="str">
        <f t="shared" si="213"/>
        <v>GHC_Solarium</v>
      </c>
      <c r="C3433" t="s">
        <v>462</v>
      </c>
      <c r="D3433" s="180" t="s">
        <v>27</v>
      </c>
      <c r="E3433" t="s">
        <v>698</v>
      </c>
      <c r="F3433" t="s">
        <v>5760</v>
      </c>
      <c r="G3433" s="180">
        <v>2549</v>
      </c>
      <c r="H3433">
        <v>1994</v>
      </c>
      <c r="J3433" s="1334" t="s">
        <v>475</v>
      </c>
      <c r="K3433" s="1335" t="s">
        <v>475</v>
      </c>
      <c r="L3433" s="180">
        <v>100</v>
      </c>
      <c r="M3433" t="s">
        <v>7831</v>
      </c>
      <c r="N3433" t="str">
        <f t="shared" si="214"/>
        <v>Solarium (0012)</v>
      </c>
      <c r="O3433" t="s">
        <v>42</v>
      </c>
      <c r="P3433" t="str">
        <f t="shared" si="215"/>
        <v>73000_0012</v>
      </c>
      <c r="Q3433" s="180">
        <v>100</v>
      </c>
    </row>
    <row r="3434" spans="1:17">
      <c r="A3434" t="str">
        <f t="shared" si="212"/>
        <v>GHC_0014</v>
      </c>
      <c r="B3434" t="str">
        <f t="shared" si="213"/>
        <v>GHC_Heritage Hall</v>
      </c>
      <c r="C3434" t="s">
        <v>462</v>
      </c>
      <c r="D3434" s="180" t="s">
        <v>27</v>
      </c>
      <c r="E3434" t="s">
        <v>711</v>
      </c>
      <c r="F3434" t="s">
        <v>6470</v>
      </c>
      <c r="G3434" s="180">
        <v>53140</v>
      </c>
      <c r="H3434">
        <v>1939</v>
      </c>
      <c r="I3434">
        <v>1994</v>
      </c>
      <c r="J3434" s="1334" t="s">
        <v>475</v>
      </c>
      <c r="K3434" s="1335" t="s">
        <v>475</v>
      </c>
      <c r="L3434" s="180">
        <v>100</v>
      </c>
      <c r="M3434" t="s">
        <v>6470</v>
      </c>
      <c r="N3434" t="str">
        <f t="shared" si="214"/>
        <v>Heritage Hall (0014)</v>
      </c>
      <c r="O3434" t="s">
        <v>42</v>
      </c>
      <c r="P3434" t="str">
        <f t="shared" si="215"/>
        <v>73000_0014</v>
      </c>
      <c r="Q3434" s="180">
        <v>0</v>
      </c>
    </row>
    <row r="3435" spans="1:17">
      <c r="A3435" t="str">
        <f t="shared" si="212"/>
        <v>GHC_0016</v>
      </c>
      <c r="B3435" t="str">
        <f t="shared" si="213"/>
        <v>GHC_Heritage Hall Annex</v>
      </c>
      <c r="C3435" t="s">
        <v>462</v>
      </c>
      <c r="D3435" s="180" t="s">
        <v>27</v>
      </c>
      <c r="E3435" t="s">
        <v>506</v>
      </c>
      <c r="F3435" t="s">
        <v>6479</v>
      </c>
      <c r="G3435" s="180">
        <v>8490</v>
      </c>
      <c r="H3435">
        <v>1974</v>
      </c>
      <c r="I3435">
        <v>1994</v>
      </c>
      <c r="J3435" s="1334" t="s">
        <v>475</v>
      </c>
      <c r="K3435" s="1335" t="s">
        <v>475</v>
      </c>
      <c r="L3435" s="180">
        <v>100</v>
      </c>
      <c r="M3435" t="s">
        <v>6470</v>
      </c>
      <c r="N3435" t="str">
        <f t="shared" si="214"/>
        <v>Heritage Hall Annex (0016)</v>
      </c>
      <c r="O3435" t="s">
        <v>42</v>
      </c>
      <c r="P3435" t="str">
        <f t="shared" si="215"/>
        <v>73000_0016</v>
      </c>
      <c r="Q3435" s="180">
        <v>0</v>
      </c>
    </row>
    <row r="3436" spans="1:17">
      <c r="A3436" t="str">
        <f t="shared" si="212"/>
        <v>GHC_0017</v>
      </c>
      <c r="B3436" t="str">
        <f t="shared" si="213"/>
        <v>GHC_Greenhouse</v>
      </c>
      <c r="C3436" t="s">
        <v>462</v>
      </c>
      <c r="D3436" s="180" t="s">
        <v>27</v>
      </c>
      <c r="E3436" t="s">
        <v>680</v>
      </c>
      <c r="F3436" t="s">
        <v>1278</v>
      </c>
      <c r="G3436" s="180">
        <v>576</v>
      </c>
      <c r="H3436">
        <v>1973</v>
      </c>
      <c r="J3436" s="1334" t="s">
        <v>475</v>
      </c>
      <c r="K3436" s="1335" t="s">
        <v>475</v>
      </c>
      <c r="L3436" s="180">
        <v>100</v>
      </c>
      <c r="M3436" t="s">
        <v>7831</v>
      </c>
      <c r="N3436" t="str">
        <f t="shared" si="214"/>
        <v>Greenhouse (0017)</v>
      </c>
      <c r="O3436" t="s">
        <v>42</v>
      </c>
      <c r="P3436" t="str">
        <f t="shared" si="215"/>
        <v>73000_0017</v>
      </c>
      <c r="Q3436" s="180">
        <v>0</v>
      </c>
    </row>
    <row r="3437" spans="1:17">
      <c r="A3437" t="str">
        <f t="shared" si="212"/>
        <v>GHC_0021</v>
      </c>
      <c r="B3437" t="str">
        <f t="shared" si="213"/>
        <v>GHC_Cartersville Campus</v>
      </c>
      <c r="C3437" t="s">
        <v>462</v>
      </c>
      <c r="D3437" s="180" t="s">
        <v>27</v>
      </c>
      <c r="E3437" t="s">
        <v>930</v>
      </c>
      <c r="F3437" t="s">
        <v>6467</v>
      </c>
      <c r="G3437" s="180">
        <v>130797</v>
      </c>
      <c r="H3437">
        <v>2003</v>
      </c>
      <c r="J3437" s="1334" t="s">
        <v>520</v>
      </c>
      <c r="K3437" s="1335" t="s">
        <v>920</v>
      </c>
      <c r="L3437" s="180">
        <v>100</v>
      </c>
      <c r="M3437" t="s">
        <v>84</v>
      </c>
      <c r="N3437" t="str">
        <f t="shared" si="214"/>
        <v>Cartersville Campus (0021)</v>
      </c>
      <c r="O3437" t="s">
        <v>42</v>
      </c>
      <c r="P3437" t="str">
        <f t="shared" si="215"/>
        <v>73000_0021</v>
      </c>
      <c r="Q3437" s="180">
        <v>0</v>
      </c>
    </row>
    <row r="3438" spans="1:17">
      <c r="A3438" t="str">
        <f t="shared" si="212"/>
        <v>GHC_0022</v>
      </c>
      <c r="B3438" t="str">
        <f t="shared" si="213"/>
        <v>GHC_Cartersville Student Center</v>
      </c>
      <c r="C3438" t="s">
        <v>462</v>
      </c>
      <c r="D3438" s="180" t="s">
        <v>27</v>
      </c>
      <c r="E3438" t="s">
        <v>531</v>
      </c>
      <c r="F3438" t="s">
        <v>6468</v>
      </c>
      <c r="G3438" s="180">
        <v>56646</v>
      </c>
      <c r="H3438">
        <v>2012</v>
      </c>
      <c r="J3438" s="1334" t="s">
        <v>486</v>
      </c>
      <c r="K3438" s="1335" t="s">
        <v>920</v>
      </c>
      <c r="L3438" s="180">
        <v>0</v>
      </c>
      <c r="M3438" t="s">
        <v>84</v>
      </c>
      <c r="N3438" t="str">
        <f t="shared" si="214"/>
        <v>Cartersville Student Center (0022)</v>
      </c>
      <c r="O3438" t="s">
        <v>42</v>
      </c>
      <c r="P3438" t="str">
        <f t="shared" si="215"/>
        <v>73000_0022</v>
      </c>
      <c r="Q3438" s="180">
        <v>88</v>
      </c>
    </row>
    <row r="3439" spans="1:17">
      <c r="A3439" t="str">
        <f t="shared" si="212"/>
        <v>GHC_0023</v>
      </c>
      <c r="B3439" t="str">
        <f t="shared" si="213"/>
        <v>GHC_Cartersville Academic Building</v>
      </c>
      <c r="C3439" t="s">
        <v>462</v>
      </c>
      <c r="D3439" s="180" t="s">
        <v>27</v>
      </c>
      <c r="E3439" t="s">
        <v>4343</v>
      </c>
      <c r="F3439" t="s">
        <v>6473</v>
      </c>
      <c r="G3439" s="180">
        <v>74725</v>
      </c>
      <c r="H3439">
        <v>2018</v>
      </c>
      <c r="J3439" s="1334" t="s">
        <v>520</v>
      </c>
      <c r="K3439" s="1335" t="s">
        <v>920</v>
      </c>
      <c r="L3439" s="180">
        <v>100</v>
      </c>
      <c r="M3439" t="s">
        <v>84</v>
      </c>
      <c r="N3439" t="str">
        <f t="shared" si="214"/>
        <v>Cartersville Academic Building (0023)</v>
      </c>
      <c r="O3439" t="s">
        <v>42</v>
      </c>
      <c r="P3439" t="str">
        <f t="shared" si="215"/>
        <v>73000_0023</v>
      </c>
      <c r="Q3439" s="180">
        <v>100</v>
      </c>
    </row>
    <row r="3440" spans="1:17">
      <c r="A3440" t="str">
        <f t="shared" si="212"/>
        <v>GHC_0027</v>
      </c>
      <c r="B3440" t="str">
        <f t="shared" si="213"/>
        <v>GHC_Observatory</v>
      </c>
      <c r="C3440" t="s">
        <v>462</v>
      </c>
      <c r="D3440" s="180" t="s">
        <v>27</v>
      </c>
      <c r="E3440" t="s">
        <v>4571</v>
      </c>
      <c r="F3440" t="s">
        <v>6465</v>
      </c>
      <c r="G3440" s="180">
        <v>1733</v>
      </c>
      <c r="H3440">
        <v>1997</v>
      </c>
      <c r="J3440" s="1334" t="s">
        <v>475</v>
      </c>
      <c r="K3440" s="1335" t="s">
        <v>475</v>
      </c>
      <c r="L3440" s="180">
        <v>100</v>
      </c>
      <c r="M3440" t="s">
        <v>7831</v>
      </c>
      <c r="N3440" t="str">
        <f t="shared" si="214"/>
        <v>Observatory (0027)</v>
      </c>
      <c r="O3440" t="s">
        <v>42</v>
      </c>
      <c r="P3440" t="str">
        <f t="shared" si="215"/>
        <v>73000_0027</v>
      </c>
      <c r="Q3440" s="180">
        <v>100</v>
      </c>
    </row>
    <row r="3441" spans="1:17">
      <c r="A3441" t="str">
        <f t="shared" si="212"/>
        <v>GHC_0028</v>
      </c>
      <c r="B3441" t="str">
        <f t="shared" si="213"/>
        <v>GHC_Telescope Lab</v>
      </c>
      <c r="C3441" t="s">
        <v>462</v>
      </c>
      <c r="D3441" s="180" t="s">
        <v>27</v>
      </c>
      <c r="E3441" t="s">
        <v>5575</v>
      </c>
      <c r="F3441" t="s">
        <v>6462</v>
      </c>
      <c r="G3441" s="180">
        <v>448</v>
      </c>
      <c r="H3441">
        <v>1997</v>
      </c>
      <c r="J3441" s="1334" t="s">
        <v>475</v>
      </c>
      <c r="K3441" s="1335" t="s">
        <v>475</v>
      </c>
      <c r="L3441" s="180">
        <v>100</v>
      </c>
      <c r="M3441" t="s">
        <v>7831</v>
      </c>
      <c r="N3441" t="str">
        <f t="shared" si="214"/>
        <v>Telescope Lab (0028)</v>
      </c>
      <c r="O3441" t="s">
        <v>42</v>
      </c>
      <c r="P3441" t="str">
        <f t="shared" si="215"/>
        <v>73000_0028</v>
      </c>
      <c r="Q3441" s="180">
        <v>0</v>
      </c>
    </row>
    <row r="3442" spans="1:17">
      <c r="A3442" t="str">
        <f t="shared" si="212"/>
        <v>GHC_0033</v>
      </c>
      <c r="B3442" t="str">
        <f t="shared" si="213"/>
        <v>GHC_Lakeview Building</v>
      </c>
      <c r="C3442" t="s">
        <v>462</v>
      </c>
      <c r="D3442" s="180" t="s">
        <v>27</v>
      </c>
      <c r="E3442" t="s">
        <v>717</v>
      </c>
      <c r="F3442" t="s">
        <v>6469</v>
      </c>
      <c r="G3442" s="180">
        <v>27166</v>
      </c>
      <c r="H3442">
        <v>1997</v>
      </c>
      <c r="J3442" s="1334" t="s">
        <v>475</v>
      </c>
      <c r="K3442" s="1335" t="s">
        <v>901</v>
      </c>
      <c r="L3442" s="180">
        <v>100</v>
      </c>
      <c r="M3442" t="s">
        <v>7831</v>
      </c>
      <c r="N3442" t="str">
        <f t="shared" si="214"/>
        <v>Lakeview Building (0033)</v>
      </c>
      <c r="O3442" t="s">
        <v>42</v>
      </c>
      <c r="P3442" t="str">
        <f t="shared" si="215"/>
        <v>73000_0033</v>
      </c>
      <c r="Q3442" s="180">
        <v>0</v>
      </c>
    </row>
    <row r="3443" spans="1:17">
      <c r="A3443" t="str">
        <f t="shared" si="212"/>
        <v>GHC_0034</v>
      </c>
      <c r="B3443" t="str">
        <f t="shared" si="213"/>
        <v>GHC_RESA Building</v>
      </c>
      <c r="C3443" t="s">
        <v>462</v>
      </c>
      <c r="D3443" s="180" t="s">
        <v>27</v>
      </c>
      <c r="E3443" t="s">
        <v>5637</v>
      </c>
      <c r="F3443" t="s">
        <v>6463</v>
      </c>
      <c r="G3443" s="180">
        <v>12578</v>
      </c>
      <c r="H3443">
        <v>1993</v>
      </c>
      <c r="J3443" s="1334" t="s">
        <v>475</v>
      </c>
      <c r="K3443" s="1335" t="s">
        <v>475</v>
      </c>
      <c r="L3443" s="180">
        <v>100</v>
      </c>
      <c r="M3443" t="s">
        <v>7831</v>
      </c>
      <c r="N3443" t="str">
        <f t="shared" si="214"/>
        <v>RESA Building (0034)</v>
      </c>
      <c r="O3443" t="s">
        <v>42</v>
      </c>
      <c r="P3443" t="str">
        <f t="shared" si="215"/>
        <v>73000_0034</v>
      </c>
      <c r="Q3443" s="180">
        <v>0</v>
      </c>
    </row>
    <row r="3444" spans="1:17">
      <c r="A3444" t="str">
        <f t="shared" si="212"/>
        <v>GHC_0035</v>
      </c>
      <c r="B3444" t="str">
        <f t="shared" si="213"/>
        <v>GHC_Bagby (Paulding/Dallas)</v>
      </c>
      <c r="C3444" t="s">
        <v>462</v>
      </c>
      <c r="D3444" s="180" t="s">
        <v>27</v>
      </c>
      <c r="E3444" t="s">
        <v>830</v>
      </c>
      <c r="F3444" t="s">
        <v>6477</v>
      </c>
      <c r="G3444" s="180">
        <v>30800</v>
      </c>
      <c r="H3444">
        <v>1994</v>
      </c>
      <c r="I3444">
        <v>2009</v>
      </c>
      <c r="J3444" s="1334" t="s">
        <v>520</v>
      </c>
      <c r="K3444" s="1335" t="s">
        <v>475</v>
      </c>
      <c r="L3444" s="180">
        <v>100</v>
      </c>
      <c r="M3444" t="s">
        <v>7832</v>
      </c>
      <c r="N3444" t="str">
        <f t="shared" si="214"/>
        <v>Bagby (Paulding/Dallas) (0035)</v>
      </c>
      <c r="O3444" t="s">
        <v>42</v>
      </c>
      <c r="P3444" t="str">
        <f t="shared" si="215"/>
        <v>73000_0035</v>
      </c>
      <c r="Q3444" s="180">
        <v>100</v>
      </c>
    </row>
    <row r="3445" spans="1:17">
      <c r="A3445" t="str">
        <f t="shared" si="212"/>
        <v>GHC_0036</v>
      </c>
      <c r="B3445" t="str">
        <f t="shared" si="213"/>
        <v>GHC_Winn (Paulding/Dallas)</v>
      </c>
      <c r="C3445" t="s">
        <v>462</v>
      </c>
      <c r="D3445" s="180" t="s">
        <v>27</v>
      </c>
      <c r="E3445" t="s">
        <v>817</v>
      </c>
      <c r="F3445" t="s">
        <v>6460</v>
      </c>
      <c r="G3445" s="180">
        <v>12024</v>
      </c>
      <c r="H3445">
        <v>1980</v>
      </c>
      <c r="J3445" s="1334" t="s">
        <v>520</v>
      </c>
      <c r="K3445" s="1335" t="s">
        <v>475</v>
      </c>
      <c r="L3445" s="180">
        <v>100</v>
      </c>
      <c r="M3445" t="s">
        <v>7832</v>
      </c>
      <c r="N3445" t="str">
        <f t="shared" si="214"/>
        <v>Winn (Paulding/Dallas) (0036)</v>
      </c>
      <c r="O3445" t="s">
        <v>42</v>
      </c>
      <c r="P3445" t="str">
        <f t="shared" si="215"/>
        <v>73000_0036</v>
      </c>
      <c r="Q3445" s="180">
        <v>100</v>
      </c>
    </row>
    <row r="3446" spans="1:17">
      <c r="A3446" t="str">
        <f t="shared" si="212"/>
        <v>GSC_0001</v>
      </c>
      <c r="B3446" t="str">
        <f t="shared" si="213"/>
        <v>GSC_Lambdin Hall</v>
      </c>
      <c r="C3446" t="s">
        <v>463</v>
      </c>
      <c r="D3446" s="180" t="s">
        <v>24</v>
      </c>
      <c r="E3446" t="s">
        <v>4502</v>
      </c>
      <c r="F3446" t="s">
        <v>6509</v>
      </c>
      <c r="G3446" s="180">
        <v>25471</v>
      </c>
      <c r="H3446">
        <v>1908</v>
      </c>
      <c r="I3446">
        <v>2006</v>
      </c>
      <c r="J3446" s="1334" t="s">
        <v>475</v>
      </c>
      <c r="K3446" s="1335" t="s">
        <v>475</v>
      </c>
      <c r="L3446" s="180">
        <v>100</v>
      </c>
      <c r="M3446" t="s">
        <v>7833</v>
      </c>
      <c r="N3446" t="str">
        <f t="shared" si="214"/>
        <v>Lambdin Hall (0001)</v>
      </c>
      <c r="O3446" t="s">
        <v>59</v>
      </c>
      <c r="P3446" t="str">
        <f t="shared" si="215"/>
        <v>76000_0001</v>
      </c>
      <c r="Q3446" s="180">
        <v>100</v>
      </c>
    </row>
    <row r="3447" spans="1:17">
      <c r="A3447" t="str">
        <f t="shared" si="212"/>
        <v>GSC_0002</v>
      </c>
      <c r="B3447" t="str">
        <f t="shared" si="213"/>
        <v>GSC_Student Center</v>
      </c>
      <c r="C3447" t="s">
        <v>463</v>
      </c>
      <c r="D3447" s="180" t="s">
        <v>24</v>
      </c>
      <c r="E3447" t="s">
        <v>769</v>
      </c>
      <c r="F3447" t="s">
        <v>4471</v>
      </c>
      <c r="G3447" s="180">
        <v>60270</v>
      </c>
      <c r="H3447">
        <v>1977</v>
      </c>
      <c r="I3447">
        <v>2012</v>
      </c>
      <c r="J3447" s="1334" t="s">
        <v>475</v>
      </c>
      <c r="K3447" s="1335" t="s">
        <v>475</v>
      </c>
      <c r="L3447" s="180">
        <v>62</v>
      </c>
      <c r="M3447" t="s">
        <v>7833</v>
      </c>
      <c r="N3447" t="str">
        <f t="shared" si="214"/>
        <v>Student Center (0002)</v>
      </c>
      <c r="O3447" t="s">
        <v>59</v>
      </c>
      <c r="P3447" t="str">
        <f t="shared" si="215"/>
        <v>76000_0002</v>
      </c>
      <c r="Q3447" s="180">
        <v>0</v>
      </c>
    </row>
    <row r="3448" spans="1:17">
      <c r="A3448" t="str">
        <f t="shared" si="212"/>
        <v>GSC_0003</v>
      </c>
      <c r="B3448" t="str">
        <f t="shared" si="213"/>
        <v>GSC_Hightower Library</v>
      </c>
      <c r="C3448" t="s">
        <v>463</v>
      </c>
      <c r="D3448" s="180" t="s">
        <v>24</v>
      </c>
      <c r="E3448" t="s">
        <v>524</v>
      </c>
      <c r="F3448" t="s">
        <v>6506</v>
      </c>
      <c r="G3448" s="180">
        <v>34866</v>
      </c>
      <c r="H3448">
        <v>1978</v>
      </c>
      <c r="I3448">
        <v>2015</v>
      </c>
      <c r="J3448" s="1334" t="s">
        <v>475</v>
      </c>
      <c r="K3448" s="1335" t="s">
        <v>475</v>
      </c>
      <c r="L3448" s="180">
        <v>100</v>
      </c>
      <c r="M3448" t="s">
        <v>7833</v>
      </c>
      <c r="N3448" t="str">
        <f t="shared" si="214"/>
        <v>Hightower Library (0003)</v>
      </c>
      <c r="O3448" t="s">
        <v>59</v>
      </c>
      <c r="P3448" t="str">
        <f t="shared" si="215"/>
        <v>76000_0003</v>
      </c>
      <c r="Q3448" s="180">
        <v>0</v>
      </c>
    </row>
    <row r="3449" spans="1:17">
      <c r="A3449" t="str">
        <f t="shared" si="212"/>
        <v>GSC_0004</v>
      </c>
      <c r="B3449" t="str">
        <f t="shared" si="213"/>
        <v>GSC_Academic Building</v>
      </c>
      <c r="C3449" t="s">
        <v>463</v>
      </c>
      <c r="D3449" s="180" t="s">
        <v>24</v>
      </c>
      <c r="E3449" t="s">
        <v>1059</v>
      </c>
      <c r="F3449" t="s">
        <v>5714</v>
      </c>
      <c r="G3449" s="180">
        <v>28545</v>
      </c>
      <c r="H3449">
        <v>1982</v>
      </c>
      <c r="I3449">
        <v>2019</v>
      </c>
      <c r="J3449" s="1334" t="s">
        <v>475</v>
      </c>
      <c r="K3449" s="1335" t="s">
        <v>475</v>
      </c>
      <c r="L3449" s="180">
        <v>100</v>
      </c>
      <c r="M3449" t="s">
        <v>7833</v>
      </c>
      <c r="N3449" t="str">
        <f t="shared" si="214"/>
        <v>Academic Building (0004)</v>
      </c>
      <c r="O3449" t="s">
        <v>59</v>
      </c>
      <c r="P3449" t="str">
        <f t="shared" si="215"/>
        <v>76000_0004</v>
      </c>
      <c r="Q3449" s="180">
        <v>0</v>
      </c>
    </row>
    <row r="3450" spans="1:17">
      <c r="A3450" t="str">
        <f t="shared" si="212"/>
        <v>GSC_0005</v>
      </c>
      <c r="B3450" t="str">
        <f t="shared" si="213"/>
        <v>GSC_Plant Operations</v>
      </c>
      <c r="C3450" t="s">
        <v>463</v>
      </c>
      <c r="D3450" s="180" t="s">
        <v>24</v>
      </c>
      <c r="E3450" t="s">
        <v>1139</v>
      </c>
      <c r="F3450" t="s">
        <v>4554</v>
      </c>
      <c r="G3450" s="180">
        <v>16253</v>
      </c>
      <c r="H3450">
        <v>1985</v>
      </c>
      <c r="I3450">
        <v>2005</v>
      </c>
      <c r="J3450" s="1334" t="s">
        <v>475</v>
      </c>
      <c r="K3450" s="1335" t="s">
        <v>475</v>
      </c>
      <c r="L3450" s="180">
        <v>100</v>
      </c>
      <c r="M3450" t="s">
        <v>7833</v>
      </c>
      <c r="N3450" t="str">
        <f t="shared" si="214"/>
        <v>Plant Operations (0005)</v>
      </c>
      <c r="O3450" t="s">
        <v>59</v>
      </c>
      <c r="P3450" t="str">
        <f t="shared" si="215"/>
        <v>76000_0005</v>
      </c>
      <c r="Q3450" s="180">
        <v>0</v>
      </c>
    </row>
    <row r="3451" spans="1:17">
      <c r="A3451" t="str">
        <f t="shared" si="212"/>
        <v>GSC_0006</v>
      </c>
      <c r="B3451" t="str">
        <f t="shared" si="213"/>
        <v>GSC_Russell Hall</v>
      </c>
      <c r="C3451" t="s">
        <v>463</v>
      </c>
      <c r="D3451" s="180" t="s">
        <v>24</v>
      </c>
      <c r="E3451" t="s">
        <v>855</v>
      </c>
      <c r="F3451" t="s">
        <v>6486</v>
      </c>
      <c r="G3451" s="180">
        <v>27068</v>
      </c>
      <c r="H3451">
        <v>1966</v>
      </c>
      <c r="I3451">
        <v>2004</v>
      </c>
      <c r="J3451" s="1334" t="s">
        <v>475</v>
      </c>
      <c r="K3451" s="1335" t="s">
        <v>475</v>
      </c>
      <c r="L3451" s="180">
        <v>100</v>
      </c>
      <c r="M3451" t="s">
        <v>7833</v>
      </c>
      <c r="N3451" t="str">
        <f t="shared" si="214"/>
        <v>Russell Hall (0006)</v>
      </c>
      <c r="O3451" t="s">
        <v>59</v>
      </c>
      <c r="P3451" t="str">
        <f t="shared" si="215"/>
        <v>76000_0006</v>
      </c>
      <c r="Q3451" s="180">
        <v>0</v>
      </c>
    </row>
    <row r="3452" spans="1:17">
      <c r="A3452" t="str">
        <f t="shared" si="212"/>
        <v>GSC_0007</v>
      </c>
      <c r="B3452" t="str">
        <f t="shared" si="213"/>
        <v>GSC_Smith Hall</v>
      </c>
      <c r="C3452" t="s">
        <v>463</v>
      </c>
      <c r="D3452" s="180" t="s">
        <v>24</v>
      </c>
      <c r="E3452" t="s">
        <v>872</v>
      </c>
      <c r="F3452" t="s">
        <v>6504</v>
      </c>
      <c r="G3452" s="180">
        <v>13146</v>
      </c>
      <c r="H3452">
        <v>1939</v>
      </c>
      <c r="I3452">
        <v>2012</v>
      </c>
      <c r="J3452" s="1334" t="s">
        <v>475</v>
      </c>
      <c r="K3452" s="1335" t="s">
        <v>475</v>
      </c>
      <c r="L3452" s="180">
        <v>100</v>
      </c>
      <c r="M3452" t="s">
        <v>7833</v>
      </c>
      <c r="N3452" t="str">
        <f t="shared" si="214"/>
        <v>Smith Hall (0007)</v>
      </c>
      <c r="O3452" t="s">
        <v>59</v>
      </c>
      <c r="P3452" t="str">
        <f t="shared" si="215"/>
        <v>76000_0007</v>
      </c>
      <c r="Q3452" s="180">
        <v>0</v>
      </c>
    </row>
    <row r="3453" spans="1:17">
      <c r="A3453" t="str">
        <f t="shared" si="212"/>
        <v>GSC_0010</v>
      </c>
      <c r="B3453" t="str">
        <f t="shared" si="213"/>
        <v>GSC_Guillebeau Hall</v>
      </c>
      <c r="C3453" t="s">
        <v>463</v>
      </c>
      <c r="D3453" s="180" t="s">
        <v>24</v>
      </c>
      <c r="E3453" t="s">
        <v>815</v>
      </c>
      <c r="F3453" t="s">
        <v>6482</v>
      </c>
      <c r="G3453" s="180">
        <v>22888</v>
      </c>
      <c r="H3453">
        <v>1935</v>
      </c>
      <c r="I3453">
        <v>2000</v>
      </c>
      <c r="J3453" s="1334" t="s">
        <v>475</v>
      </c>
      <c r="K3453" s="1335" t="s">
        <v>475</v>
      </c>
      <c r="L3453" s="180">
        <v>77</v>
      </c>
      <c r="M3453" t="s">
        <v>7833</v>
      </c>
      <c r="N3453" t="str">
        <f t="shared" si="214"/>
        <v>Guillebeau Hall (0010)</v>
      </c>
      <c r="O3453" t="s">
        <v>59</v>
      </c>
      <c r="P3453" t="str">
        <f t="shared" si="215"/>
        <v>76000_0010</v>
      </c>
      <c r="Q3453" s="180">
        <v>0</v>
      </c>
    </row>
    <row r="3454" spans="1:17">
      <c r="A3454" t="str">
        <f t="shared" si="212"/>
        <v>GSC_0012</v>
      </c>
      <c r="B3454" t="str">
        <f t="shared" si="213"/>
        <v>GSC_Alumni Mem Hall</v>
      </c>
      <c r="C3454" t="s">
        <v>463</v>
      </c>
      <c r="D3454" s="180" t="s">
        <v>24</v>
      </c>
      <c r="E3454" t="s">
        <v>698</v>
      </c>
      <c r="F3454" t="s">
        <v>6487</v>
      </c>
      <c r="G3454" s="180">
        <v>29407</v>
      </c>
      <c r="H3454">
        <v>1963</v>
      </c>
      <c r="I3454">
        <v>2003</v>
      </c>
      <c r="J3454" s="1334" t="s">
        <v>475</v>
      </c>
      <c r="K3454" s="1335" t="s">
        <v>475</v>
      </c>
      <c r="L3454" s="180">
        <v>100</v>
      </c>
      <c r="M3454" t="s">
        <v>7833</v>
      </c>
      <c r="N3454" t="str">
        <f t="shared" si="214"/>
        <v>Alumni Mem Hall (0012)</v>
      </c>
      <c r="O3454" t="s">
        <v>59</v>
      </c>
      <c r="P3454" t="str">
        <f t="shared" si="215"/>
        <v>76000_0012</v>
      </c>
      <c r="Q3454" s="180">
        <v>0</v>
      </c>
    </row>
    <row r="3455" spans="1:17">
      <c r="A3455" t="str">
        <f t="shared" si="212"/>
        <v>GSC_0016</v>
      </c>
      <c r="B3455" t="str">
        <f t="shared" si="213"/>
        <v>GSC_Pool Complex</v>
      </c>
      <c r="C3455" t="s">
        <v>463</v>
      </c>
      <c r="D3455" s="180" t="s">
        <v>24</v>
      </c>
      <c r="E3455" t="s">
        <v>506</v>
      </c>
      <c r="F3455" t="s">
        <v>6507</v>
      </c>
      <c r="G3455" s="180">
        <v>11004</v>
      </c>
      <c r="H3455">
        <v>1995</v>
      </c>
      <c r="J3455" s="1334" t="s">
        <v>520</v>
      </c>
      <c r="K3455" s="1335" t="s">
        <v>475</v>
      </c>
      <c r="L3455" s="180">
        <v>100</v>
      </c>
      <c r="M3455" t="s">
        <v>7833</v>
      </c>
      <c r="N3455" t="str">
        <f t="shared" si="214"/>
        <v>Pool Complex (0016)</v>
      </c>
      <c r="O3455" t="s">
        <v>59</v>
      </c>
      <c r="P3455" t="str">
        <f t="shared" si="215"/>
        <v>76000_0016</v>
      </c>
      <c r="Q3455" s="180">
        <v>0</v>
      </c>
    </row>
    <row r="3456" spans="1:17">
      <c r="A3456" t="str">
        <f t="shared" si="212"/>
        <v>GSC_0017</v>
      </c>
      <c r="B3456" t="str">
        <f t="shared" si="213"/>
        <v>GSC_Melton Hall</v>
      </c>
      <c r="C3456" t="s">
        <v>463</v>
      </c>
      <c r="D3456" s="180" t="s">
        <v>24</v>
      </c>
      <c r="E3456" t="s">
        <v>680</v>
      </c>
      <c r="F3456" t="s">
        <v>6497</v>
      </c>
      <c r="G3456" s="180">
        <v>29641</v>
      </c>
      <c r="H3456">
        <v>1995</v>
      </c>
      <c r="J3456" s="1334" t="s">
        <v>520</v>
      </c>
      <c r="K3456" s="1335" t="s">
        <v>475</v>
      </c>
      <c r="L3456" s="180">
        <v>0</v>
      </c>
      <c r="M3456" t="s">
        <v>7833</v>
      </c>
      <c r="N3456" t="str">
        <f t="shared" si="214"/>
        <v>Melton Hall (0017)</v>
      </c>
      <c r="O3456" t="s">
        <v>59</v>
      </c>
      <c r="P3456" t="str">
        <f t="shared" si="215"/>
        <v>76000_0017</v>
      </c>
      <c r="Q3456" s="180">
        <v>0</v>
      </c>
    </row>
    <row r="3457" spans="1:17">
      <c r="A3457" t="str">
        <f t="shared" si="212"/>
        <v>GSC_0018</v>
      </c>
      <c r="B3457" t="str">
        <f t="shared" si="213"/>
        <v>GSC_Fine Arts</v>
      </c>
      <c r="C3457" t="s">
        <v>463</v>
      </c>
      <c r="D3457" s="180" t="s">
        <v>24</v>
      </c>
      <c r="E3457" t="s">
        <v>757</v>
      </c>
      <c r="F3457" t="s">
        <v>5587</v>
      </c>
      <c r="G3457" s="180">
        <v>37950</v>
      </c>
      <c r="H3457">
        <v>1994</v>
      </c>
      <c r="J3457" s="1334" t="s">
        <v>475</v>
      </c>
      <c r="K3457" s="1335" t="s">
        <v>475</v>
      </c>
      <c r="L3457" s="180">
        <v>100</v>
      </c>
      <c r="M3457" t="s">
        <v>7833</v>
      </c>
      <c r="N3457" t="str">
        <f t="shared" si="214"/>
        <v>Fine Arts (0018)</v>
      </c>
      <c r="O3457" t="s">
        <v>59</v>
      </c>
      <c r="P3457" t="str">
        <f t="shared" si="215"/>
        <v>76000_0018</v>
      </c>
      <c r="Q3457" s="180">
        <v>0</v>
      </c>
    </row>
    <row r="3458" spans="1:17">
      <c r="A3458" t="str">
        <f t="shared" si="212"/>
        <v>GSC_0020</v>
      </c>
      <c r="B3458" t="str">
        <f t="shared" si="213"/>
        <v>GSC_Gordon Hall</v>
      </c>
      <c r="C3458" t="s">
        <v>463</v>
      </c>
      <c r="D3458" s="180" t="s">
        <v>24</v>
      </c>
      <c r="E3458" t="s">
        <v>529</v>
      </c>
      <c r="F3458" t="s">
        <v>6481</v>
      </c>
      <c r="G3458" s="180">
        <v>10520</v>
      </c>
      <c r="H3458">
        <v>1951</v>
      </c>
      <c r="I3458">
        <v>1991</v>
      </c>
      <c r="J3458" s="1334" t="s">
        <v>475</v>
      </c>
      <c r="K3458" s="1335" t="s">
        <v>475</v>
      </c>
      <c r="L3458" s="180">
        <v>100</v>
      </c>
      <c r="M3458" t="s">
        <v>7833</v>
      </c>
      <c r="N3458" t="str">
        <f t="shared" si="214"/>
        <v>Gordon Hall (0020)</v>
      </c>
      <c r="O3458" t="s">
        <v>59</v>
      </c>
      <c r="P3458" t="str">
        <f t="shared" si="215"/>
        <v>76000_0020</v>
      </c>
      <c r="Q3458" s="180">
        <v>0</v>
      </c>
    </row>
    <row r="3459" spans="1:17">
      <c r="A3459" t="str">
        <f t="shared" ref="A3459:A3522" si="216">_xlfn.CONCAT(D3459,"_",E3459)</f>
        <v>GSC_0021</v>
      </c>
      <c r="B3459" t="str">
        <f t="shared" ref="B3459:B3522" si="217">_xlfn.CONCAT(D3459,"_",F3459)</f>
        <v>GSC_Storage Facilities A</v>
      </c>
      <c r="C3459" t="s">
        <v>463</v>
      </c>
      <c r="D3459" s="180" t="s">
        <v>24</v>
      </c>
      <c r="E3459" t="s">
        <v>930</v>
      </c>
      <c r="F3459" t="s">
        <v>6511</v>
      </c>
      <c r="G3459" s="180">
        <v>1852</v>
      </c>
      <c r="H3459">
        <v>1989</v>
      </c>
      <c r="J3459" s="1334" t="s">
        <v>475</v>
      </c>
      <c r="K3459" s="1335" t="s">
        <v>475</v>
      </c>
      <c r="L3459" s="180">
        <v>100</v>
      </c>
      <c r="M3459" t="s">
        <v>7833</v>
      </c>
      <c r="N3459" t="str">
        <f t="shared" ref="N3459:N3522" si="218">_xlfn.CONCAT(F3459," (",E3459,")")</f>
        <v>Storage Facilities A (0021)</v>
      </c>
      <c r="O3459" t="s">
        <v>59</v>
      </c>
      <c r="P3459" t="str">
        <f t="shared" ref="P3459:P3522" si="219">_xlfn.CONCAT(C3459,"_",E3459)</f>
        <v>76000_0021</v>
      </c>
      <c r="Q3459" s="180">
        <v>0</v>
      </c>
    </row>
    <row r="3460" spans="1:17">
      <c r="A3460" t="str">
        <f t="shared" si="216"/>
        <v>GSC_0022</v>
      </c>
      <c r="B3460" t="str">
        <f t="shared" si="217"/>
        <v>GSC_Storage Facilities B</v>
      </c>
      <c r="C3460" t="s">
        <v>463</v>
      </c>
      <c r="D3460" s="180" t="s">
        <v>24</v>
      </c>
      <c r="E3460" t="s">
        <v>531</v>
      </c>
      <c r="F3460" t="s">
        <v>6491</v>
      </c>
      <c r="G3460" s="180">
        <v>1152</v>
      </c>
      <c r="H3460">
        <v>1990</v>
      </c>
      <c r="J3460" s="1334" t="s">
        <v>475</v>
      </c>
      <c r="K3460" s="1335" t="s">
        <v>475</v>
      </c>
      <c r="L3460" s="180">
        <v>100</v>
      </c>
      <c r="M3460" t="s">
        <v>7833</v>
      </c>
      <c r="N3460" t="str">
        <f t="shared" si="218"/>
        <v>Storage Facilities B (0022)</v>
      </c>
      <c r="O3460" t="s">
        <v>59</v>
      </c>
      <c r="P3460" t="str">
        <f t="shared" si="219"/>
        <v>76000_0022</v>
      </c>
      <c r="Q3460" s="180">
        <v>0</v>
      </c>
    </row>
    <row r="3461" spans="1:17">
      <c r="A3461" t="str">
        <f t="shared" si="216"/>
        <v>GSC_0023</v>
      </c>
      <c r="B3461" t="str">
        <f t="shared" si="217"/>
        <v>GSC_402 Spencer House</v>
      </c>
      <c r="C3461" t="s">
        <v>463</v>
      </c>
      <c r="D3461" s="180" t="s">
        <v>24</v>
      </c>
      <c r="E3461" t="s">
        <v>4343</v>
      </c>
      <c r="F3461" t="s">
        <v>6502</v>
      </c>
      <c r="G3461" s="180">
        <v>1768</v>
      </c>
      <c r="H3461">
        <v>1946</v>
      </c>
      <c r="I3461">
        <v>1996</v>
      </c>
      <c r="J3461" s="1334" t="s">
        <v>475</v>
      </c>
      <c r="K3461" s="1335" t="s">
        <v>475</v>
      </c>
      <c r="L3461" s="180">
        <v>100</v>
      </c>
      <c r="M3461" t="s">
        <v>7833</v>
      </c>
      <c r="N3461" t="str">
        <f t="shared" si="218"/>
        <v>402 Spencer House (0023)</v>
      </c>
      <c r="O3461" t="s">
        <v>59</v>
      </c>
      <c r="P3461" t="str">
        <f t="shared" si="219"/>
        <v>76000_0023</v>
      </c>
      <c r="Q3461" s="180">
        <v>0</v>
      </c>
    </row>
    <row r="3462" spans="1:17">
      <c r="A3462" t="str">
        <f t="shared" si="216"/>
        <v>GSC_0024</v>
      </c>
      <c r="B3462" t="str">
        <f t="shared" si="217"/>
        <v>GSC_Athletic Complex</v>
      </c>
      <c r="C3462" t="s">
        <v>463</v>
      </c>
      <c r="D3462" s="180" t="s">
        <v>24</v>
      </c>
      <c r="E3462" t="s">
        <v>548</v>
      </c>
      <c r="F3462" t="s">
        <v>5799</v>
      </c>
      <c r="G3462" s="180">
        <v>4345</v>
      </c>
      <c r="H3462">
        <v>1993</v>
      </c>
      <c r="J3462" s="1334" t="s">
        <v>475</v>
      </c>
      <c r="K3462" s="1335" t="s">
        <v>475</v>
      </c>
      <c r="L3462" s="180">
        <v>100</v>
      </c>
      <c r="M3462" t="s">
        <v>7833</v>
      </c>
      <c r="N3462" t="str">
        <f t="shared" si="218"/>
        <v>Athletic Complex (0024)</v>
      </c>
      <c r="O3462" t="s">
        <v>59</v>
      </c>
      <c r="P3462" t="str">
        <f t="shared" si="219"/>
        <v>76000_0024</v>
      </c>
      <c r="Q3462" s="180">
        <v>0</v>
      </c>
    </row>
    <row r="3463" spans="1:17">
      <c r="A3463" t="str">
        <f t="shared" si="216"/>
        <v>GSC_0026</v>
      </c>
      <c r="B3463" t="str">
        <f t="shared" si="217"/>
        <v>GSC_Georgia House</v>
      </c>
      <c r="C3463" t="s">
        <v>463</v>
      </c>
      <c r="D3463" s="180" t="s">
        <v>24</v>
      </c>
      <c r="E3463" t="s">
        <v>692</v>
      </c>
      <c r="F3463" t="s">
        <v>6510</v>
      </c>
      <c r="G3463" s="180">
        <v>2693</v>
      </c>
      <c r="H3463">
        <v>1957</v>
      </c>
      <c r="J3463" s="1334" t="s">
        <v>475</v>
      </c>
      <c r="K3463" s="1335" t="s">
        <v>475</v>
      </c>
      <c r="L3463" s="180">
        <v>100</v>
      </c>
      <c r="M3463" t="s">
        <v>7833</v>
      </c>
      <c r="N3463" t="str">
        <f t="shared" si="218"/>
        <v>Georgia House (0026)</v>
      </c>
      <c r="O3463" t="s">
        <v>59</v>
      </c>
      <c r="P3463" t="str">
        <f t="shared" si="219"/>
        <v>76000_0026</v>
      </c>
      <c r="Q3463" s="180">
        <v>0</v>
      </c>
    </row>
    <row r="3464" spans="1:17">
      <c r="A3464" t="str">
        <f t="shared" si="216"/>
        <v>GSC_0027</v>
      </c>
      <c r="B3464" t="str">
        <f t="shared" si="217"/>
        <v>GSC_Instructional Complex</v>
      </c>
      <c r="C3464" t="s">
        <v>463</v>
      </c>
      <c r="D3464" s="180" t="s">
        <v>24</v>
      </c>
      <c r="E3464" t="s">
        <v>4571</v>
      </c>
      <c r="F3464" t="s">
        <v>6500</v>
      </c>
      <c r="G3464" s="180">
        <v>102428</v>
      </c>
      <c r="H3464">
        <v>2000</v>
      </c>
      <c r="I3464">
        <v>2012</v>
      </c>
      <c r="J3464" s="1334" t="s">
        <v>520</v>
      </c>
      <c r="K3464" s="1335" t="s">
        <v>475</v>
      </c>
      <c r="L3464" s="180">
        <v>100</v>
      </c>
      <c r="M3464" t="s">
        <v>7833</v>
      </c>
      <c r="N3464" t="str">
        <f t="shared" si="218"/>
        <v>Instructional Complex (0027)</v>
      </c>
      <c r="O3464" t="s">
        <v>59</v>
      </c>
      <c r="P3464" t="str">
        <f t="shared" si="219"/>
        <v>76000_0027</v>
      </c>
      <c r="Q3464" s="180">
        <v>0</v>
      </c>
    </row>
    <row r="3465" spans="1:17">
      <c r="A3465" t="str">
        <f t="shared" si="216"/>
        <v>GSC_0029</v>
      </c>
      <c r="B3465" t="str">
        <f t="shared" si="217"/>
        <v>GSC_Gordon Commons Bldg A</v>
      </c>
      <c r="C3465" t="s">
        <v>463</v>
      </c>
      <c r="D3465" s="180" t="s">
        <v>24</v>
      </c>
      <c r="E3465" t="s">
        <v>1141</v>
      </c>
      <c r="F3465" t="s">
        <v>6488</v>
      </c>
      <c r="G3465" s="180">
        <v>55395</v>
      </c>
      <c r="H3465">
        <v>2005</v>
      </c>
      <c r="J3465" s="1334" t="s">
        <v>486</v>
      </c>
      <c r="K3465" s="1335" t="s">
        <v>475</v>
      </c>
      <c r="L3465" s="180">
        <v>0</v>
      </c>
      <c r="M3465" t="s">
        <v>7833</v>
      </c>
      <c r="N3465" t="str">
        <f t="shared" si="218"/>
        <v>Gordon Commons Bldg A (0029)</v>
      </c>
      <c r="O3465" t="s">
        <v>59</v>
      </c>
      <c r="P3465" t="str">
        <f t="shared" si="219"/>
        <v>76000_0029</v>
      </c>
      <c r="Q3465" s="180">
        <v>0</v>
      </c>
    </row>
    <row r="3466" spans="1:17">
      <c r="A3466" t="str">
        <f t="shared" si="216"/>
        <v>GSC_0030</v>
      </c>
      <c r="B3466" t="str">
        <f t="shared" si="217"/>
        <v>GSC_Gordon Commons Bldg B</v>
      </c>
      <c r="C3466" t="s">
        <v>463</v>
      </c>
      <c r="D3466" s="180" t="s">
        <v>24</v>
      </c>
      <c r="E3466" t="s">
        <v>561</v>
      </c>
      <c r="F3466" t="s">
        <v>6512</v>
      </c>
      <c r="G3466" s="180">
        <v>55395</v>
      </c>
      <c r="H3466">
        <v>2005</v>
      </c>
      <c r="J3466" s="1334" t="s">
        <v>486</v>
      </c>
      <c r="K3466" s="1335" t="s">
        <v>475</v>
      </c>
      <c r="L3466" s="180">
        <v>0</v>
      </c>
      <c r="M3466" t="s">
        <v>7833</v>
      </c>
      <c r="N3466" t="str">
        <f t="shared" si="218"/>
        <v>Gordon Commons Bldg B (0030)</v>
      </c>
      <c r="O3466" t="s">
        <v>59</v>
      </c>
      <c r="P3466" t="str">
        <f t="shared" si="219"/>
        <v>76000_0030</v>
      </c>
      <c r="Q3466" s="180">
        <v>0</v>
      </c>
    </row>
    <row r="3467" spans="1:17">
      <c r="A3467" t="str">
        <f t="shared" si="216"/>
        <v>GSC_0031</v>
      </c>
      <c r="B3467" t="str">
        <f t="shared" si="217"/>
        <v>GSC_Gordon Commons Bldg C</v>
      </c>
      <c r="C3467" t="s">
        <v>463</v>
      </c>
      <c r="D3467" s="180" t="s">
        <v>24</v>
      </c>
      <c r="E3467" t="s">
        <v>892</v>
      </c>
      <c r="F3467" t="s">
        <v>6503</v>
      </c>
      <c r="G3467" s="180">
        <v>55395</v>
      </c>
      <c r="H3467">
        <v>2005</v>
      </c>
      <c r="J3467" s="1334" t="s">
        <v>486</v>
      </c>
      <c r="K3467" s="1335" t="s">
        <v>475</v>
      </c>
      <c r="L3467" s="180">
        <v>0</v>
      </c>
      <c r="M3467" t="s">
        <v>7833</v>
      </c>
      <c r="N3467" t="str">
        <f t="shared" si="218"/>
        <v>Gordon Commons Bldg C (0031)</v>
      </c>
      <c r="O3467" t="s">
        <v>59</v>
      </c>
      <c r="P3467" t="str">
        <f t="shared" si="219"/>
        <v>76000_0031</v>
      </c>
      <c r="Q3467" s="180">
        <v>0</v>
      </c>
    </row>
    <row r="3468" spans="1:17">
      <c r="A3468" t="str">
        <f t="shared" si="216"/>
        <v>GSC_0033</v>
      </c>
      <c r="B3468" t="str">
        <f t="shared" si="217"/>
        <v>GSC_Storage Pole Barn Facilities A</v>
      </c>
      <c r="C3468" t="s">
        <v>463</v>
      </c>
      <c r="D3468" s="180" t="s">
        <v>24</v>
      </c>
      <c r="E3468" t="s">
        <v>717</v>
      </c>
      <c r="F3468" t="s">
        <v>6493</v>
      </c>
      <c r="G3468" s="180">
        <v>1440</v>
      </c>
      <c r="H3468">
        <v>2000</v>
      </c>
      <c r="J3468" s="1334" t="s">
        <v>475</v>
      </c>
      <c r="K3468" s="1335" t="s">
        <v>475</v>
      </c>
      <c r="L3468" s="180">
        <v>100</v>
      </c>
      <c r="M3468" t="s">
        <v>7833</v>
      </c>
      <c r="N3468" t="str">
        <f t="shared" si="218"/>
        <v>Storage Pole Barn Facilities A (0033)</v>
      </c>
      <c r="O3468" t="s">
        <v>59</v>
      </c>
      <c r="P3468" t="str">
        <f t="shared" si="219"/>
        <v>76000_0033</v>
      </c>
      <c r="Q3468" s="180">
        <v>0</v>
      </c>
    </row>
    <row r="3469" spans="1:17">
      <c r="A3469" t="str">
        <f t="shared" si="216"/>
        <v>GSC_0034</v>
      </c>
      <c r="B3469" t="str">
        <f t="shared" si="217"/>
        <v>GSC_Storage Facilities C</v>
      </c>
      <c r="C3469" t="s">
        <v>463</v>
      </c>
      <c r="D3469" s="180" t="s">
        <v>24</v>
      </c>
      <c r="E3469" t="s">
        <v>5637</v>
      </c>
      <c r="F3469" t="s">
        <v>6494</v>
      </c>
      <c r="G3469" s="180">
        <v>225</v>
      </c>
      <c r="H3469">
        <v>2000</v>
      </c>
      <c r="J3469" s="1334" t="s">
        <v>475</v>
      </c>
      <c r="K3469" s="1335" t="s">
        <v>475</v>
      </c>
      <c r="L3469" s="180">
        <v>100</v>
      </c>
      <c r="M3469" t="s">
        <v>7833</v>
      </c>
      <c r="N3469" t="str">
        <f t="shared" si="218"/>
        <v>Storage Facilities C (0034)</v>
      </c>
      <c r="O3469" t="s">
        <v>59</v>
      </c>
      <c r="P3469" t="str">
        <f t="shared" si="219"/>
        <v>76000_0034</v>
      </c>
      <c r="Q3469" s="180">
        <v>0</v>
      </c>
    </row>
    <row r="3470" spans="1:17">
      <c r="A3470" t="str">
        <f t="shared" si="216"/>
        <v>GSC_0035</v>
      </c>
      <c r="B3470" t="str">
        <f t="shared" si="217"/>
        <v>GSC_Storage Facilities D</v>
      </c>
      <c r="C3470" t="s">
        <v>463</v>
      </c>
      <c r="D3470" s="180" t="s">
        <v>24</v>
      </c>
      <c r="E3470" t="s">
        <v>830</v>
      </c>
      <c r="F3470" t="s">
        <v>6480</v>
      </c>
      <c r="G3470" s="180">
        <v>92</v>
      </c>
      <c r="H3470">
        <v>2001</v>
      </c>
      <c r="J3470" s="1334" t="s">
        <v>475</v>
      </c>
      <c r="K3470" s="1335" t="s">
        <v>475</v>
      </c>
      <c r="L3470" s="180">
        <v>100</v>
      </c>
      <c r="M3470" t="s">
        <v>7833</v>
      </c>
      <c r="N3470" t="str">
        <f t="shared" si="218"/>
        <v>Storage Facilities D (0035)</v>
      </c>
      <c r="O3470" t="s">
        <v>59</v>
      </c>
      <c r="P3470" t="str">
        <f t="shared" si="219"/>
        <v>76000_0035</v>
      </c>
      <c r="Q3470" s="180">
        <v>100</v>
      </c>
    </row>
    <row r="3471" spans="1:17">
      <c r="A3471" t="str">
        <f t="shared" si="216"/>
        <v>GSC_0036</v>
      </c>
      <c r="B3471" t="str">
        <f t="shared" si="217"/>
        <v>GSC_Storage Baseball Field</v>
      </c>
      <c r="C3471" t="s">
        <v>463</v>
      </c>
      <c r="D3471" s="180" t="s">
        <v>24</v>
      </c>
      <c r="E3471" t="s">
        <v>817</v>
      </c>
      <c r="F3471" t="s">
        <v>6505</v>
      </c>
      <c r="G3471" s="180">
        <v>92</v>
      </c>
      <c r="H3471">
        <v>2003</v>
      </c>
      <c r="J3471" s="1334" t="s">
        <v>475</v>
      </c>
      <c r="K3471" s="1335" t="s">
        <v>475</v>
      </c>
      <c r="L3471" s="180">
        <v>100</v>
      </c>
      <c r="M3471" t="s">
        <v>7833</v>
      </c>
      <c r="N3471" t="str">
        <f t="shared" si="218"/>
        <v>Storage Baseball Field (0036)</v>
      </c>
      <c r="O3471" t="s">
        <v>59</v>
      </c>
      <c r="P3471" t="str">
        <f t="shared" si="219"/>
        <v>76000_0036</v>
      </c>
      <c r="Q3471" s="180">
        <v>0</v>
      </c>
    </row>
    <row r="3472" spans="1:17">
      <c r="A3472" t="str">
        <f t="shared" si="216"/>
        <v>GSC_0037</v>
      </c>
      <c r="B3472" t="str">
        <f t="shared" si="217"/>
        <v>GSC_Storage Softball Field A</v>
      </c>
      <c r="C3472" t="s">
        <v>463</v>
      </c>
      <c r="D3472" s="180" t="s">
        <v>24</v>
      </c>
      <c r="E3472" t="s">
        <v>998</v>
      </c>
      <c r="F3472" t="s">
        <v>6498</v>
      </c>
      <c r="G3472" s="180">
        <v>65</v>
      </c>
      <c r="H3472">
        <v>2003</v>
      </c>
      <c r="J3472" s="1334" t="s">
        <v>475</v>
      </c>
      <c r="K3472" s="1335" t="s">
        <v>475</v>
      </c>
      <c r="L3472" s="180">
        <v>100</v>
      </c>
      <c r="M3472" t="s">
        <v>7833</v>
      </c>
      <c r="N3472" t="str">
        <f t="shared" si="218"/>
        <v>Storage Softball Field A (0037)</v>
      </c>
      <c r="O3472" t="s">
        <v>59</v>
      </c>
      <c r="P3472" t="str">
        <f t="shared" si="219"/>
        <v>76000_0037</v>
      </c>
      <c r="Q3472" s="180">
        <v>0</v>
      </c>
    </row>
    <row r="3473" spans="1:17">
      <c r="A3473" t="str">
        <f t="shared" si="216"/>
        <v>GSC_0038</v>
      </c>
      <c r="B3473" t="str">
        <f t="shared" si="217"/>
        <v>GSC_Storage Ropes Course</v>
      </c>
      <c r="C3473" t="s">
        <v>463</v>
      </c>
      <c r="D3473" s="180" t="s">
        <v>24</v>
      </c>
      <c r="E3473" t="s">
        <v>866</v>
      </c>
      <c r="F3473" t="s">
        <v>6499</v>
      </c>
      <c r="G3473" s="180">
        <v>92</v>
      </c>
      <c r="H3473">
        <v>2000</v>
      </c>
      <c r="J3473" s="1334" t="s">
        <v>475</v>
      </c>
      <c r="K3473" s="1335" t="s">
        <v>475</v>
      </c>
      <c r="L3473" s="180">
        <v>100</v>
      </c>
      <c r="M3473" t="s">
        <v>7833</v>
      </c>
      <c r="N3473" t="str">
        <f t="shared" si="218"/>
        <v>Storage Ropes Course (0038)</v>
      </c>
      <c r="O3473" t="s">
        <v>59</v>
      </c>
      <c r="P3473" t="str">
        <f t="shared" si="219"/>
        <v>76000_0038</v>
      </c>
      <c r="Q3473" s="180">
        <v>0</v>
      </c>
    </row>
    <row r="3474" spans="1:17">
      <c r="A3474" t="str">
        <f t="shared" si="216"/>
        <v>GSC_0039</v>
      </c>
      <c r="B3474" t="str">
        <f t="shared" si="217"/>
        <v>GSC_Storage Softball Field B</v>
      </c>
      <c r="C3474" t="s">
        <v>463</v>
      </c>
      <c r="D3474" s="180" t="s">
        <v>24</v>
      </c>
      <c r="E3474" t="s">
        <v>584</v>
      </c>
      <c r="F3474" t="s">
        <v>6483</v>
      </c>
      <c r="G3474" s="180">
        <v>93</v>
      </c>
      <c r="H3474">
        <v>2004</v>
      </c>
      <c r="J3474" s="1334" t="s">
        <v>475</v>
      </c>
      <c r="K3474" s="1335" t="s">
        <v>475</v>
      </c>
      <c r="L3474" s="180">
        <v>100</v>
      </c>
      <c r="M3474" t="s">
        <v>7833</v>
      </c>
      <c r="N3474" t="str">
        <f t="shared" si="218"/>
        <v>Storage Softball Field B (0039)</v>
      </c>
      <c r="O3474" t="s">
        <v>59</v>
      </c>
      <c r="P3474" t="str">
        <f t="shared" si="219"/>
        <v>76000_0039</v>
      </c>
      <c r="Q3474" s="180">
        <v>0</v>
      </c>
    </row>
    <row r="3475" spans="1:17">
      <c r="A3475" t="str">
        <f t="shared" si="216"/>
        <v>GSC_0040</v>
      </c>
      <c r="B3475" t="str">
        <f t="shared" si="217"/>
        <v>GSC_Storage Pole Barn Facilities B</v>
      </c>
      <c r="C3475" t="s">
        <v>463</v>
      </c>
      <c r="D3475" s="180" t="s">
        <v>24</v>
      </c>
      <c r="E3475" t="s">
        <v>724</v>
      </c>
      <c r="F3475" t="s">
        <v>6485</v>
      </c>
      <c r="G3475" s="180">
        <v>1326</v>
      </c>
      <c r="H3475">
        <v>2003</v>
      </c>
      <c r="J3475" s="1334" t="s">
        <v>475</v>
      </c>
      <c r="K3475" s="1335" t="s">
        <v>475</v>
      </c>
      <c r="L3475" s="180">
        <v>100</v>
      </c>
      <c r="M3475" t="s">
        <v>7833</v>
      </c>
      <c r="N3475" t="str">
        <f t="shared" si="218"/>
        <v>Storage Pole Barn Facilities B (0040)</v>
      </c>
      <c r="O3475" t="s">
        <v>59</v>
      </c>
      <c r="P3475" t="str">
        <f t="shared" si="219"/>
        <v>76000_0040</v>
      </c>
      <c r="Q3475" s="180">
        <v>0</v>
      </c>
    </row>
    <row r="3476" spans="1:17">
      <c r="A3476" t="str">
        <f t="shared" si="216"/>
        <v>GSC_0041</v>
      </c>
      <c r="B3476" t="str">
        <f t="shared" si="217"/>
        <v>GSC_Alumni House</v>
      </c>
      <c r="C3476" t="s">
        <v>463</v>
      </c>
      <c r="D3476" s="180" t="s">
        <v>24</v>
      </c>
      <c r="E3476" t="s">
        <v>554</v>
      </c>
      <c r="F3476" t="s">
        <v>525</v>
      </c>
      <c r="G3476" s="180">
        <v>4353</v>
      </c>
      <c r="H3476">
        <v>1938</v>
      </c>
      <c r="J3476" s="1334" t="s">
        <v>475</v>
      </c>
      <c r="K3476" s="1335" t="s">
        <v>475</v>
      </c>
      <c r="L3476" s="180">
        <v>100</v>
      </c>
      <c r="M3476" t="s">
        <v>7833</v>
      </c>
      <c r="N3476" t="str">
        <f t="shared" si="218"/>
        <v>Alumni House (0041)</v>
      </c>
      <c r="O3476" t="s">
        <v>59</v>
      </c>
      <c r="P3476" t="str">
        <f t="shared" si="219"/>
        <v>76000_0041</v>
      </c>
      <c r="Q3476" s="180">
        <v>0</v>
      </c>
    </row>
    <row r="3477" spans="1:17">
      <c r="A3477" t="str">
        <f t="shared" si="216"/>
        <v>GSC_0042</v>
      </c>
      <c r="B3477" t="str">
        <f t="shared" si="217"/>
        <v>GSC_Holmes Street House</v>
      </c>
      <c r="C3477" t="s">
        <v>463</v>
      </c>
      <c r="D3477" s="180" t="s">
        <v>24</v>
      </c>
      <c r="E3477" t="s">
        <v>2583</v>
      </c>
      <c r="F3477" t="s">
        <v>6492</v>
      </c>
      <c r="G3477" s="180">
        <v>1205</v>
      </c>
      <c r="H3477">
        <v>1960</v>
      </c>
      <c r="J3477" s="1334" t="s">
        <v>475</v>
      </c>
      <c r="K3477" s="1335" t="s">
        <v>486</v>
      </c>
      <c r="L3477" s="180">
        <v>100</v>
      </c>
      <c r="M3477" t="s">
        <v>7833</v>
      </c>
      <c r="N3477" t="str">
        <f t="shared" si="218"/>
        <v>Holmes Street House (0042)</v>
      </c>
      <c r="O3477" t="s">
        <v>59</v>
      </c>
      <c r="P3477" t="str">
        <f t="shared" si="219"/>
        <v>76000_0042</v>
      </c>
      <c r="Q3477" s="180">
        <v>0</v>
      </c>
    </row>
    <row r="3478" spans="1:17">
      <c r="A3478" t="str">
        <f t="shared" si="216"/>
        <v>GSC_0043</v>
      </c>
      <c r="B3478" t="str">
        <f t="shared" si="217"/>
        <v>GSC_Gordon Village</v>
      </c>
      <c r="C3478" t="s">
        <v>463</v>
      </c>
      <c r="D3478" s="180" t="s">
        <v>24</v>
      </c>
      <c r="E3478" t="s">
        <v>3774</v>
      </c>
      <c r="F3478" t="s">
        <v>6501</v>
      </c>
      <c r="G3478" s="180">
        <v>132495</v>
      </c>
      <c r="H3478">
        <v>2008</v>
      </c>
      <c r="J3478" s="1334" t="s">
        <v>486</v>
      </c>
      <c r="K3478" s="1335" t="s">
        <v>475</v>
      </c>
      <c r="L3478" s="180">
        <v>0</v>
      </c>
      <c r="M3478" t="s">
        <v>7833</v>
      </c>
      <c r="N3478" t="str">
        <f t="shared" si="218"/>
        <v>Gordon Village (0043)</v>
      </c>
      <c r="O3478" t="s">
        <v>59</v>
      </c>
      <c r="P3478" t="str">
        <f t="shared" si="219"/>
        <v>76000_0043</v>
      </c>
      <c r="Q3478" s="180">
        <v>0</v>
      </c>
    </row>
    <row r="3479" spans="1:17">
      <c r="A3479" t="str">
        <f t="shared" si="216"/>
        <v>GSC_0044</v>
      </c>
      <c r="B3479" t="str">
        <f t="shared" si="217"/>
        <v>GSC_Storage Student Center</v>
      </c>
      <c r="C3479" t="s">
        <v>463</v>
      </c>
      <c r="D3479" s="180" t="s">
        <v>24</v>
      </c>
      <c r="E3479" t="s">
        <v>1707</v>
      </c>
      <c r="F3479" t="s">
        <v>6508</v>
      </c>
      <c r="G3479" s="180">
        <v>814</v>
      </c>
      <c r="H3479">
        <v>2006</v>
      </c>
      <c r="J3479" s="1334" t="s">
        <v>475</v>
      </c>
      <c r="K3479" s="1335" t="s">
        <v>475</v>
      </c>
      <c r="L3479" s="180">
        <v>0</v>
      </c>
      <c r="M3479" t="s">
        <v>7833</v>
      </c>
      <c r="N3479" t="str">
        <f t="shared" si="218"/>
        <v>Storage Student Center (0044)</v>
      </c>
      <c r="O3479" t="s">
        <v>59</v>
      </c>
      <c r="P3479" t="str">
        <f t="shared" si="219"/>
        <v>76000_0044</v>
      </c>
      <c r="Q3479" s="180">
        <v>0</v>
      </c>
    </row>
    <row r="3480" spans="1:17">
      <c r="A3480" t="str">
        <f t="shared" si="216"/>
        <v>GSC_0045</v>
      </c>
      <c r="B3480" t="str">
        <f t="shared" si="217"/>
        <v>GSC_225 Georgia Avenue House</v>
      </c>
      <c r="C3480" t="s">
        <v>463</v>
      </c>
      <c r="D3480" s="180" t="s">
        <v>24</v>
      </c>
      <c r="E3480" t="s">
        <v>594</v>
      </c>
      <c r="F3480" t="s">
        <v>6489</v>
      </c>
      <c r="G3480" s="180">
        <v>1790</v>
      </c>
      <c r="H3480">
        <v>1939</v>
      </c>
      <c r="I3480">
        <v>2010</v>
      </c>
      <c r="J3480" s="1334" t="s">
        <v>475</v>
      </c>
      <c r="K3480" s="1335" t="s">
        <v>475</v>
      </c>
      <c r="L3480" s="180">
        <v>100</v>
      </c>
      <c r="M3480" t="s">
        <v>7833</v>
      </c>
      <c r="N3480" t="str">
        <f t="shared" si="218"/>
        <v>225 Georgia Avenue House (0045)</v>
      </c>
      <c r="O3480" t="s">
        <v>59</v>
      </c>
      <c r="P3480" t="str">
        <f t="shared" si="219"/>
        <v>76000_0045</v>
      </c>
      <c r="Q3480" s="180">
        <v>0</v>
      </c>
    </row>
    <row r="3481" spans="1:17">
      <c r="A3481" t="str">
        <f t="shared" si="216"/>
        <v>GSC_0046</v>
      </c>
      <c r="B3481" t="str">
        <f t="shared" si="217"/>
        <v>GSC_Nurs &amp; Hlth Sciences</v>
      </c>
      <c r="C3481" t="s">
        <v>463</v>
      </c>
      <c r="D3481" s="180" t="s">
        <v>24</v>
      </c>
      <c r="E3481" t="s">
        <v>3952</v>
      </c>
      <c r="F3481" t="s">
        <v>6484</v>
      </c>
      <c r="G3481" s="180">
        <v>59309</v>
      </c>
      <c r="H3481">
        <v>2010</v>
      </c>
      <c r="J3481" s="1334" t="s">
        <v>520</v>
      </c>
      <c r="K3481" s="1335" t="s">
        <v>475</v>
      </c>
      <c r="L3481" s="180">
        <v>100</v>
      </c>
      <c r="M3481" t="s">
        <v>7833</v>
      </c>
      <c r="N3481" t="str">
        <f t="shared" si="218"/>
        <v>Nurs &amp; Hlth Sciences (0046)</v>
      </c>
      <c r="O3481" t="s">
        <v>59</v>
      </c>
      <c r="P3481" t="str">
        <f t="shared" si="219"/>
        <v>76000_0046</v>
      </c>
      <c r="Q3481" s="180">
        <v>0</v>
      </c>
    </row>
    <row r="3482" spans="1:17">
      <c r="A3482" t="str">
        <f t="shared" si="216"/>
        <v>GSC_0047</v>
      </c>
      <c r="B3482" t="str">
        <f t="shared" si="217"/>
        <v>GSC_Greenhouse</v>
      </c>
      <c r="C3482" t="s">
        <v>463</v>
      </c>
      <c r="D3482" s="180" t="s">
        <v>24</v>
      </c>
      <c r="E3482" t="s">
        <v>598</v>
      </c>
      <c r="F3482" t="s">
        <v>1278</v>
      </c>
      <c r="G3482" s="180">
        <v>720</v>
      </c>
      <c r="H3482">
        <v>2011</v>
      </c>
      <c r="J3482" s="1334" t="s">
        <v>475</v>
      </c>
      <c r="K3482" s="1335" t="s">
        <v>475</v>
      </c>
      <c r="L3482" s="180">
        <v>100</v>
      </c>
      <c r="M3482" t="s">
        <v>7833</v>
      </c>
      <c r="N3482" t="str">
        <f t="shared" si="218"/>
        <v>Greenhouse (0047)</v>
      </c>
      <c r="O3482" t="s">
        <v>59</v>
      </c>
      <c r="P3482" t="str">
        <f t="shared" si="219"/>
        <v>76000_0047</v>
      </c>
      <c r="Q3482" s="180">
        <v>0</v>
      </c>
    </row>
    <row r="3483" spans="1:17">
      <c r="A3483" t="str">
        <f t="shared" si="216"/>
        <v>GSC_0048</v>
      </c>
      <c r="B3483" t="str">
        <f t="shared" si="217"/>
        <v>GSC_Athletic Equipment Storage</v>
      </c>
      <c r="C3483" t="s">
        <v>463</v>
      </c>
      <c r="D3483" s="180" t="s">
        <v>24</v>
      </c>
      <c r="E3483" t="s">
        <v>1105</v>
      </c>
      <c r="F3483" t="s">
        <v>6513</v>
      </c>
      <c r="G3483" s="180">
        <v>288</v>
      </c>
      <c r="H3483">
        <v>2011</v>
      </c>
      <c r="J3483" s="1334" t="s">
        <v>475</v>
      </c>
      <c r="K3483" s="1335" t="s">
        <v>475</v>
      </c>
      <c r="L3483" s="180">
        <v>100</v>
      </c>
      <c r="M3483" t="s">
        <v>7833</v>
      </c>
      <c r="N3483" t="str">
        <f t="shared" si="218"/>
        <v>Athletic Equipment Storage (0048)</v>
      </c>
      <c r="O3483" t="s">
        <v>59</v>
      </c>
      <c r="P3483" t="str">
        <f t="shared" si="219"/>
        <v>76000_0048</v>
      </c>
      <c r="Q3483" s="180">
        <v>0</v>
      </c>
    </row>
    <row r="3484" spans="1:17">
      <c r="A3484" t="str">
        <f t="shared" si="216"/>
        <v>GSC_0049</v>
      </c>
      <c r="B3484" t="str">
        <f t="shared" si="217"/>
        <v>GSC_Student Activity &amp; Recreation</v>
      </c>
      <c r="C3484" t="s">
        <v>463</v>
      </c>
      <c r="D3484" s="180" t="s">
        <v>24</v>
      </c>
      <c r="E3484" t="s">
        <v>4269</v>
      </c>
      <c r="F3484" t="s">
        <v>6495</v>
      </c>
      <c r="G3484" s="180">
        <v>55272</v>
      </c>
      <c r="H3484">
        <v>2015</v>
      </c>
      <c r="J3484" s="1334" t="s">
        <v>486</v>
      </c>
      <c r="K3484" s="1335" t="s">
        <v>475</v>
      </c>
      <c r="L3484" s="180">
        <v>88</v>
      </c>
      <c r="M3484" t="s">
        <v>7833</v>
      </c>
      <c r="N3484" t="str">
        <f t="shared" si="218"/>
        <v>Student Activity &amp; Recreation (0049)</v>
      </c>
      <c r="O3484" t="s">
        <v>59</v>
      </c>
      <c r="P3484" t="str">
        <f t="shared" si="219"/>
        <v>76000_0049</v>
      </c>
      <c r="Q3484" s="180">
        <v>0</v>
      </c>
    </row>
    <row r="3485" spans="1:17">
      <c r="A3485" t="str">
        <f t="shared" si="216"/>
        <v>GSC_0050</v>
      </c>
      <c r="B3485" t="str">
        <f t="shared" si="217"/>
        <v>GSC_301 Spencer House</v>
      </c>
      <c r="C3485" t="s">
        <v>463</v>
      </c>
      <c r="D3485" s="180" t="s">
        <v>24</v>
      </c>
      <c r="E3485" t="s">
        <v>906</v>
      </c>
      <c r="F3485" t="s">
        <v>6490</v>
      </c>
      <c r="G3485" s="180">
        <v>2046</v>
      </c>
      <c r="H3485">
        <v>1952</v>
      </c>
      <c r="I3485">
        <v>2019</v>
      </c>
      <c r="J3485" s="1334" t="s">
        <v>475</v>
      </c>
      <c r="K3485" s="1335" t="s">
        <v>475</v>
      </c>
      <c r="L3485" s="180">
        <v>100</v>
      </c>
      <c r="M3485" t="s">
        <v>7833</v>
      </c>
      <c r="N3485" t="str">
        <f t="shared" si="218"/>
        <v>301 Spencer House (0050)</v>
      </c>
      <c r="O3485" t="s">
        <v>59</v>
      </c>
      <c r="P3485" t="str">
        <f t="shared" si="219"/>
        <v>76000_0050</v>
      </c>
      <c r="Q3485" s="180">
        <v>0</v>
      </c>
    </row>
    <row r="3486" spans="1:17">
      <c r="A3486" t="str">
        <f t="shared" si="216"/>
        <v>GSC_0052</v>
      </c>
      <c r="B3486" t="str">
        <f t="shared" si="217"/>
        <v>GSC_Student Services Center</v>
      </c>
      <c r="C3486" t="s">
        <v>463</v>
      </c>
      <c r="D3486" s="180" t="s">
        <v>24</v>
      </c>
      <c r="E3486" t="s">
        <v>533</v>
      </c>
      <c r="F3486" t="s">
        <v>6496</v>
      </c>
      <c r="G3486" s="180">
        <v>11321</v>
      </c>
      <c r="H3486">
        <v>2018</v>
      </c>
      <c r="J3486" s="1334" t="s">
        <v>475</v>
      </c>
      <c r="K3486" s="1335" t="s">
        <v>475</v>
      </c>
      <c r="L3486" s="180">
        <v>100</v>
      </c>
      <c r="M3486" t="s">
        <v>7833</v>
      </c>
      <c r="N3486" t="str">
        <f t="shared" si="218"/>
        <v>Student Services Center (0052)</v>
      </c>
      <c r="O3486" t="s">
        <v>59</v>
      </c>
      <c r="P3486" t="str">
        <f t="shared" si="219"/>
        <v>76000_0052</v>
      </c>
      <c r="Q3486" s="180">
        <v>0</v>
      </c>
    </row>
    <row r="3487" spans="1:17">
      <c r="A3487" t="str">
        <f t="shared" si="216"/>
        <v>MGA_000A</v>
      </c>
      <c r="B3487" t="str">
        <f t="shared" si="217"/>
        <v>MGA_ADMINISTRATION</v>
      </c>
      <c r="C3487" t="s">
        <v>464</v>
      </c>
      <c r="D3487" s="180" t="s">
        <v>60</v>
      </c>
      <c r="E3487" t="s">
        <v>5632</v>
      </c>
      <c r="F3487" t="s">
        <v>1719</v>
      </c>
      <c r="G3487" s="180">
        <v>17028</v>
      </c>
      <c r="H3487">
        <v>1989</v>
      </c>
      <c r="J3487" s="1334" t="s">
        <v>475</v>
      </c>
      <c r="K3487" s="1335" t="s">
        <v>475</v>
      </c>
      <c r="L3487" s="180">
        <v>100</v>
      </c>
      <c r="M3487" t="s">
        <v>81</v>
      </c>
      <c r="N3487" t="str">
        <f t="shared" si="218"/>
        <v>ADMINISTRATION (000A)</v>
      </c>
      <c r="O3487" t="s">
        <v>63</v>
      </c>
      <c r="P3487" t="str">
        <f t="shared" si="219"/>
        <v>83000_000A</v>
      </c>
      <c r="Q3487" s="180">
        <v>0</v>
      </c>
    </row>
    <row r="3488" spans="1:17">
      <c r="A3488" t="str">
        <f t="shared" si="216"/>
        <v>MGA_000B</v>
      </c>
      <c r="B3488" t="str">
        <f t="shared" si="217"/>
        <v>MGA_CAMPUS SUPPORT SERVICES</v>
      </c>
      <c r="C3488" t="s">
        <v>464</v>
      </c>
      <c r="D3488" s="180" t="s">
        <v>60</v>
      </c>
      <c r="E3488" t="s">
        <v>5757</v>
      </c>
      <c r="F3488" t="s">
        <v>6518</v>
      </c>
      <c r="G3488" s="180">
        <v>21381</v>
      </c>
      <c r="H3488">
        <v>1968</v>
      </c>
      <c r="J3488" s="1334" t="s">
        <v>475</v>
      </c>
      <c r="K3488" s="1335" t="s">
        <v>475</v>
      </c>
      <c r="L3488" s="180">
        <v>100</v>
      </c>
      <c r="M3488" t="s">
        <v>81</v>
      </c>
      <c r="N3488" t="str">
        <f t="shared" si="218"/>
        <v>CAMPUS SUPPORT SERVICES (000B)</v>
      </c>
      <c r="O3488" t="s">
        <v>63</v>
      </c>
      <c r="P3488" t="str">
        <f t="shared" si="219"/>
        <v>83000_000B</v>
      </c>
      <c r="Q3488" s="180">
        <v>0</v>
      </c>
    </row>
    <row r="3489" spans="1:17">
      <c r="A3489" t="str">
        <f t="shared" si="216"/>
        <v>MGA_000E</v>
      </c>
      <c r="B3489" t="str">
        <f t="shared" si="217"/>
        <v>MGA_MUSIC BUILDING</v>
      </c>
      <c r="C3489" t="s">
        <v>464</v>
      </c>
      <c r="D3489" s="180" t="s">
        <v>60</v>
      </c>
      <c r="E3489" t="s">
        <v>4756</v>
      </c>
      <c r="F3489" t="s">
        <v>2532</v>
      </c>
      <c r="G3489" s="180">
        <v>16289</v>
      </c>
      <c r="H3489">
        <v>1968</v>
      </c>
      <c r="J3489" s="1334" t="s">
        <v>475</v>
      </c>
      <c r="K3489" s="1335" t="s">
        <v>475</v>
      </c>
      <c r="L3489" s="180">
        <v>100</v>
      </c>
      <c r="M3489" t="s">
        <v>81</v>
      </c>
      <c r="N3489" t="str">
        <f t="shared" si="218"/>
        <v>MUSIC BUILDING (000E)</v>
      </c>
      <c r="O3489" t="s">
        <v>63</v>
      </c>
      <c r="P3489" t="str">
        <f t="shared" si="219"/>
        <v>83000_000E</v>
      </c>
      <c r="Q3489" s="180">
        <v>0</v>
      </c>
    </row>
    <row r="3490" spans="1:17">
      <c r="A3490" t="str">
        <f t="shared" si="216"/>
        <v>MGA_000F</v>
      </c>
      <c r="B3490" t="str">
        <f t="shared" si="217"/>
        <v>MGA_BOILER HOUSE</v>
      </c>
      <c r="C3490" t="s">
        <v>464</v>
      </c>
      <c r="D3490" s="180" t="s">
        <v>60</v>
      </c>
      <c r="E3490" t="s">
        <v>6522</v>
      </c>
      <c r="F3490" t="s">
        <v>6523</v>
      </c>
      <c r="G3490" s="180">
        <v>2400</v>
      </c>
      <c r="H3490">
        <v>1968</v>
      </c>
      <c r="J3490" s="1334" t="s">
        <v>475</v>
      </c>
      <c r="K3490" s="1335" t="s">
        <v>475</v>
      </c>
      <c r="L3490" s="180">
        <v>100</v>
      </c>
      <c r="M3490" t="s">
        <v>81</v>
      </c>
      <c r="N3490" t="str">
        <f t="shared" si="218"/>
        <v>BOILER HOUSE (000F)</v>
      </c>
      <c r="O3490" t="s">
        <v>63</v>
      </c>
      <c r="P3490" t="str">
        <f t="shared" si="219"/>
        <v>83000_000F</v>
      </c>
      <c r="Q3490" s="180">
        <v>0</v>
      </c>
    </row>
    <row r="3491" spans="1:17">
      <c r="A3491" t="str">
        <f t="shared" si="216"/>
        <v>MGA_000G</v>
      </c>
      <c r="B3491" t="str">
        <f t="shared" si="217"/>
        <v>MGA_PLANT OPERATIONS</v>
      </c>
      <c r="C3491" t="s">
        <v>464</v>
      </c>
      <c r="D3491" s="180" t="s">
        <v>60</v>
      </c>
      <c r="E3491" t="s">
        <v>5617</v>
      </c>
      <c r="F3491" t="s">
        <v>6524</v>
      </c>
      <c r="G3491" s="180">
        <v>7585</v>
      </c>
      <c r="H3491">
        <v>1968</v>
      </c>
      <c r="J3491" s="1334" t="s">
        <v>475</v>
      </c>
      <c r="K3491" s="1335" t="s">
        <v>475</v>
      </c>
      <c r="L3491" s="180">
        <v>100</v>
      </c>
      <c r="M3491" t="s">
        <v>81</v>
      </c>
      <c r="N3491" t="str">
        <f t="shared" si="218"/>
        <v>PLANT OPERATIONS (000G)</v>
      </c>
      <c r="O3491" t="s">
        <v>63</v>
      </c>
      <c r="P3491" t="str">
        <f t="shared" si="219"/>
        <v>83000_000G</v>
      </c>
      <c r="Q3491" s="180">
        <v>0</v>
      </c>
    </row>
    <row r="3492" spans="1:17">
      <c r="A3492" t="str">
        <f t="shared" si="216"/>
        <v>MGA_000I</v>
      </c>
      <c r="B3492" t="str">
        <f t="shared" si="217"/>
        <v>MGA_ARTS COMPLEX</v>
      </c>
      <c r="C3492" t="s">
        <v>464</v>
      </c>
      <c r="D3492" s="180" t="s">
        <v>60</v>
      </c>
      <c r="E3492" t="s">
        <v>5612</v>
      </c>
      <c r="F3492" t="s">
        <v>6582</v>
      </c>
      <c r="G3492" s="180">
        <v>28525</v>
      </c>
      <c r="H3492">
        <v>1974</v>
      </c>
      <c r="J3492" s="1334" t="s">
        <v>475</v>
      </c>
      <c r="K3492" s="1335" t="s">
        <v>475</v>
      </c>
      <c r="L3492" s="180">
        <v>100</v>
      </c>
      <c r="M3492" t="s">
        <v>81</v>
      </c>
      <c r="N3492" t="str">
        <f t="shared" si="218"/>
        <v>ARTS COMPLEX (000I)</v>
      </c>
      <c r="O3492" t="s">
        <v>63</v>
      </c>
      <c r="P3492" t="str">
        <f t="shared" si="219"/>
        <v>83000_000I</v>
      </c>
      <c r="Q3492" s="180">
        <v>0</v>
      </c>
    </row>
    <row r="3493" spans="1:17">
      <c r="A3493" t="str">
        <f t="shared" si="216"/>
        <v>MGA_000J</v>
      </c>
      <c r="B3493" t="str">
        <f t="shared" si="217"/>
        <v>MGA_GYMNASIUM</v>
      </c>
      <c r="C3493" t="s">
        <v>464</v>
      </c>
      <c r="D3493" s="180" t="s">
        <v>60</v>
      </c>
      <c r="E3493" t="s">
        <v>5678</v>
      </c>
      <c r="F3493" t="s">
        <v>3664</v>
      </c>
      <c r="G3493" s="180">
        <v>18841</v>
      </c>
      <c r="H3493">
        <v>1974</v>
      </c>
      <c r="J3493" s="1334" t="s">
        <v>475</v>
      </c>
      <c r="K3493" s="1335" t="s">
        <v>475</v>
      </c>
      <c r="L3493" s="180">
        <v>100</v>
      </c>
      <c r="M3493" t="s">
        <v>81</v>
      </c>
      <c r="N3493" t="str">
        <f t="shared" si="218"/>
        <v>GYMNASIUM (000J)</v>
      </c>
      <c r="O3493" t="s">
        <v>63</v>
      </c>
      <c r="P3493" t="str">
        <f t="shared" si="219"/>
        <v>83000_000J</v>
      </c>
      <c r="Q3493" s="180">
        <v>0</v>
      </c>
    </row>
    <row r="3494" spans="1:17">
      <c r="A3494" t="str">
        <f t="shared" si="216"/>
        <v>MGA_000K</v>
      </c>
      <c r="B3494" t="str">
        <f t="shared" si="217"/>
        <v>MGA_MATHEMATICS</v>
      </c>
      <c r="C3494" t="s">
        <v>464</v>
      </c>
      <c r="D3494" s="180" t="s">
        <v>60</v>
      </c>
      <c r="E3494" t="s">
        <v>6514</v>
      </c>
      <c r="F3494" t="s">
        <v>6515</v>
      </c>
      <c r="G3494" s="180">
        <v>30693</v>
      </c>
      <c r="H3494">
        <v>1977</v>
      </c>
      <c r="J3494" s="1334" t="s">
        <v>475</v>
      </c>
      <c r="K3494" s="1335" t="s">
        <v>475</v>
      </c>
      <c r="L3494" s="180">
        <v>100</v>
      </c>
      <c r="M3494" t="s">
        <v>81</v>
      </c>
      <c r="N3494" t="str">
        <f t="shared" si="218"/>
        <v>MATHEMATICS (000K)</v>
      </c>
      <c r="O3494" t="s">
        <v>63</v>
      </c>
      <c r="P3494" t="str">
        <f t="shared" si="219"/>
        <v>83000_000K</v>
      </c>
      <c r="Q3494" s="180">
        <v>0</v>
      </c>
    </row>
    <row r="3495" spans="1:17">
      <c r="A3495" t="str">
        <f t="shared" si="216"/>
        <v>MGA_000L</v>
      </c>
      <c r="B3495" t="str">
        <f t="shared" si="217"/>
        <v>MGA_LIBRARY</v>
      </c>
      <c r="C3495" t="s">
        <v>464</v>
      </c>
      <c r="D3495" s="180" t="s">
        <v>60</v>
      </c>
      <c r="E3495" t="s">
        <v>6546</v>
      </c>
      <c r="F3495" t="s">
        <v>3822</v>
      </c>
      <c r="G3495" s="180">
        <v>59026</v>
      </c>
      <c r="H3495">
        <v>1968</v>
      </c>
      <c r="I3495">
        <v>1996</v>
      </c>
      <c r="J3495" s="1334" t="s">
        <v>475</v>
      </c>
      <c r="K3495" s="1335" t="s">
        <v>475</v>
      </c>
      <c r="L3495" s="180">
        <v>99</v>
      </c>
      <c r="M3495" t="s">
        <v>81</v>
      </c>
      <c r="N3495" t="str">
        <f t="shared" si="218"/>
        <v>LIBRARY (000L)</v>
      </c>
      <c r="O3495" t="s">
        <v>63</v>
      </c>
      <c r="P3495" t="str">
        <f t="shared" si="219"/>
        <v>83000_000L</v>
      </c>
      <c r="Q3495" s="180">
        <v>0</v>
      </c>
    </row>
    <row r="3496" spans="1:17">
      <c r="A3496" t="str">
        <f t="shared" si="216"/>
        <v>MGA_000M</v>
      </c>
      <c r="B3496" t="str">
        <f t="shared" si="217"/>
        <v>MGA_SCHOOL OF ARTS AND LETTERS</v>
      </c>
      <c r="C3496" t="s">
        <v>464</v>
      </c>
      <c r="D3496" s="180" t="s">
        <v>60</v>
      </c>
      <c r="E3496" t="s">
        <v>5624</v>
      </c>
      <c r="F3496" t="s">
        <v>6541</v>
      </c>
      <c r="G3496" s="180">
        <v>36502</v>
      </c>
      <c r="H3496">
        <v>1994</v>
      </c>
      <c r="J3496" s="1334" t="s">
        <v>520</v>
      </c>
      <c r="K3496" s="1335" t="s">
        <v>475</v>
      </c>
      <c r="L3496" s="180">
        <v>100</v>
      </c>
      <c r="M3496" t="s">
        <v>81</v>
      </c>
      <c r="N3496" t="str">
        <f t="shared" si="218"/>
        <v>SCHOOL OF ARTS AND LETTERS (000M)</v>
      </c>
      <c r="O3496" t="s">
        <v>63</v>
      </c>
      <c r="P3496" t="str">
        <f t="shared" si="219"/>
        <v>83000_000M</v>
      </c>
      <c r="Q3496" s="180">
        <v>0</v>
      </c>
    </row>
    <row r="3497" spans="1:17">
      <c r="A3497" t="str">
        <f t="shared" si="216"/>
        <v>MGA_000N</v>
      </c>
      <c r="B3497" t="str">
        <f t="shared" si="217"/>
        <v>MGA_TRANSFORMER/STORAGE</v>
      </c>
      <c r="C3497" t="s">
        <v>464</v>
      </c>
      <c r="D3497" s="180" t="s">
        <v>60</v>
      </c>
      <c r="E3497" t="s">
        <v>5708</v>
      </c>
      <c r="F3497" t="s">
        <v>6528</v>
      </c>
      <c r="G3497" s="180">
        <v>5000</v>
      </c>
      <c r="H3497">
        <v>2003</v>
      </c>
      <c r="J3497" s="1334" t="s">
        <v>520</v>
      </c>
      <c r="K3497" s="1335" t="s">
        <v>475</v>
      </c>
      <c r="L3497" s="180">
        <v>100</v>
      </c>
      <c r="M3497" t="s">
        <v>81</v>
      </c>
      <c r="N3497" t="str">
        <f t="shared" si="218"/>
        <v>TRANSFORMER/STORAGE (000N)</v>
      </c>
      <c r="O3497" t="s">
        <v>63</v>
      </c>
      <c r="P3497" t="str">
        <f t="shared" si="219"/>
        <v>83000_000N</v>
      </c>
      <c r="Q3497" s="180">
        <v>100</v>
      </c>
    </row>
    <row r="3498" spans="1:17">
      <c r="A3498" t="str">
        <f t="shared" si="216"/>
        <v>MGA_000S</v>
      </c>
      <c r="B3498" t="str">
        <f t="shared" si="217"/>
        <v>MGA_STUDENT LIFE CENTER</v>
      </c>
      <c r="C3498" t="s">
        <v>464</v>
      </c>
      <c r="D3498" s="180" t="s">
        <v>60</v>
      </c>
      <c r="E3498" t="s">
        <v>5675</v>
      </c>
      <c r="F3498" t="s">
        <v>6527</v>
      </c>
      <c r="G3498" s="180">
        <v>75494</v>
      </c>
      <c r="H3498">
        <v>1998</v>
      </c>
      <c r="J3498" s="1334" t="s">
        <v>520</v>
      </c>
      <c r="K3498" s="1335" t="s">
        <v>475</v>
      </c>
      <c r="L3498" s="180">
        <v>78</v>
      </c>
      <c r="M3498" t="s">
        <v>81</v>
      </c>
      <c r="N3498" t="str">
        <f t="shared" si="218"/>
        <v>STUDENT LIFE CENTER (000S)</v>
      </c>
      <c r="O3498" t="s">
        <v>63</v>
      </c>
      <c r="P3498" t="str">
        <f t="shared" si="219"/>
        <v>83000_000S</v>
      </c>
      <c r="Q3498" s="180">
        <v>0</v>
      </c>
    </row>
    <row r="3499" spans="1:17">
      <c r="A3499" t="str">
        <f t="shared" si="216"/>
        <v>MGA_0010</v>
      </c>
      <c r="B3499" t="str">
        <f t="shared" si="217"/>
        <v>MGA_SANFORD ADM BLDG</v>
      </c>
      <c r="C3499" t="s">
        <v>464</v>
      </c>
      <c r="D3499" s="180" t="s">
        <v>60</v>
      </c>
      <c r="E3499" t="s">
        <v>815</v>
      </c>
      <c r="F3499" t="s">
        <v>6553</v>
      </c>
      <c r="G3499" s="180">
        <v>10126</v>
      </c>
      <c r="H3499">
        <v>1938</v>
      </c>
      <c r="I3499">
        <v>2001</v>
      </c>
      <c r="J3499" s="1334" t="s">
        <v>475</v>
      </c>
      <c r="K3499" s="1335" t="s">
        <v>475</v>
      </c>
      <c r="L3499" s="180">
        <v>100</v>
      </c>
      <c r="M3499" t="s">
        <v>97</v>
      </c>
      <c r="N3499" t="str">
        <f t="shared" si="218"/>
        <v>SANFORD ADM BLDG (0010)</v>
      </c>
      <c r="O3499" t="s">
        <v>63</v>
      </c>
      <c r="P3499" t="str">
        <f t="shared" si="219"/>
        <v>83000_0010</v>
      </c>
      <c r="Q3499" s="180">
        <v>90</v>
      </c>
    </row>
    <row r="3500" spans="1:17">
      <c r="A3500" t="str">
        <f t="shared" si="216"/>
        <v>MGA_0020</v>
      </c>
      <c r="B3500" t="str">
        <f t="shared" si="217"/>
        <v>MGA_MEMORIAL HALL</v>
      </c>
      <c r="C3500" t="s">
        <v>464</v>
      </c>
      <c r="D3500" s="180" t="s">
        <v>60</v>
      </c>
      <c r="E3500" t="s">
        <v>529</v>
      </c>
      <c r="F3500" t="s">
        <v>4065</v>
      </c>
      <c r="G3500" s="180">
        <v>14962</v>
      </c>
      <c r="H3500">
        <v>1930</v>
      </c>
      <c r="I3500">
        <v>2002</v>
      </c>
      <c r="J3500" s="1334" t="s">
        <v>475</v>
      </c>
      <c r="K3500" s="1335" t="s">
        <v>475</v>
      </c>
      <c r="L3500" s="180">
        <v>100</v>
      </c>
      <c r="M3500" t="s">
        <v>97</v>
      </c>
      <c r="N3500" t="str">
        <f t="shared" si="218"/>
        <v>MEMORIAL HALL (0020)</v>
      </c>
      <c r="O3500" t="s">
        <v>63</v>
      </c>
      <c r="P3500" t="str">
        <f t="shared" si="219"/>
        <v>83000_0020</v>
      </c>
      <c r="Q3500" s="180">
        <v>0</v>
      </c>
    </row>
    <row r="3501" spans="1:17">
      <c r="A3501" t="str">
        <f t="shared" si="216"/>
        <v>MGA_0030</v>
      </c>
      <c r="B3501" t="str">
        <f t="shared" si="217"/>
        <v>MGA_ROBERTS LIBRARY</v>
      </c>
      <c r="C3501" t="s">
        <v>464</v>
      </c>
      <c r="D3501" s="180" t="s">
        <v>60</v>
      </c>
      <c r="E3501" t="s">
        <v>561</v>
      </c>
      <c r="F3501" t="s">
        <v>6443</v>
      </c>
      <c r="G3501" s="180">
        <v>51912</v>
      </c>
      <c r="H3501">
        <v>1965</v>
      </c>
      <c r="I3501">
        <v>2020</v>
      </c>
      <c r="J3501" s="1334" t="s">
        <v>475</v>
      </c>
      <c r="K3501" s="1335" t="s">
        <v>475</v>
      </c>
      <c r="L3501" s="180">
        <v>97</v>
      </c>
      <c r="M3501" t="s">
        <v>97</v>
      </c>
      <c r="N3501" t="str">
        <f t="shared" si="218"/>
        <v>ROBERTS LIBRARY (0030)</v>
      </c>
      <c r="O3501" t="s">
        <v>63</v>
      </c>
      <c r="P3501" t="str">
        <f t="shared" si="219"/>
        <v>83000_0030</v>
      </c>
      <c r="Q3501" s="180">
        <v>0</v>
      </c>
    </row>
    <row r="3502" spans="1:17">
      <c r="A3502" t="str">
        <f t="shared" si="216"/>
        <v>MGA_0040</v>
      </c>
      <c r="B3502" t="str">
        <f t="shared" si="217"/>
        <v>MGA_RUSSELL FINE ARTS</v>
      </c>
      <c r="C3502" t="s">
        <v>464</v>
      </c>
      <c r="D3502" s="180" t="s">
        <v>60</v>
      </c>
      <c r="E3502" t="s">
        <v>724</v>
      </c>
      <c r="F3502" t="s">
        <v>6520</v>
      </c>
      <c r="G3502" s="180">
        <v>48591</v>
      </c>
      <c r="H3502">
        <v>1971</v>
      </c>
      <c r="I3502">
        <v>2005</v>
      </c>
      <c r="J3502" s="1334" t="s">
        <v>475</v>
      </c>
      <c r="K3502" s="1335" t="s">
        <v>475</v>
      </c>
      <c r="L3502" s="180">
        <v>100</v>
      </c>
      <c r="M3502" t="s">
        <v>97</v>
      </c>
      <c r="N3502" t="str">
        <f t="shared" si="218"/>
        <v>RUSSELL FINE ARTS (0040)</v>
      </c>
      <c r="O3502" t="s">
        <v>63</v>
      </c>
      <c r="P3502" t="str">
        <f t="shared" si="219"/>
        <v>83000_0040</v>
      </c>
      <c r="Q3502" s="180">
        <v>0</v>
      </c>
    </row>
    <row r="3503" spans="1:17">
      <c r="A3503" t="str">
        <f t="shared" si="216"/>
        <v>MGA_0050</v>
      </c>
      <c r="B3503" t="str">
        <f t="shared" si="217"/>
        <v>MGA_DILLARD HALL</v>
      </c>
      <c r="C3503" t="s">
        <v>464</v>
      </c>
      <c r="D3503" s="180" t="s">
        <v>60</v>
      </c>
      <c r="E3503" t="s">
        <v>906</v>
      </c>
      <c r="F3503" t="s">
        <v>6577</v>
      </c>
      <c r="G3503" s="180">
        <v>40709</v>
      </c>
      <c r="H3503">
        <v>1958</v>
      </c>
      <c r="I3503">
        <v>2020</v>
      </c>
      <c r="J3503" s="1334" t="s">
        <v>520</v>
      </c>
      <c r="K3503" s="1335" t="s">
        <v>481</v>
      </c>
      <c r="L3503" s="180">
        <v>100</v>
      </c>
      <c r="M3503" t="s">
        <v>97</v>
      </c>
      <c r="N3503" t="str">
        <f t="shared" si="218"/>
        <v>DILLARD HALL (0050)</v>
      </c>
      <c r="O3503" t="s">
        <v>63</v>
      </c>
      <c r="P3503" t="str">
        <f t="shared" si="219"/>
        <v>83000_0050</v>
      </c>
      <c r="Q3503" s="180">
        <v>90</v>
      </c>
    </row>
    <row r="3504" spans="1:17">
      <c r="A3504" t="str">
        <f t="shared" si="216"/>
        <v>MGA_0051</v>
      </c>
      <c r="B3504" t="str">
        <f t="shared" si="217"/>
        <v>MGA_GREENHOUSE</v>
      </c>
      <c r="C3504" t="s">
        <v>464</v>
      </c>
      <c r="D3504" s="180" t="s">
        <v>60</v>
      </c>
      <c r="E3504" t="s">
        <v>600</v>
      </c>
      <c r="F3504" t="s">
        <v>4845</v>
      </c>
      <c r="G3504" s="180">
        <v>516</v>
      </c>
      <c r="H3504">
        <v>1972</v>
      </c>
      <c r="J3504" s="1334" t="s">
        <v>475</v>
      </c>
      <c r="K3504" s="1335" t="s">
        <v>475</v>
      </c>
      <c r="L3504" s="180">
        <v>100</v>
      </c>
      <c r="M3504" t="s">
        <v>97</v>
      </c>
      <c r="N3504" t="str">
        <f t="shared" si="218"/>
        <v>GREENHOUSE (0051)</v>
      </c>
      <c r="O3504" t="s">
        <v>63</v>
      </c>
      <c r="P3504" t="str">
        <f t="shared" si="219"/>
        <v>83000_0051</v>
      </c>
      <c r="Q3504" s="180">
        <v>0</v>
      </c>
    </row>
    <row r="3505" spans="1:17">
      <c r="A3505" t="str">
        <f t="shared" si="216"/>
        <v>MGA_0060</v>
      </c>
      <c r="B3505" t="str">
        <f t="shared" si="217"/>
        <v>MGA_HARRIS HALL</v>
      </c>
      <c r="C3505" t="s">
        <v>464</v>
      </c>
      <c r="D3505" s="180" t="s">
        <v>60</v>
      </c>
      <c r="E3505" t="s">
        <v>1113</v>
      </c>
      <c r="F3505" t="s">
        <v>6559</v>
      </c>
      <c r="G3505" s="180">
        <v>56934</v>
      </c>
      <c r="H3505">
        <v>2007</v>
      </c>
      <c r="J3505" s="1334" t="s">
        <v>486</v>
      </c>
      <c r="K3505" s="1335" t="s">
        <v>475</v>
      </c>
      <c r="L3505" s="180">
        <v>0</v>
      </c>
      <c r="M3505" t="s">
        <v>97</v>
      </c>
      <c r="N3505" t="str">
        <f t="shared" si="218"/>
        <v>HARRIS HALL (0060)</v>
      </c>
      <c r="O3505" t="s">
        <v>63</v>
      </c>
      <c r="P3505" t="str">
        <f t="shared" si="219"/>
        <v>83000_0060</v>
      </c>
      <c r="Q3505" s="180">
        <v>0</v>
      </c>
    </row>
    <row r="3506" spans="1:17">
      <c r="A3506" t="str">
        <f t="shared" si="216"/>
        <v>MGA_0070</v>
      </c>
      <c r="B3506" t="str">
        <f t="shared" si="217"/>
        <v>MGA_TALMADGE HALL</v>
      </c>
      <c r="C3506" t="s">
        <v>464</v>
      </c>
      <c r="D3506" s="180" t="s">
        <v>60</v>
      </c>
      <c r="E3506" t="s">
        <v>4621</v>
      </c>
      <c r="F3506" t="s">
        <v>6593</v>
      </c>
      <c r="G3506" s="180">
        <v>14402</v>
      </c>
      <c r="H3506">
        <v>1952</v>
      </c>
      <c r="I3506">
        <v>2003</v>
      </c>
      <c r="J3506" s="1334" t="s">
        <v>475</v>
      </c>
      <c r="K3506" s="1335" t="s">
        <v>475</v>
      </c>
      <c r="L3506" s="180">
        <v>0</v>
      </c>
      <c r="M3506" t="s">
        <v>97</v>
      </c>
      <c r="N3506" t="str">
        <f t="shared" si="218"/>
        <v>TALMADGE HALL (0070)</v>
      </c>
      <c r="O3506" t="s">
        <v>63</v>
      </c>
      <c r="P3506" t="str">
        <f t="shared" si="219"/>
        <v>83000_0070</v>
      </c>
      <c r="Q3506" s="180">
        <v>3</v>
      </c>
    </row>
    <row r="3507" spans="1:17">
      <c r="A3507" t="str">
        <f t="shared" si="216"/>
        <v>MGA_0080</v>
      </c>
      <c r="B3507" t="str">
        <f t="shared" si="217"/>
        <v>MGA_BROWNING HALL</v>
      </c>
      <c r="C3507" t="s">
        <v>464</v>
      </c>
      <c r="D3507" s="180" t="s">
        <v>60</v>
      </c>
      <c r="E3507" t="s">
        <v>1050</v>
      </c>
      <c r="F3507" t="s">
        <v>6596</v>
      </c>
      <c r="G3507" s="180">
        <v>14688</v>
      </c>
      <c r="H3507">
        <v>1936</v>
      </c>
      <c r="I3507">
        <v>2006</v>
      </c>
      <c r="J3507" s="1334" t="s">
        <v>520</v>
      </c>
      <c r="K3507" s="1335" t="s">
        <v>475</v>
      </c>
      <c r="L3507" s="180">
        <v>0</v>
      </c>
      <c r="M3507" t="s">
        <v>97</v>
      </c>
      <c r="N3507" t="str">
        <f t="shared" si="218"/>
        <v>BROWNING HALL (0080)</v>
      </c>
      <c r="O3507" t="s">
        <v>63</v>
      </c>
      <c r="P3507" t="str">
        <f t="shared" si="219"/>
        <v>83000_0080</v>
      </c>
      <c r="Q3507" s="180">
        <v>1</v>
      </c>
    </row>
    <row r="3508" spans="1:17">
      <c r="A3508" t="str">
        <f t="shared" si="216"/>
        <v>MGA_0090</v>
      </c>
      <c r="B3508" t="str">
        <f t="shared" si="217"/>
        <v>MGA_PEACOCK OFFICE BLD</v>
      </c>
      <c r="C3508" t="s">
        <v>464</v>
      </c>
      <c r="D3508" s="180" t="s">
        <v>60</v>
      </c>
      <c r="E3508" t="s">
        <v>656</v>
      </c>
      <c r="F3508" t="s">
        <v>6570</v>
      </c>
      <c r="G3508" s="180">
        <v>9630</v>
      </c>
      <c r="H3508">
        <v>1934</v>
      </c>
      <c r="I3508">
        <v>1969</v>
      </c>
      <c r="J3508" s="1334" t="s">
        <v>475</v>
      </c>
      <c r="K3508" s="1335" t="s">
        <v>520</v>
      </c>
      <c r="L3508" s="180">
        <v>100</v>
      </c>
      <c r="M3508" t="s">
        <v>97</v>
      </c>
      <c r="N3508" t="str">
        <f t="shared" si="218"/>
        <v>PEACOCK OFFICE BLD (0090)</v>
      </c>
      <c r="O3508" t="s">
        <v>63</v>
      </c>
      <c r="P3508" t="str">
        <f t="shared" si="219"/>
        <v>83000_0090</v>
      </c>
      <c r="Q3508" s="180">
        <v>1</v>
      </c>
    </row>
    <row r="3509" spans="1:17">
      <c r="A3509" t="str">
        <f t="shared" si="216"/>
        <v>MGA_0100</v>
      </c>
      <c r="B3509" t="str">
        <f t="shared" si="217"/>
        <v>MGA_WALKER CLASS RM</v>
      </c>
      <c r="C3509" t="s">
        <v>464</v>
      </c>
      <c r="D3509" s="180" t="s">
        <v>60</v>
      </c>
      <c r="E3509" t="s">
        <v>684</v>
      </c>
      <c r="F3509" t="s">
        <v>6534</v>
      </c>
      <c r="G3509" s="180">
        <v>31219</v>
      </c>
      <c r="H3509">
        <v>1928</v>
      </c>
      <c r="I3509">
        <v>1999</v>
      </c>
      <c r="J3509" s="1334" t="s">
        <v>475</v>
      </c>
      <c r="K3509" s="1335" t="s">
        <v>475</v>
      </c>
      <c r="L3509" s="180">
        <v>100</v>
      </c>
      <c r="M3509" t="s">
        <v>97</v>
      </c>
      <c r="N3509" t="str">
        <f t="shared" si="218"/>
        <v>WALKER CLASS RM (0100)</v>
      </c>
      <c r="O3509" t="s">
        <v>63</v>
      </c>
      <c r="P3509" t="str">
        <f t="shared" si="219"/>
        <v>83000_0100</v>
      </c>
      <c r="Q3509" s="180">
        <v>1</v>
      </c>
    </row>
    <row r="3510" spans="1:17">
      <c r="A3510" t="str">
        <f t="shared" si="216"/>
        <v>MGA_0110</v>
      </c>
      <c r="B3510" t="str">
        <f t="shared" si="217"/>
        <v>MGA_WIGGS OFFICE BLDG</v>
      </c>
      <c r="C3510" t="s">
        <v>464</v>
      </c>
      <c r="D3510" s="180" t="s">
        <v>60</v>
      </c>
      <c r="E3510" t="s">
        <v>666</v>
      </c>
      <c r="F3510" t="s">
        <v>6545</v>
      </c>
      <c r="G3510" s="180">
        <v>9263</v>
      </c>
      <c r="H3510">
        <v>1922</v>
      </c>
      <c r="I3510">
        <v>1970</v>
      </c>
      <c r="J3510" s="1334" t="s">
        <v>475</v>
      </c>
      <c r="K3510" s="1335" t="s">
        <v>475</v>
      </c>
      <c r="L3510" s="180">
        <v>100</v>
      </c>
      <c r="M3510" t="s">
        <v>97</v>
      </c>
      <c r="N3510" t="str">
        <f t="shared" si="218"/>
        <v>WIGGS OFFICE BLDG (0110)</v>
      </c>
      <c r="O3510" t="s">
        <v>63</v>
      </c>
      <c r="P3510" t="str">
        <f t="shared" si="219"/>
        <v>83000_0110</v>
      </c>
      <c r="Q3510" s="180">
        <v>0</v>
      </c>
    </row>
    <row r="3511" spans="1:17">
      <c r="A3511" t="str">
        <f t="shared" si="216"/>
        <v>MGA_0120</v>
      </c>
      <c r="B3511" t="str">
        <f t="shared" si="217"/>
        <v>MGA_JACKSON HALL</v>
      </c>
      <c r="C3511" t="s">
        <v>464</v>
      </c>
      <c r="D3511" s="180" t="s">
        <v>60</v>
      </c>
      <c r="E3511" t="s">
        <v>1812</v>
      </c>
      <c r="F3511" t="s">
        <v>6562</v>
      </c>
      <c r="G3511" s="180">
        <v>9025</v>
      </c>
      <c r="H3511">
        <v>1963</v>
      </c>
      <c r="I3511">
        <v>1970</v>
      </c>
      <c r="J3511" s="1334" t="s">
        <v>475</v>
      </c>
      <c r="K3511" s="1335" t="s">
        <v>475</v>
      </c>
      <c r="L3511" s="180">
        <v>100</v>
      </c>
      <c r="M3511" t="s">
        <v>97</v>
      </c>
      <c r="N3511" t="str">
        <f t="shared" si="218"/>
        <v>JACKSON HALL (0120)</v>
      </c>
      <c r="O3511" t="s">
        <v>63</v>
      </c>
      <c r="P3511" t="str">
        <f t="shared" si="219"/>
        <v>83000_0120</v>
      </c>
      <c r="Q3511" s="180">
        <v>1</v>
      </c>
    </row>
    <row r="3512" spans="1:17">
      <c r="A3512" t="str">
        <f t="shared" si="216"/>
        <v>MGA_0130</v>
      </c>
      <c r="B3512" t="str">
        <f t="shared" si="217"/>
        <v>MGA_EBENEZER HALL</v>
      </c>
      <c r="C3512" t="s">
        <v>464</v>
      </c>
      <c r="D3512" s="180" t="s">
        <v>60</v>
      </c>
      <c r="E3512" t="s">
        <v>753</v>
      </c>
      <c r="F3512" t="s">
        <v>6530</v>
      </c>
      <c r="G3512" s="180">
        <v>2900</v>
      </c>
      <c r="H3512">
        <v>1890</v>
      </c>
      <c r="I3512">
        <v>1969</v>
      </c>
      <c r="J3512" s="1334" t="s">
        <v>475</v>
      </c>
      <c r="K3512" s="1335" t="s">
        <v>475</v>
      </c>
      <c r="L3512" s="180">
        <v>100</v>
      </c>
      <c r="M3512" t="s">
        <v>97</v>
      </c>
      <c r="N3512" t="str">
        <f t="shared" si="218"/>
        <v>EBENEZER HALL (0130)</v>
      </c>
      <c r="O3512" t="s">
        <v>63</v>
      </c>
      <c r="P3512" t="str">
        <f t="shared" si="219"/>
        <v>83000_0130</v>
      </c>
      <c r="Q3512" s="180">
        <v>0</v>
      </c>
    </row>
    <row r="3513" spans="1:17">
      <c r="A3513" t="str">
        <f t="shared" si="216"/>
        <v>MGA_0140</v>
      </c>
      <c r="B3513" t="str">
        <f t="shared" si="217"/>
        <v>MGA_GRACE HALL</v>
      </c>
      <c r="C3513" t="s">
        <v>464</v>
      </c>
      <c r="D3513" s="180" t="s">
        <v>60</v>
      </c>
      <c r="E3513" t="s">
        <v>700</v>
      </c>
      <c r="F3513" t="s">
        <v>6549</v>
      </c>
      <c r="G3513" s="180">
        <v>20224</v>
      </c>
      <c r="H3513">
        <v>1962</v>
      </c>
      <c r="I3513">
        <v>2008</v>
      </c>
      <c r="J3513" s="1334" t="s">
        <v>475</v>
      </c>
      <c r="K3513" s="1335" t="s">
        <v>475</v>
      </c>
      <c r="L3513" s="180">
        <v>100</v>
      </c>
      <c r="M3513" t="s">
        <v>97</v>
      </c>
      <c r="N3513" t="str">
        <f t="shared" si="218"/>
        <v>GRACE HALL (0140)</v>
      </c>
      <c r="O3513" t="s">
        <v>63</v>
      </c>
      <c r="P3513" t="str">
        <f t="shared" si="219"/>
        <v>83000_0140</v>
      </c>
      <c r="Q3513" s="180">
        <v>0</v>
      </c>
    </row>
    <row r="3514" spans="1:17">
      <c r="A3514" t="str">
        <f t="shared" si="216"/>
        <v>MGA_0145</v>
      </c>
      <c r="B3514" t="str">
        <f t="shared" si="217"/>
        <v>MGA_WELCH HALL</v>
      </c>
      <c r="C3514" t="s">
        <v>464</v>
      </c>
      <c r="D3514" s="180" t="s">
        <v>60</v>
      </c>
      <c r="E3514" t="s">
        <v>791</v>
      </c>
      <c r="F3514" t="s">
        <v>6580</v>
      </c>
      <c r="G3514" s="180">
        <v>10433</v>
      </c>
      <c r="H3514">
        <v>2007</v>
      </c>
      <c r="J3514" s="1334" t="s">
        <v>520</v>
      </c>
      <c r="K3514" s="1335" t="s">
        <v>475</v>
      </c>
      <c r="L3514" s="180">
        <v>100</v>
      </c>
      <c r="M3514" t="s">
        <v>97</v>
      </c>
      <c r="N3514" t="str">
        <f t="shared" si="218"/>
        <v>WELCH HALL (0145)</v>
      </c>
      <c r="O3514" t="s">
        <v>63</v>
      </c>
      <c r="P3514" t="str">
        <f t="shared" si="219"/>
        <v>83000_0145</v>
      </c>
      <c r="Q3514" s="180">
        <v>0</v>
      </c>
    </row>
    <row r="3515" spans="1:17">
      <c r="A3515" t="str">
        <f t="shared" si="216"/>
        <v>MGA_0146</v>
      </c>
      <c r="B3515" t="str">
        <f t="shared" si="217"/>
        <v>MGA_GATEWAY HALL</v>
      </c>
      <c r="C3515" t="s">
        <v>464</v>
      </c>
      <c r="D3515" s="180" t="s">
        <v>60</v>
      </c>
      <c r="E3515" t="s">
        <v>918</v>
      </c>
      <c r="F3515" t="s">
        <v>6556</v>
      </c>
      <c r="G3515" s="180">
        <v>91129</v>
      </c>
      <c r="H3515">
        <v>2006</v>
      </c>
      <c r="J3515" s="1334" t="s">
        <v>486</v>
      </c>
      <c r="K3515" s="1335" t="s">
        <v>475</v>
      </c>
      <c r="L3515" s="180">
        <v>0</v>
      </c>
      <c r="M3515" t="s">
        <v>97</v>
      </c>
      <c r="N3515" t="str">
        <f t="shared" si="218"/>
        <v>GATEWAY HALL (0146)</v>
      </c>
      <c r="O3515" t="s">
        <v>63</v>
      </c>
      <c r="P3515" t="str">
        <f t="shared" si="219"/>
        <v>83000_0146</v>
      </c>
      <c r="Q3515" s="180">
        <v>0</v>
      </c>
    </row>
    <row r="3516" spans="1:17">
      <c r="A3516" t="str">
        <f t="shared" si="216"/>
        <v>MGA_0147</v>
      </c>
      <c r="B3516" t="str">
        <f t="shared" si="217"/>
        <v>MGA_ANDERSON HALL</v>
      </c>
      <c r="C3516" t="s">
        <v>464</v>
      </c>
      <c r="D3516" s="180" t="s">
        <v>60</v>
      </c>
      <c r="E3516" t="s">
        <v>570</v>
      </c>
      <c r="F3516" t="s">
        <v>6569</v>
      </c>
      <c r="G3516" s="180">
        <v>63124</v>
      </c>
      <c r="H3516">
        <v>2006</v>
      </c>
      <c r="J3516" s="1334" t="s">
        <v>486</v>
      </c>
      <c r="K3516" s="1335" t="s">
        <v>475</v>
      </c>
      <c r="L3516" s="180">
        <v>0</v>
      </c>
      <c r="M3516" t="s">
        <v>97</v>
      </c>
      <c r="N3516" t="str">
        <f t="shared" si="218"/>
        <v>ANDERSON HALL (0147)</v>
      </c>
      <c r="O3516" t="s">
        <v>63</v>
      </c>
      <c r="P3516" t="str">
        <f t="shared" si="219"/>
        <v>83000_0147</v>
      </c>
      <c r="Q3516" s="180">
        <v>0</v>
      </c>
    </row>
    <row r="3517" spans="1:17">
      <c r="A3517" t="str">
        <f t="shared" si="216"/>
        <v>MGA_0148</v>
      </c>
      <c r="B3517" t="str">
        <f t="shared" si="217"/>
        <v>MGA_REGENTS HALL</v>
      </c>
      <c r="C3517" t="s">
        <v>464</v>
      </c>
      <c r="D3517" s="180" t="s">
        <v>60</v>
      </c>
      <c r="E3517" t="s">
        <v>896</v>
      </c>
      <c r="F3517" t="s">
        <v>6572</v>
      </c>
      <c r="G3517" s="180">
        <v>82587</v>
      </c>
      <c r="H3517">
        <v>2008</v>
      </c>
      <c r="J3517" s="1334" t="s">
        <v>486</v>
      </c>
      <c r="K3517" s="1335" t="s">
        <v>475</v>
      </c>
      <c r="L3517" s="180">
        <v>0</v>
      </c>
      <c r="M3517" t="s">
        <v>97</v>
      </c>
      <c r="N3517" t="str">
        <f t="shared" si="218"/>
        <v>REGENTS HALL (0148)</v>
      </c>
      <c r="O3517" t="s">
        <v>63</v>
      </c>
      <c r="P3517" t="str">
        <f t="shared" si="219"/>
        <v>83000_0148</v>
      </c>
      <c r="Q3517" s="180">
        <v>0</v>
      </c>
    </row>
    <row r="3518" spans="1:17">
      <c r="A3518" t="str">
        <f t="shared" si="216"/>
        <v>MGA_0149</v>
      </c>
      <c r="B3518" t="str">
        <f t="shared" si="217"/>
        <v>MGA_ADMISSIONS &amp; WELCOME CENTER</v>
      </c>
      <c r="C3518" t="s">
        <v>464</v>
      </c>
      <c r="D3518" s="180" t="s">
        <v>60</v>
      </c>
      <c r="E3518" t="s">
        <v>888</v>
      </c>
      <c r="F3518" t="s">
        <v>6547</v>
      </c>
      <c r="G3518" s="180">
        <v>3131</v>
      </c>
      <c r="H3518">
        <v>1965</v>
      </c>
      <c r="J3518" s="1334" t="s">
        <v>475</v>
      </c>
      <c r="K3518" s="1335" t="s">
        <v>475</v>
      </c>
      <c r="L3518" s="180">
        <v>100</v>
      </c>
      <c r="M3518" t="s">
        <v>97</v>
      </c>
      <c r="N3518" t="str">
        <f t="shared" si="218"/>
        <v>ADMISSIONS &amp; WELCOME CENTER (0149)</v>
      </c>
      <c r="O3518" t="s">
        <v>63</v>
      </c>
      <c r="P3518" t="str">
        <f t="shared" si="219"/>
        <v>83000_0149</v>
      </c>
      <c r="Q3518" s="180">
        <v>0</v>
      </c>
    </row>
    <row r="3519" spans="1:17">
      <c r="A3519" t="str">
        <f t="shared" si="216"/>
        <v>MGA_0150</v>
      </c>
      <c r="B3519" t="str">
        <f t="shared" si="217"/>
        <v>MGA_HAYNES HALL</v>
      </c>
      <c r="C3519" t="s">
        <v>464</v>
      </c>
      <c r="D3519" s="180" t="s">
        <v>60</v>
      </c>
      <c r="E3519" t="s">
        <v>3961</v>
      </c>
      <c r="F3519" t="s">
        <v>6552</v>
      </c>
      <c r="G3519" s="180">
        <v>26959</v>
      </c>
      <c r="H3519">
        <v>1965</v>
      </c>
      <c r="J3519" s="1334" t="s">
        <v>475</v>
      </c>
      <c r="K3519" s="1335" t="s">
        <v>520</v>
      </c>
      <c r="L3519" s="180">
        <v>100</v>
      </c>
      <c r="M3519" t="s">
        <v>97</v>
      </c>
      <c r="N3519" t="str">
        <f t="shared" si="218"/>
        <v>HAYNES HALL (0150)</v>
      </c>
      <c r="O3519" t="s">
        <v>63</v>
      </c>
      <c r="P3519" t="str">
        <f t="shared" si="219"/>
        <v>83000_0150</v>
      </c>
      <c r="Q3519" s="180">
        <v>100</v>
      </c>
    </row>
    <row r="3520" spans="1:17">
      <c r="A3520" t="str">
        <f t="shared" si="216"/>
        <v>MGA_0160</v>
      </c>
      <c r="B3520" t="str">
        <f t="shared" si="217"/>
        <v>MGA_ALDERMAN HALL</v>
      </c>
      <c r="C3520" t="s">
        <v>464</v>
      </c>
      <c r="D3520" s="180" t="s">
        <v>60</v>
      </c>
      <c r="E3520" t="s">
        <v>677</v>
      </c>
      <c r="F3520" t="s">
        <v>6568</v>
      </c>
      <c r="G3520" s="180">
        <v>10029</v>
      </c>
      <c r="H3520">
        <v>1928</v>
      </c>
      <c r="J3520" s="1334" t="s">
        <v>475</v>
      </c>
      <c r="K3520" s="1335" t="s">
        <v>475</v>
      </c>
      <c r="L3520" s="180">
        <v>100</v>
      </c>
      <c r="M3520" t="s">
        <v>97</v>
      </c>
      <c r="N3520" t="str">
        <f t="shared" si="218"/>
        <v>ALDERMAN HALL (0160)</v>
      </c>
      <c r="O3520" t="s">
        <v>63</v>
      </c>
      <c r="P3520" t="str">
        <f t="shared" si="219"/>
        <v>83000_0160</v>
      </c>
      <c r="Q3520" s="180">
        <v>0</v>
      </c>
    </row>
    <row r="3521" spans="1:17">
      <c r="A3521" t="str">
        <f t="shared" si="216"/>
        <v>MGA_0161</v>
      </c>
      <c r="B3521" t="str">
        <f t="shared" si="217"/>
        <v>MGA_WAREHOUSE NO 2</v>
      </c>
      <c r="C3521" t="s">
        <v>464</v>
      </c>
      <c r="D3521" s="180" t="s">
        <v>60</v>
      </c>
      <c r="E3521" t="s">
        <v>588</v>
      </c>
      <c r="F3521" t="s">
        <v>6571</v>
      </c>
      <c r="G3521" s="180">
        <v>1708</v>
      </c>
      <c r="H3521">
        <v>1955</v>
      </c>
      <c r="J3521" s="1334" t="s">
        <v>475</v>
      </c>
      <c r="K3521" s="1335" t="s">
        <v>475</v>
      </c>
      <c r="L3521" s="180">
        <v>100</v>
      </c>
      <c r="M3521" t="s">
        <v>97</v>
      </c>
      <c r="N3521" t="str">
        <f t="shared" si="218"/>
        <v>WAREHOUSE NO 2 (0161)</v>
      </c>
      <c r="O3521" t="s">
        <v>63</v>
      </c>
      <c r="P3521" t="str">
        <f t="shared" si="219"/>
        <v>83000_0161</v>
      </c>
      <c r="Q3521" s="180">
        <v>100</v>
      </c>
    </row>
    <row r="3522" spans="1:17">
      <c r="A3522" t="str">
        <f t="shared" si="216"/>
        <v>MGA_0162</v>
      </c>
      <c r="B3522" t="str">
        <f t="shared" si="217"/>
        <v>MGA_CHILLER PLANT</v>
      </c>
      <c r="C3522" t="s">
        <v>464</v>
      </c>
      <c r="D3522" s="180" t="s">
        <v>60</v>
      </c>
      <c r="E3522" t="s">
        <v>543</v>
      </c>
      <c r="F3522" t="s">
        <v>6521</v>
      </c>
      <c r="G3522" s="180">
        <v>6509</v>
      </c>
      <c r="H3522">
        <v>2006</v>
      </c>
      <c r="J3522" s="1334" t="s">
        <v>475</v>
      </c>
      <c r="K3522" s="1335" t="s">
        <v>475</v>
      </c>
      <c r="L3522" s="180">
        <v>100</v>
      </c>
      <c r="M3522" t="s">
        <v>97</v>
      </c>
      <c r="N3522" t="str">
        <f t="shared" si="218"/>
        <v>CHILLER PLANT (0162)</v>
      </c>
      <c r="O3522" t="s">
        <v>63</v>
      </c>
      <c r="P3522" t="str">
        <f t="shared" si="219"/>
        <v>83000_0162</v>
      </c>
      <c r="Q3522" s="180">
        <v>0</v>
      </c>
    </row>
    <row r="3523" spans="1:17">
      <c r="A3523" t="str">
        <f t="shared" ref="A3523:A3586" si="220">_xlfn.CONCAT(D3523,"_",E3523)</f>
        <v>MGA_0180</v>
      </c>
      <c r="B3523" t="str">
        <f t="shared" ref="B3523:B3586" si="221">_xlfn.CONCAT(D3523,"_",F3523)</f>
        <v>MGA_COMMUNITY HALL STORAGE</v>
      </c>
      <c r="C3523" t="s">
        <v>464</v>
      </c>
      <c r="D3523" s="180" t="s">
        <v>60</v>
      </c>
      <c r="E3523" t="s">
        <v>669</v>
      </c>
      <c r="F3523" t="s">
        <v>6585</v>
      </c>
      <c r="G3523" s="180">
        <v>1829</v>
      </c>
      <c r="H3523">
        <v>1936</v>
      </c>
      <c r="I3523">
        <v>1963</v>
      </c>
      <c r="J3523" s="1334" t="s">
        <v>475</v>
      </c>
      <c r="K3523" s="1335" t="s">
        <v>475</v>
      </c>
      <c r="L3523" s="180">
        <v>100</v>
      </c>
      <c r="M3523" t="s">
        <v>97</v>
      </c>
      <c r="N3523" t="str">
        <f t="shared" ref="N3523:N3586" si="222">_xlfn.CONCAT(F3523," (",E3523,")")</f>
        <v>COMMUNITY HALL STORAGE (0180)</v>
      </c>
      <c r="O3523" t="s">
        <v>63</v>
      </c>
      <c r="P3523" t="str">
        <f t="shared" ref="P3523:P3586" si="223">_xlfn.CONCAT(C3523,"_",E3523)</f>
        <v>83000_0180</v>
      </c>
      <c r="Q3523" s="180">
        <v>100</v>
      </c>
    </row>
    <row r="3524" spans="1:17">
      <c r="A3524" t="str">
        <f t="shared" si="220"/>
        <v>MGA_0210</v>
      </c>
      <c r="B3524" t="str">
        <f t="shared" si="221"/>
        <v>MGA_MORRIS GYM</v>
      </c>
      <c r="C3524" t="s">
        <v>464</v>
      </c>
      <c r="D3524" s="180" t="s">
        <v>60</v>
      </c>
      <c r="E3524" t="s">
        <v>521</v>
      </c>
      <c r="F3524" t="s">
        <v>6594</v>
      </c>
      <c r="G3524" s="180">
        <v>32666</v>
      </c>
      <c r="H3524">
        <v>1962</v>
      </c>
      <c r="I3524">
        <v>2004</v>
      </c>
      <c r="J3524" s="1334" t="s">
        <v>475</v>
      </c>
      <c r="K3524" s="1335" t="s">
        <v>475</v>
      </c>
      <c r="L3524" s="180">
        <v>100</v>
      </c>
      <c r="M3524" t="s">
        <v>97</v>
      </c>
      <c r="N3524" t="str">
        <f t="shared" si="222"/>
        <v>MORRIS GYM (0210)</v>
      </c>
      <c r="O3524" t="s">
        <v>63</v>
      </c>
      <c r="P3524" t="str">
        <f t="shared" si="223"/>
        <v>83000_0210</v>
      </c>
      <c r="Q3524" s="180">
        <v>0</v>
      </c>
    </row>
    <row r="3525" spans="1:17">
      <c r="A3525" t="str">
        <f t="shared" si="220"/>
        <v>MGA_0212</v>
      </c>
      <c r="B3525" t="str">
        <f t="shared" si="221"/>
        <v>MGA_BASEBALL FIELD</v>
      </c>
      <c r="C3525" t="s">
        <v>464</v>
      </c>
      <c r="D3525" s="180" t="s">
        <v>60</v>
      </c>
      <c r="E3525" t="s">
        <v>825</v>
      </c>
      <c r="F3525" t="s">
        <v>6581</v>
      </c>
      <c r="G3525" s="180">
        <v>4014</v>
      </c>
      <c r="H3525">
        <v>1973</v>
      </c>
      <c r="I3525">
        <v>2008</v>
      </c>
      <c r="J3525" s="1334" t="s">
        <v>475</v>
      </c>
      <c r="K3525" s="1335" t="s">
        <v>475</v>
      </c>
      <c r="L3525" s="180">
        <v>0</v>
      </c>
      <c r="M3525" t="s">
        <v>97</v>
      </c>
      <c r="N3525" t="str">
        <f t="shared" si="222"/>
        <v>BASEBALL FIELD (0212)</v>
      </c>
      <c r="O3525" t="s">
        <v>63</v>
      </c>
      <c r="P3525" t="str">
        <f t="shared" si="223"/>
        <v>83000_0212</v>
      </c>
      <c r="Q3525" s="180">
        <v>0</v>
      </c>
    </row>
    <row r="3526" spans="1:17">
      <c r="A3526" t="str">
        <f t="shared" si="220"/>
        <v>MGA_0213</v>
      </c>
      <c r="B3526" t="str">
        <f t="shared" si="221"/>
        <v>MGA_SOFTBALL FIELD</v>
      </c>
      <c r="C3526" t="s">
        <v>464</v>
      </c>
      <c r="D3526" s="180" t="s">
        <v>60</v>
      </c>
      <c r="E3526" t="s">
        <v>4891</v>
      </c>
      <c r="F3526" t="s">
        <v>6519</v>
      </c>
      <c r="G3526" s="180">
        <v>3196</v>
      </c>
      <c r="H3526">
        <v>1973</v>
      </c>
      <c r="I3526">
        <v>2008</v>
      </c>
      <c r="J3526" s="1334" t="s">
        <v>475</v>
      </c>
      <c r="K3526" s="1335" t="s">
        <v>475</v>
      </c>
      <c r="L3526" s="180">
        <v>0</v>
      </c>
      <c r="M3526" t="s">
        <v>97</v>
      </c>
      <c r="N3526" t="str">
        <f t="shared" si="222"/>
        <v>SOFTBALL FIELD (0213)</v>
      </c>
      <c r="O3526" t="s">
        <v>63</v>
      </c>
      <c r="P3526" t="str">
        <f t="shared" si="223"/>
        <v>83000_0213</v>
      </c>
      <c r="Q3526" s="180">
        <v>0</v>
      </c>
    </row>
    <row r="3527" spans="1:17">
      <c r="A3527" t="str">
        <f t="shared" si="220"/>
        <v>MGA_0214</v>
      </c>
      <c r="B3527" t="str">
        <f t="shared" si="221"/>
        <v>MGA_SWIMMING POOL</v>
      </c>
      <c r="C3527" t="s">
        <v>464</v>
      </c>
      <c r="D3527" s="180" t="s">
        <v>60</v>
      </c>
      <c r="E3527" t="s">
        <v>6535</v>
      </c>
      <c r="F3527" t="s">
        <v>6536</v>
      </c>
      <c r="G3527" s="180">
        <v>2226</v>
      </c>
      <c r="H3527">
        <v>1989</v>
      </c>
      <c r="J3527" s="1334" t="s">
        <v>475</v>
      </c>
      <c r="K3527" s="1335" t="s">
        <v>475</v>
      </c>
      <c r="L3527" s="180">
        <v>100</v>
      </c>
      <c r="M3527" t="s">
        <v>97</v>
      </c>
      <c r="N3527" t="str">
        <f t="shared" si="222"/>
        <v>SWIMMING POOL (0214)</v>
      </c>
      <c r="O3527" t="s">
        <v>63</v>
      </c>
      <c r="P3527" t="str">
        <f t="shared" si="223"/>
        <v>83000_0214</v>
      </c>
      <c r="Q3527" s="180">
        <v>0</v>
      </c>
    </row>
    <row r="3528" spans="1:17">
      <c r="A3528" t="str">
        <f t="shared" si="220"/>
        <v>MGA_0215</v>
      </c>
      <c r="B3528" t="str">
        <f t="shared" si="221"/>
        <v>MGA_ATHLETIC TRAINING FACILITY</v>
      </c>
      <c r="C3528" t="s">
        <v>464</v>
      </c>
      <c r="D3528" s="180" t="s">
        <v>60</v>
      </c>
      <c r="E3528" t="s">
        <v>523</v>
      </c>
      <c r="F3528" t="s">
        <v>6564</v>
      </c>
      <c r="G3528" s="180">
        <v>9263</v>
      </c>
      <c r="H3528">
        <v>1995</v>
      </c>
      <c r="J3528" s="1334" t="s">
        <v>475</v>
      </c>
      <c r="K3528" s="1335" t="s">
        <v>475</v>
      </c>
      <c r="L3528" s="180">
        <v>100</v>
      </c>
      <c r="M3528" t="s">
        <v>97</v>
      </c>
      <c r="N3528" t="str">
        <f t="shared" si="222"/>
        <v>ATHLETIC TRAINING FACILITY (0215)</v>
      </c>
      <c r="O3528" t="s">
        <v>63</v>
      </c>
      <c r="P3528" t="str">
        <f t="shared" si="223"/>
        <v>83000_0215</v>
      </c>
      <c r="Q3528" s="180">
        <v>54</v>
      </c>
    </row>
    <row r="3529" spans="1:17">
      <c r="A3529" t="str">
        <f t="shared" si="220"/>
        <v>MGA_0260</v>
      </c>
      <c r="B3529" t="str">
        <f t="shared" si="221"/>
        <v>MGA_WHIPPLE HALL</v>
      </c>
      <c r="C3529" t="s">
        <v>464</v>
      </c>
      <c r="D3529" s="180" t="s">
        <v>60</v>
      </c>
      <c r="E3529" t="s">
        <v>5332</v>
      </c>
      <c r="F3529" t="s">
        <v>6542</v>
      </c>
      <c r="G3529" s="180">
        <v>5509</v>
      </c>
      <c r="H3529">
        <v>1971</v>
      </c>
      <c r="I3529">
        <v>1991</v>
      </c>
      <c r="J3529" s="1334" t="s">
        <v>475</v>
      </c>
      <c r="K3529" s="1335" t="s">
        <v>475</v>
      </c>
      <c r="L3529" s="180">
        <v>100</v>
      </c>
      <c r="M3529" t="s">
        <v>97</v>
      </c>
      <c r="N3529" t="str">
        <f t="shared" si="222"/>
        <v>WHIPPLE HALL (0260)</v>
      </c>
      <c r="O3529" t="s">
        <v>63</v>
      </c>
      <c r="P3529" t="str">
        <f t="shared" si="223"/>
        <v>83000_0260</v>
      </c>
      <c r="Q3529" s="180">
        <v>0</v>
      </c>
    </row>
    <row r="3530" spans="1:17">
      <c r="A3530" t="str">
        <f t="shared" si="220"/>
        <v>MGA_0274</v>
      </c>
      <c r="B3530" t="str">
        <f t="shared" si="221"/>
        <v>MGA_POPE HOUSE</v>
      </c>
      <c r="C3530" t="s">
        <v>464</v>
      </c>
      <c r="D3530" s="180" t="s">
        <v>60</v>
      </c>
      <c r="E3530" t="s">
        <v>6516</v>
      </c>
      <c r="F3530" t="s">
        <v>6517</v>
      </c>
      <c r="G3530" s="180">
        <v>1916</v>
      </c>
      <c r="H3530">
        <v>1957</v>
      </c>
      <c r="J3530" s="1334" t="s">
        <v>475</v>
      </c>
      <c r="K3530" s="1335" t="s">
        <v>520</v>
      </c>
      <c r="L3530" s="180">
        <v>100</v>
      </c>
      <c r="M3530" t="s">
        <v>97</v>
      </c>
      <c r="N3530" t="str">
        <f t="shared" si="222"/>
        <v>POPE HOUSE (0274)</v>
      </c>
      <c r="O3530" t="s">
        <v>63</v>
      </c>
      <c r="P3530" t="str">
        <f t="shared" si="223"/>
        <v>83000_0274</v>
      </c>
      <c r="Q3530" s="180">
        <v>0</v>
      </c>
    </row>
    <row r="3531" spans="1:17">
      <c r="A3531" t="str">
        <f t="shared" si="220"/>
        <v>MGA_0290</v>
      </c>
      <c r="B3531" t="str">
        <f t="shared" si="221"/>
        <v>MGA_WATER TREATMENT LAB</v>
      </c>
      <c r="C3531" t="s">
        <v>464</v>
      </c>
      <c r="D3531" s="180" t="s">
        <v>60</v>
      </c>
      <c r="E3531" t="s">
        <v>4454</v>
      </c>
      <c r="F3531" t="s">
        <v>6525</v>
      </c>
      <c r="G3531" s="180">
        <v>793</v>
      </c>
      <c r="H3531">
        <v>1973</v>
      </c>
      <c r="J3531" s="1334" t="s">
        <v>475</v>
      </c>
      <c r="K3531" s="1335" t="s">
        <v>475</v>
      </c>
      <c r="L3531" s="180">
        <v>100</v>
      </c>
      <c r="M3531" t="s">
        <v>97</v>
      </c>
      <c r="N3531" t="str">
        <f t="shared" si="222"/>
        <v>WATER TREATMENT LAB (0290)</v>
      </c>
      <c r="O3531" t="s">
        <v>63</v>
      </c>
      <c r="P3531" t="str">
        <f t="shared" si="223"/>
        <v>83000_0290</v>
      </c>
      <c r="Q3531" s="180">
        <v>0</v>
      </c>
    </row>
    <row r="3532" spans="1:17">
      <c r="A3532" t="str">
        <f t="shared" si="220"/>
        <v>MGA_0291</v>
      </c>
      <c r="B3532" t="str">
        <f t="shared" si="221"/>
        <v>MGA_CHEMICAL STORAGE</v>
      </c>
      <c r="C3532" t="s">
        <v>464</v>
      </c>
      <c r="D3532" s="180" t="s">
        <v>60</v>
      </c>
      <c r="E3532" t="s">
        <v>6595</v>
      </c>
      <c r="F3532" t="s">
        <v>2067</v>
      </c>
      <c r="G3532" s="180">
        <v>273</v>
      </c>
      <c r="H3532">
        <v>1979</v>
      </c>
      <c r="J3532" s="1334" t="s">
        <v>475</v>
      </c>
      <c r="K3532" s="1335" t="s">
        <v>475</v>
      </c>
      <c r="L3532" s="180">
        <v>100</v>
      </c>
      <c r="M3532" t="s">
        <v>97</v>
      </c>
      <c r="N3532" t="str">
        <f t="shared" si="222"/>
        <v>CHEMICAL STORAGE (0291)</v>
      </c>
      <c r="O3532" t="s">
        <v>63</v>
      </c>
      <c r="P3532" t="str">
        <f t="shared" si="223"/>
        <v>83000_0291</v>
      </c>
      <c r="Q3532" s="180">
        <v>100</v>
      </c>
    </row>
    <row r="3533" spans="1:17">
      <c r="A3533" t="str">
        <f t="shared" si="220"/>
        <v>MGA_0295</v>
      </c>
      <c r="B3533" t="str">
        <f t="shared" si="221"/>
        <v>MGA_NEW PUMP HOUSE</v>
      </c>
      <c r="C3533" t="s">
        <v>464</v>
      </c>
      <c r="D3533" s="180" t="s">
        <v>60</v>
      </c>
      <c r="E3533" t="s">
        <v>6591</v>
      </c>
      <c r="F3533" t="s">
        <v>6592</v>
      </c>
      <c r="G3533" s="180">
        <v>144</v>
      </c>
      <c r="H3533">
        <v>1987</v>
      </c>
      <c r="J3533" s="1334" t="s">
        <v>475</v>
      </c>
      <c r="K3533" s="1335" t="s">
        <v>475</v>
      </c>
      <c r="L3533" s="180">
        <v>100</v>
      </c>
      <c r="M3533" t="s">
        <v>97</v>
      </c>
      <c r="N3533" t="str">
        <f t="shared" si="222"/>
        <v>NEW PUMP HOUSE (0295)</v>
      </c>
      <c r="O3533" t="s">
        <v>63</v>
      </c>
      <c r="P3533" t="str">
        <f t="shared" si="223"/>
        <v>83000_0295</v>
      </c>
      <c r="Q3533" s="180">
        <v>100</v>
      </c>
    </row>
    <row r="3534" spans="1:17">
      <c r="A3534" t="str">
        <f t="shared" si="220"/>
        <v>MGA_0300</v>
      </c>
      <c r="B3534" t="str">
        <f t="shared" si="221"/>
        <v>MGA_PHY PLANT BLDG</v>
      </c>
      <c r="C3534" t="s">
        <v>464</v>
      </c>
      <c r="D3534" s="180" t="s">
        <v>60</v>
      </c>
      <c r="E3534" t="s">
        <v>4862</v>
      </c>
      <c r="F3534" t="s">
        <v>6551</v>
      </c>
      <c r="G3534" s="180">
        <v>20563</v>
      </c>
      <c r="H3534">
        <v>1975</v>
      </c>
      <c r="J3534" s="1334" t="s">
        <v>475</v>
      </c>
      <c r="K3534" s="1335" t="s">
        <v>475</v>
      </c>
      <c r="L3534" s="180">
        <v>100</v>
      </c>
      <c r="M3534" t="s">
        <v>97</v>
      </c>
      <c r="N3534" t="str">
        <f t="shared" si="222"/>
        <v>PHY PLANT BLDG (0300)</v>
      </c>
      <c r="O3534" t="s">
        <v>63</v>
      </c>
      <c r="P3534" t="str">
        <f t="shared" si="223"/>
        <v>83000_0300</v>
      </c>
      <c r="Q3534" s="180">
        <v>97</v>
      </c>
    </row>
    <row r="3535" spans="1:17">
      <c r="A3535" t="str">
        <f t="shared" si="220"/>
        <v>MGA_0301</v>
      </c>
      <c r="B3535" t="str">
        <f t="shared" si="221"/>
        <v>MGA_AUTO SHOP</v>
      </c>
      <c r="C3535" t="s">
        <v>464</v>
      </c>
      <c r="D3535" s="180" t="s">
        <v>60</v>
      </c>
      <c r="E3535" t="s">
        <v>5673</v>
      </c>
      <c r="F3535" t="s">
        <v>4033</v>
      </c>
      <c r="G3535" s="180">
        <v>2511</v>
      </c>
      <c r="H3535">
        <v>1975</v>
      </c>
      <c r="J3535" s="1334" t="s">
        <v>475</v>
      </c>
      <c r="K3535" s="1335" t="s">
        <v>475</v>
      </c>
      <c r="L3535" s="180">
        <v>100</v>
      </c>
      <c r="M3535" t="s">
        <v>97</v>
      </c>
      <c r="N3535" t="str">
        <f t="shared" si="222"/>
        <v>AUTO SHOP (0301)</v>
      </c>
      <c r="O3535" t="s">
        <v>63</v>
      </c>
      <c r="P3535" t="str">
        <f t="shared" si="223"/>
        <v>83000_0301</v>
      </c>
      <c r="Q3535" s="180">
        <v>100</v>
      </c>
    </row>
    <row r="3536" spans="1:17">
      <c r="A3536" t="str">
        <f t="shared" si="220"/>
        <v>MGA_0305</v>
      </c>
      <c r="B3536" t="str">
        <f t="shared" si="221"/>
        <v>MGA_WELLNESS CENTER</v>
      </c>
      <c r="C3536" t="s">
        <v>464</v>
      </c>
      <c r="D3536" s="180" t="s">
        <v>60</v>
      </c>
      <c r="E3536" t="s">
        <v>4792</v>
      </c>
      <c r="F3536" t="s">
        <v>6578</v>
      </c>
      <c r="G3536" s="180">
        <v>38153</v>
      </c>
      <c r="H3536">
        <v>2002</v>
      </c>
      <c r="J3536" s="1334" t="s">
        <v>520</v>
      </c>
      <c r="K3536" s="1335" t="s">
        <v>475</v>
      </c>
      <c r="L3536" s="180">
        <v>97</v>
      </c>
      <c r="M3536" t="s">
        <v>97</v>
      </c>
      <c r="N3536" t="str">
        <f t="shared" si="222"/>
        <v>WELLNESS CENTER (0305)</v>
      </c>
      <c r="O3536" t="s">
        <v>63</v>
      </c>
      <c r="P3536" t="str">
        <f t="shared" si="223"/>
        <v>83000_0305</v>
      </c>
      <c r="Q3536" s="180">
        <v>100</v>
      </c>
    </row>
    <row r="3537" spans="1:17">
      <c r="A3537" t="str">
        <f t="shared" si="220"/>
        <v>MGA_0310</v>
      </c>
      <c r="B3537" t="str">
        <f t="shared" si="221"/>
        <v>MGA_DUBLIN CENTER - MGSC</v>
      </c>
      <c r="C3537" t="s">
        <v>464</v>
      </c>
      <c r="D3537" s="180" t="s">
        <v>60</v>
      </c>
      <c r="E3537" t="s">
        <v>4804</v>
      </c>
      <c r="F3537" t="s">
        <v>6533</v>
      </c>
      <c r="G3537" s="180">
        <v>32695</v>
      </c>
      <c r="H3537">
        <v>1962</v>
      </c>
      <c r="I3537">
        <v>1993</v>
      </c>
      <c r="J3537" s="1334" t="s">
        <v>475</v>
      </c>
      <c r="K3537" s="1335" t="s">
        <v>475</v>
      </c>
      <c r="L3537" s="180">
        <v>100</v>
      </c>
      <c r="M3537" t="s">
        <v>99</v>
      </c>
      <c r="N3537" t="str">
        <f t="shared" si="222"/>
        <v>DUBLIN CENTER - MGSC (0310)</v>
      </c>
      <c r="O3537" t="s">
        <v>63</v>
      </c>
      <c r="P3537" t="str">
        <f t="shared" si="223"/>
        <v>83000_0310</v>
      </c>
      <c r="Q3537" s="180">
        <v>0</v>
      </c>
    </row>
    <row r="3538" spans="1:17">
      <c r="A3538" t="str">
        <f t="shared" si="220"/>
        <v>MGA_0312</v>
      </c>
      <c r="B3538" t="str">
        <f t="shared" si="221"/>
        <v>MGA_DUBLIN CENTER LIBRARY</v>
      </c>
      <c r="C3538" t="s">
        <v>464</v>
      </c>
      <c r="D3538" s="180" t="s">
        <v>60</v>
      </c>
      <c r="E3538" t="s">
        <v>5484</v>
      </c>
      <c r="F3538" t="s">
        <v>6526</v>
      </c>
      <c r="G3538" s="180">
        <v>29765</v>
      </c>
      <c r="H3538">
        <v>1998</v>
      </c>
      <c r="J3538" s="1334" t="s">
        <v>520</v>
      </c>
      <c r="K3538" s="1335" t="s">
        <v>486</v>
      </c>
      <c r="L3538" s="180">
        <v>100</v>
      </c>
      <c r="M3538" t="s">
        <v>99</v>
      </c>
      <c r="N3538" t="str">
        <f t="shared" si="222"/>
        <v>DUBLIN CENTER LIBRARY (0312)</v>
      </c>
      <c r="O3538" t="s">
        <v>63</v>
      </c>
      <c r="P3538" t="str">
        <f t="shared" si="223"/>
        <v>83000_0312</v>
      </c>
      <c r="Q3538" s="180">
        <v>0</v>
      </c>
    </row>
    <row r="3539" spans="1:17">
      <c r="A3539" t="str">
        <f t="shared" si="220"/>
        <v>MGA_0313</v>
      </c>
      <c r="B3539" t="str">
        <f t="shared" si="221"/>
        <v>MGA_DILLARD HALL ADDITION</v>
      </c>
      <c r="C3539" t="s">
        <v>464</v>
      </c>
      <c r="D3539" s="180" t="s">
        <v>60</v>
      </c>
      <c r="E3539" t="s">
        <v>5402</v>
      </c>
      <c r="F3539" t="s">
        <v>6586</v>
      </c>
      <c r="G3539" s="180">
        <v>27381</v>
      </c>
      <c r="H3539">
        <v>2000</v>
      </c>
      <c r="J3539" s="1334" t="s">
        <v>520</v>
      </c>
      <c r="K3539" s="1335" t="s">
        <v>475</v>
      </c>
      <c r="L3539" s="180">
        <v>100</v>
      </c>
      <c r="M3539" t="s">
        <v>97</v>
      </c>
      <c r="N3539" t="str">
        <f t="shared" si="222"/>
        <v>DILLARD HALL ADDITION (0313)</v>
      </c>
      <c r="O3539" t="s">
        <v>63</v>
      </c>
      <c r="P3539" t="str">
        <f t="shared" si="223"/>
        <v>83000_0313</v>
      </c>
      <c r="Q3539" s="180">
        <v>0</v>
      </c>
    </row>
    <row r="3540" spans="1:17">
      <c r="A3540" t="str">
        <f t="shared" si="220"/>
        <v>MGA_0314</v>
      </c>
      <c r="B3540" t="str">
        <f t="shared" si="221"/>
        <v>MGA_DUBLIN CENTER ANNEX</v>
      </c>
      <c r="C3540" t="s">
        <v>464</v>
      </c>
      <c r="D3540" s="180" t="s">
        <v>60</v>
      </c>
      <c r="E3540" t="s">
        <v>6531</v>
      </c>
      <c r="F3540" t="s">
        <v>6532</v>
      </c>
      <c r="G3540" s="180">
        <v>47317</v>
      </c>
      <c r="H3540">
        <v>1944</v>
      </c>
      <c r="I3540">
        <v>2001</v>
      </c>
      <c r="J3540" s="1334" t="s">
        <v>475</v>
      </c>
      <c r="K3540" s="1335" t="s">
        <v>475</v>
      </c>
      <c r="L3540" s="180">
        <v>100</v>
      </c>
      <c r="M3540" t="s">
        <v>99</v>
      </c>
      <c r="N3540" t="str">
        <f t="shared" si="222"/>
        <v>DUBLIN CENTER ANNEX (0314)</v>
      </c>
      <c r="O3540" t="s">
        <v>63</v>
      </c>
      <c r="P3540" t="str">
        <f t="shared" si="223"/>
        <v>83000_0314</v>
      </c>
      <c r="Q3540" s="180">
        <v>0</v>
      </c>
    </row>
    <row r="3541" spans="1:17">
      <c r="A3541" t="str">
        <f t="shared" si="220"/>
        <v>MGA_0400</v>
      </c>
      <c r="B3541" t="str">
        <f t="shared" si="221"/>
        <v>MGA_STADIUM FACILITIES</v>
      </c>
      <c r="C3541" t="s">
        <v>464</v>
      </c>
      <c r="D3541" s="180" t="s">
        <v>60</v>
      </c>
      <c r="E3541" t="s">
        <v>5297</v>
      </c>
      <c r="F3541" t="s">
        <v>6587</v>
      </c>
      <c r="G3541" s="180">
        <v>1801</v>
      </c>
      <c r="H3541">
        <v>2001</v>
      </c>
      <c r="J3541" s="1334" t="s">
        <v>475</v>
      </c>
      <c r="K3541" s="1335" t="s">
        <v>475</v>
      </c>
      <c r="L3541" s="180">
        <v>0</v>
      </c>
      <c r="M3541" t="s">
        <v>97</v>
      </c>
      <c r="N3541" t="str">
        <f t="shared" si="222"/>
        <v>STADIUM FACILITIES (0400)</v>
      </c>
      <c r="O3541" t="s">
        <v>63</v>
      </c>
      <c r="P3541" t="str">
        <f t="shared" si="223"/>
        <v>83000_0400</v>
      </c>
      <c r="Q3541" s="180">
        <v>2</v>
      </c>
    </row>
    <row r="3542" spans="1:17">
      <c r="A3542" t="str">
        <f t="shared" si="220"/>
        <v>MGA_0401</v>
      </c>
      <c r="B3542" t="str">
        <f t="shared" si="221"/>
        <v>MGA_GA AVIATION (MAIN)</v>
      </c>
      <c r="C3542" t="s">
        <v>464</v>
      </c>
      <c r="D3542" s="180" t="s">
        <v>60</v>
      </c>
      <c r="E3542" t="s">
        <v>5214</v>
      </c>
      <c r="F3542" t="s">
        <v>6550</v>
      </c>
      <c r="G3542" s="180">
        <v>90678</v>
      </c>
      <c r="H3542">
        <v>1994</v>
      </c>
      <c r="J3542" s="1334" t="s">
        <v>475</v>
      </c>
      <c r="K3542" s="1335" t="s">
        <v>475</v>
      </c>
      <c r="L3542" s="180">
        <v>100</v>
      </c>
      <c r="M3542" t="s">
        <v>98</v>
      </c>
      <c r="N3542" t="str">
        <f t="shared" si="222"/>
        <v>GA AVIATION (MAIN) (0401)</v>
      </c>
      <c r="O3542" t="s">
        <v>63</v>
      </c>
      <c r="P3542" t="str">
        <f t="shared" si="223"/>
        <v>83000_0401</v>
      </c>
      <c r="Q3542" s="180">
        <v>100</v>
      </c>
    </row>
    <row r="3543" spans="1:17">
      <c r="A3543" t="str">
        <f t="shared" si="220"/>
        <v>MGA_0402</v>
      </c>
      <c r="B3543" t="str">
        <f t="shared" si="221"/>
        <v>MGA_GA AVIATION (FLIGHT)</v>
      </c>
      <c r="C3543" t="s">
        <v>464</v>
      </c>
      <c r="D3543" s="180" t="s">
        <v>60</v>
      </c>
      <c r="E3543" t="s">
        <v>5514</v>
      </c>
      <c r="F3543" t="s">
        <v>6529</v>
      </c>
      <c r="G3543" s="180">
        <v>63699</v>
      </c>
      <c r="H3543">
        <v>2004</v>
      </c>
      <c r="J3543" s="1334" t="s">
        <v>475</v>
      </c>
      <c r="K3543" s="1335" t="s">
        <v>475</v>
      </c>
      <c r="L3543" s="180">
        <v>100</v>
      </c>
      <c r="M3543" t="s">
        <v>98</v>
      </c>
      <c r="N3543" t="str">
        <f t="shared" si="222"/>
        <v>GA AVIATION (FLIGHT) (0402)</v>
      </c>
      <c r="O3543" t="s">
        <v>63</v>
      </c>
      <c r="P3543" t="str">
        <f t="shared" si="223"/>
        <v>83000_0402</v>
      </c>
      <c r="Q3543" s="180">
        <v>0</v>
      </c>
    </row>
    <row r="3544" spans="1:17">
      <c r="A3544" t="str">
        <f t="shared" si="220"/>
        <v>MGA_0403</v>
      </c>
      <c r="B3544" t="str">
        <f t="shared" si="221"/>
        <v>MGA_GA AVIATION (TERMINAL)</v>
      </c>
      <c r="C3544" t="s">
        <v>464</v>
      </c>
      <c r="D3544" s="180" t="s">
        <v>60</v>
      </c>
      <c r="E3544" t="s">
        <v>6557</v>
      </c>
      <c r="F3544" t="s">
        <v>6558</v>
      </c>
      <c r="G3544" s="180">
        <v>15133</v>
      </c>
      <c r="H3544">
        <v>2004</v>
      </c>
      <c r="J3544" s="1334" t="s">
        <v>475</v>
      </c>
      <c r="K3544" s="1335" t="s">
        <v>475</v>
      </c>
      <c r="L3544" s="180">
        <v>100</v>
      </c>
      <c r="M3544" t="s">
        <v>98</v>
      </c>
      <c r="N3544" t="str">
        <f t="shared" si="222"/>
        <v>GA AVIATION (TERMINAL) (0403)</v>
      </c>
      <c r="O3544" t="s">
        <v>63</v>
      </c>
      <c r="P3544" t="str">
        <f t="shared" si="223"/>
        <v>83000_0403</v>
      </c>
      <c r="Q3544" s="180">
        <v>100</v>
      </c>
    </row>
    <row r="3545" spans="1:17">
      <c r="A3545" t="str">
        <f t="shared" si="220"/>
        <v>MGA_0404</v>
      </c>
      <c r="B3545" t="str">
        <f t="shared" si="221"/>
        <v>MGA_AVIATION HALL</v>
      </c>
      <c r="C3545" t="s">
        <v>464</v>
      </c>
      <c r="D3545" s="180" t="s">
        <v>60</v>
      </c>
      <c r="E3545" t="s">
        <v>5257</v>
      </c>
      <c r="F3545" t="s">
        <v>6579</v>
      </c>
      <c r="G3545" s="180">
        <v>48471</v>
      </c>
      <c r="H3545">
        <v>2009</v>
      </c>
      <c r="J3545" s="1334" t="s">
        <v>486</v>
      </c>
      <c r="K3545" s="1335" t="s">
        <v>475</v>
      </c>
      <c r="L3545" s="180">
        <v>0</v>
      </c>
      <c r="M3545" t="s">
        <v>98</v>
      </c>
      <c r="N3545" t="str">
        <f t="shared" si="222"/>
        <v>AVIATION HALL (0404)</v>
      </c>
      <c r="O3545" t="s">
        <v>63</v>
      </c>
      <c r="P3545" t="str">
        <f t="shared" si="223"/>
        <v>83000_0404</v>
      </c>
      <c r="Q3545" s="180">
        <v>0</v>
      </c>
    </row>
    <row r="3546" spans="1:17">
      <c r="A3546" t="str">
        <f t="shared" si="220"/>
        <v>MGA_0405</v>
      </c>
      <c r="B3546" t="str">
        <f t="shared" si="221"/>
        <v>MGA_KNIGHTS HALL</v>
      </c>
      <c r="C3546" t="s">
        <v>464</v>
      </c>
      <c r="D3546" s="180" t="s">
        <v>60</v>
      </c>
      <c r="E3546" t="s">
        <v>4866</v>
      </c>
      <c r="F3546" t="s">
        <v>6563</v>
      </c>
      <c r="G3546" s="180">
        <v>82587</v>
      </c>
      <c r="H3546">
        <v>2009</v>
      </c>
      <c r="J3546" s="1334" t="s">
        <v>486</v>
      </c>
      <c r="K3546" s="1335" t="s">
        <v>475</v>
      </c>
      <c r="L3546" s="180">
        <v>0</v>
      </c>
      <c r="M3546" t="s">
        <v>97</v>
      </c>
      <c r="N3546" t="str">
        <f t="shared" si="222"/>
        <v>KNIGHTS HALL (0405)</v>
      </c>
      <c r="O3546" t="s">
        <v>63</v>
      </c>
      <c r="P3546" t="str">
        <f t="shared" si="223"/>
        <v>83000_0405</v>
      </c>
      <c r="Q3546" s="180">
        <v>0</v>
      </c>
    </row>
    <row r="3547" spans="1:17">
      <c r="A3547" t="str">
        <f t="shared" si="220"/>
        <v>MGA_0406</v>
      </c>
      <c r="B3547" t="str">
        <f t="shared" si="221"/>
        <v>MGA_GA AVIATION (HANGAR FACILITY)</v>
      </c>
      <c r="C3547" t="s">
        <v>464</v>
      </c>
      <c r="D3547" s="180" t="s">
        <v>60</v>
      </c>
      <c r="E3547" t="s">
        <v>4881</v>
      </c>
      <c r="F3547" t="s">
        <v>6548</v>
      </c>
      <c r="G3547" s="180">
        <v>20880</v>
      </c>
      <c r="H3547">
        <v>2011</v>
      </c>
      <c r="J3547" s="1334" t="s">
        <v>475</v>
      </c>
      <c r="K3547" s="1335" t="s">
        <v>475</v>
      </c>
      <c r="L3547" s="180">
        <v>100</v>
      </c>
      <c r="M3547" t="s">
        <v>98</v>
      </c>
      <c r="N3547" t="str">
        <f t="shared" si="222"/>
        <v>GA AVIATION (HANGAR FACILITY) (0406)</v>
      </c>
      <c r="O3547" t="s">
        <v>63</v>
      </c>
      <c r="P3547" t="str">
        <f t="shared" si="223"/>
        <v>83000_0406</v>
      </c>
      <c r="Q3547" s="180">
        <v>0</v>
      </c>
    </row>
    <row r="3548" spans="1:17">
      <c r="A3548" t="str">
        <f t="shared" si="220"/>
        <v>MGA_0410</v>
      </c>
      <c r="B3548" t="str">
        <f t="shared" si="221"/>
        <v>MGA_GA AVIATION-HANGAR FACILITY 2</v>
      </c>
      <c r="C3548" t="s">
        <v>464</v>
      </c>
      <c r="D3548" s="180" t="s">
        <v>60</v>
      </c>
      <c r="E3548" t="s">
        <v>6241</v>
      </c>
      <c r="F3548" t="s">
        <v>6590</v>
      </c>
      <c r="G3548" s="180">
        <v>9768</v>
      </c>
      <c r="H3548">
        <v>2017</v>
      </c>
      <c r="J3548" s="1334" t="s">
        <v>475</v>
      </c>
      <c r="K3548" s="1335" t="s">
        <v>475</v>
      </c>
      <c r="L3548" s="180">
        <v>100</v>
      </c>
      <c r="M3548" t="s">
        <v>98</v>
      </c>
      <c r="N3548" t="str">
        <f t="shared" si="222"/>
        <v>GA AVIATION-HANGAR FACILITY 2 (0410)</v>
      </c>
      <c r="O3548" t="s">
        <v>63</v>
      </c>
      <c r="P3548" t="str">
        <f t="shared" si="223"/>
        <v>83000_0410</v>
      </c>
      <c r="Q3548" s="180">
        <v>40</v>
      </c>
    </row>
    <row r="3549" spans="1:17">
      <c r="A3549" t="str">
        <f t="shared" si="220"/>
        <v>MGA_CS</v>
      </c>
      <c r="B3549" t="str">
        <f t="shared" si="221"/>
        <v>MGA_University Pointe</v>
      </c>
      <c r="C3549" t="s">
        <v>464</v>
      </c>
      <c r="D3549" s="180" t="s">
        <v>60</v>
      </c>
      <c r="E3549" t="s">
        <v>6539</v>
      </c>
      <c r="F3549" t="s">
        <v>6540</v>
      </c>
      <c r="G3549" s="180">
        <v>105376</v>
      </c>
      <c r="H3549">
        <v>2000</v>
      </c>
      <c r="J3549" s="1334" t="s">
        <v>486</v>
      </c>
      <c r="K3549" s="1335" t="s">
        <v>475</v>
      </c>
      <c r="L3549" s="180">
        <v>0</v>
      </c>
      <c r="M3549" t="s">
        <v>81</v>
      </c>
      <c r="N3549" t="str">
        <f t="shared" si="222"/>
        <v>University Pointe (CS)</v>
      </c>
      <c r="O3549" t="s">
        <v>63</v>
      </c>
      <c r="P3549" t="str">
        <f t="shared" si="223"/>
        <v>83000_CS</v>
      </c>
      <c r="Q3549" s="180">
        <v>0</v>
      </c>
    </row>
    <row r="3550" spans="1:17">
      <c r="A3550" t="str">
        <f t="shared" si="220"/>
        <v>MGA_GAHALL</v>
      </c>
      <c r="B3550" t="str">
        <f t="shared" si="221"/>
        <v>MGA_GEORGIA HALL</v>
      </c>
      <c r="C3550" t="s">
        <v>464</v>
      </c>
      <c r="D3550" s="180" t="s">
        <v>60</v>
      </c>
      <c r="E3550" t="s">
        <v>6554</v>
      </c>
      <c r="F3550" t="s">
        <v>6555</v>
      </c>
      <c r="G3550" s="180">
        <v>55456</v>
      </c>
      <c r="H3550">
        <v>1970</v>
      </c>
      <c r="I3550">
        <v>2015</v>
      </c>
      <c r="J3550" s="1334" t="s">
        <v>475</v>
      </c>
      <c r="K3550" s="1335" t="s">
        <v>475</v>
      </c>
      <c r="L3550" s="180">
        <v>60</v>
      </c>
      <c r="M3550" t="s">
        <v>97</v>
      </c>
      <c r="N3550" t="str">
        <f t="shared" si="222"/>
        <v>GEORGIA HALL (GAHALL)</v>
      </c>
      <c r="O3550" t="s">
        <v>63</v>
      </c>
      <c r="P3550" t="str">
        <f t="shared" si="223"/>
        <v>83000_GAHALL</v>
      </c>
      <c r="Q3550" s="180">
        <v>0</v>
      </c>
    </row>
    <row r="3551" spans="1:17">
      <c r="A3551" t="str">
        <f t="shared" si="220"/>
        <v>MGA_JONE</v>
      </c>
      <c r="B3551" t="str">
        <f t="shared" si="221"/>
        <v>MGA_CHARLES H. JONES BUILDING</v>
      </c>
      <c r="C3551" t="s">
        <v>464</v>
      </c>
      <c r="D3551" s="180" t="s">
        <v>60</v>
      </c>
      <c r="E3551" t="s">
        <v>6565</v>
      </c>
      <c r="F3551" t="s">
        <v>6566</v>
      </c>
      <c r="G3551" s="180">
        <v>96060</v>
      </c>
      <c r="H3551">
        <v>2002</v>
      </c>
      <c r="J3551" s="1334" t="s">
        <v>475</v>
      </c>
      <c r="K3551" s="1335" t="s">
        <v>475</v>
      </c>
      <c r="L3551" s="180">
        <v>100</v>
      </c>
      <c r="M3551" t="s">
        <v>81</v>
      </c>
      <c r="N3551" t="str">
        <f t="shared" si="222"/>
        <v>CHARLES H. JONES BUILDING (JONE)</v>
      </c>
      <c r="O3551" t="s">
        <v>63</v>
      </c>
      <c r="P3551" t="str">
        <f t="shared" si="223"/>
        <v>83000_JONE</v>
      </c>
      <c r="Q3551" s="180">
        <v>0</v>
      </c>
    </row>
    <row r="3552" spans="1:17">
      <c r="A3552" t="str">
        <f t="shared" si="220"/>
        <v>MGA_LVPD</v>
      </c>
      <c r="B3552" t="str">
        <f t="shared" si="221"/>
        <v>MGA_LAKEVIEW POINTE</v>
      </c>
      <c r="C3552" t="s">
        <v>464</v>
      </c>
      <c r="D3552" s="180" t="s">
        <v>60</v>
      </c>
      <c r="E3552" t="s">
        <v>6560</v>
      </c>
      <c r="F3552" t="s">
        <v>6561</v>
      </c>
      <c r="G3552" s="180">
        <v>73446</v>
      </c>
      <c r="H3552">
        <v>2018</v>
      </c>
      <c r="J3552" s="1334" t="s">
        <v>486</v>
      </c>
      <c r="K3552" s="1335" t="s">
        <v>920</v>
      </c>
      <c r="L3552" s="180">
        <v>0</v>
      </c>
      <c r="M3552" t="s">
        <v>81</v>
      </c>
      <c r="N3552" t="str">
        <f t="shared" si="222"/>
        <v>LAKEVIEW POINTE (LVPD)</v>
      </c>
      <c r="O3552" t="s">
        <v>63</v>
      </c>
      <c r="P3552" t="str">
        <f t="shared" si="223"/>
        <v>83000_LVPD</v>
      </c>
      <c r="Q3552" s="180">
        <v>0</v>
      </c>
    </row>
    <row r="3553" spans="1:17">
      <c r="A3553" t="str">
        <f t="shared" si="220"/>
        <v>MGA_PAEC</v>
      </c>
      <c r="B3553" t="str">
        <f t="shared" si="221"/>
        <v>MGA_Peyton Anderson Enrollment Ctr</v>
      </c>
      <c r="C3553" t="s">
        <v>464</v>
      </c>
      <c r="D3553" s="180" t="s">
        <v>60</v>
      </c>
      <c r="E3553" t="s">
        <v>7034</v>
      </c>
      <c r="F3553" t="s">
        <v>7113</v>
      </c>
      <c r="G3553" s="180">
        <v>7938</v>
      </c>
      <c r="H3553">
        <v>2020</v>
      </c>
      <c r="J3553" s="1334" t="s">
        <v>475</v>
      </c>
      <c r="K3553" s="1335" t="s">
        <v>920</v>
      </c>
      <c r="L3553" s="180">
        <v>100</v>
      </c>
      <c r="M3553" t="s">
        <v>81</v>
      </c>
      <c r="N3553" t="str">
        <f t="shared" si="222"/>
        <v>Peyton Anderson Enrollment Ctr (PAEC)</v>
      </c>
      <c r="O3553" t="s">
        <v>63</v>
      </c>
      <c r="P3553" t="str">
        <f t="shared" si="223"/>
        <v>83000_PAEC</v>
      </c>
      <c r="Q3553" s="180">
        <v>0</v>
      </c>
    </row>
    <row r="3554" spans="1:17">
      <c r="A3554" t="str">
        <f t="shared" si="220"/>
        <v>MGA_PSC</v>
      </c>
      <c r="B3554" t="str">
        <f t="shared" si="221"/>
        <v>MGA_PROFESSIONAL SCIENCES CENTER</v>
      </c>
      <c r="C3554" t="s">
        <v>464</v>
      </c>
      <c r="D3554" s="180" t="s">
        <v>60</v>
      </c>
      <c r="E3554" t="s">
        <v>6567</v>
      </c>
      <c r="F3554" t="s">
        <v>7114</v>
      </c>
      <c r="G3554" s="180">
        <v>103990</v>
      </c>
      <c r="H3554">
        <v>2007</v>
      </c>
      <c r="J3554" s="1334" t="s">
        <v>520</v>
      </c>
      <c r="K3554" s="1335" t="s">
        <v>475</v>
      </c>
      <c r="L3554" s="180">
        <v>99</v>
      </c>
      <c r="M3554" t="s">
        <v>81</v>
      </c>
      <c r="N3554" t="str">
        <f t="shared" si="222"/>
        <v>PROFESSIONAL SCIENCES CENTER (PSC)</v>
      </c>
      <c r="O3554" t="s">
        <v>63</v>
      </c>
      <c r="P3554" t="str">
        <f t="shared" si="223"/>
        <v>83000_PSC</v>
      </c>
      <c r="Q3554" s="180">
        <v>0</v>
      </c>
    </row>
    <row r="3555" spans="1:17">
      <c r="A3555" t="str">
        <f t="shared" si="220"/>
        <v>MGA_REC</v>
      </c>
      <c r="B3555" t="str">
        <f t="shared" si="221"/>
        <v>MGA_RECREATION &amp; WELLNESS</v>
      </c>
      <c r="C3555" t="s">
        <v>464</v>
      </c>
      <c r="D3555" s="180" t="s">
        <v>60</v>
      </c>
      <c r="E3555" t="s">
        <v>6543</v>
      </c>
      <c r="F3555" t="s">
        <v>6544</v>
      </c>
      <c r="G3555" s="180">
        <v>79431</v>
      </c>
      <c r="H3555">
        <v>2013</v>
      </c>
      <c r="J3555" s="1334" t="s">
        <v>486</v>
      </c>
      <c r="K3555" s="1335" t="s">
        <v>475</v>
      </c>
      <c r="L3555" s="180">
        <v>0</v>
      </c>
      <c r="M3555" t="s">
        <v>81</v>
      </c>
      <c r="N3555" t="str">
        <f t="shared" si="222"/>
        <v>RECREATION &amp; WELLNESS (REC)</v>
      </c>
      <c r="O3555" t="s">
        <v>63</v>
      </c>
      <c r="P3555" t="str">
        <f t="shared" si="223"/>
        <v>83000_REC</v>
      </c>
      <c r="Q3555" s="180">
        <v>0</v>
      </c>
    </row>
    <row r="3556" spans="1:17">
      <c r="A3556" t="str">
        <f t="shared" si="220"/>
        <v>MGA_STEM</v>
      </c>
      <c r="B3556" t="str">
        <f t="shared" si="221"/>
        <v>MGA_SCIENCE,TECHNOLOGY,EDUC&amp;MATH</v>
      </c>
      <c r="C3556" t="s">
        <v>464</v>
      </c>
      <c r="D3556" s="180" t="s">
        <v>60</v>
      </c>
      <c r="E3556" t="s">
        <v>6537</v>
      </c>
      <c r="F3556" t="s">
        <v>6538</v>
      </c>
      <c r="G3556" s="180">
        <v>15225</v>
      </c>
      <c r="H3556">
        <v>2017</v>
      </c>
      <c r="J3556" s="1334" t="s">
        <v>520</v>
      </c>
      <c r="K3556" s="1335" t="s">
        <v>475</v>
      </c>
      <c r="L3556" s="180">
        <v>100</v>
      </c>
      <c r="M3556" t="s">
        <v>96</v>
      </c>
      <c r="N3556" t="str">
        <f t="shared" si="222"/>
        <v>SCIENCE,TECHNOLOGY,EDUC&amp;MATH (STEM)</v>
      </c>
      <c r="O3556" t="s">
        <v>63</v>
      </c>
      <c r="P3556" t="str">
        <f t="shared" si="223"/>
        <v>83000_STEM</v>
      </c>
      <c r="Q3556" s="180">
        <v>0</v>
      </c>
    </row>
    <row r="3557" spans="1:17">
      <c r="A3557" t="str">
        <f t="shared" si="220"/>
        <v>MGA_TEB</v>
      </c>
      <c r="B3557" t="str">
        <f t="shared" si="221"/>
        <v>MGA_TEACHER EDUCATION BUILDING</v>
      </c>
      <c r="C3557" t="s">
        <v>464</v>
      </c>
      <c r="D3557" s="180" t="s">
        <v>60</v>
      </c>
      <c r="E3557" t="s">
        <v>6583</v>
      </c>
      <c r="F3557" t="s">
        <v>6584</v>
      </c>
      <c r="G3557" s="180">
        <v>83062</v>
      </c>
      <c r="H3557">
        <v>2010</v>
      </c>
      <c r="J3557" s="1334" t="s">
        <v>520</v>
      </c>
      <c r="K3557" s="1335" t="s">
        <v>475</v>
      </c>
      <c r="L3557" s="180">
        <v>100</v>
      </c>
      <c r="M3557" t="s">
        <v>81</v>
      </c>
      <c r="N3557" t="str">
        <f t="shared" si="222"/>
        <v>TEACHER EDUCATION BUILDING (TEB)</v>
      </c>
      <c r="O3557" t="s">
        <v>63</v>
      </c>
      <c r="P3557" t="str">
        <f t="shared" si="223"/>
        <v>83000_TEB</v>
      </c>
      <c r="Q3557" s="180">
        <v>0</v>
      </c>
    </row>
    <row r="3558" spans="1:17">
      <c r="A3558" t="str">
        <f t="shared" si="220"/>
        <v>MGA_WRC1</v>
      </c>
      <c r="B3558" t="str">
        <f t="shared" si="221"/>
        <v>MGA_WARNER ROBINS THOMAS</v>
      </c>
      <c r="C3558" t="s">
        <v>464</v>
      </c>
      <c r="D3558" s="180" t="s">
        <v>60</v>
      </c>
      <c r="E3558" t="s">
        <v>6573</v>
      </c>
      <c r="F3558" t="s">
        <v>6574</v>
      </c>
      <c r="G3558" s="180">
        <v>24481</v>
      </c>
      <c r="H3558">
        <v>1951</v>
      </c>
      <c r="I3558">
        <v>2002</v>
      </c>
      <c r="J3558" s="1334" t="s">
        <v>475</v>
      </c>
      <c r="K3558" s="1335" t="s">
        <v>475</v>
      </c>
      <c r="L3558" s="180">
        <v>100</v>
      </c>
      <c r="M3558" t="s">
        <v>96</v>
      </c>
      <c r="N3558" t="str">
        <f t="shared" si="222"/>
        <v>WARNER ROBINS THOMAS (WRC1)</v>
      </c>
      <c r="O3558" t="s">
        <v>63</v>
      </c>
      <c r="P3558" t="str">
        <f t="shared" si="223"/>
        <v>83000_WRC1</v>
      </c>
      <c r="Q3558" s="180">
        <v>0</v>
      </c>
    </row>
    <row r="3559" spans="1:17">
      <c r="A3559" t="str">
        <f t="shared" si="220"/>
        <v>MGA_WRC2</v>
      </c>
      <c r="B3559" t="str">
        <f t="shared" si="221"/>
        <v>MGA_WARNER ROBINS ADMIN</v>
      </c>
      <c r="C3559" t="s">
        <v>464</v>
      </c>
      <c r="D3559" s="180" t="s">
        <v>60</v>
      </c>
      <c r="E3559" t="s">
        <v>6588</v>
      </c>
      <c r="F3559" t="s">
        <v>6589</v>
      </c>
      <c r="G3559" s="180">
        <v>23778</v>
      </c>
      <c r="H3559">
        <v>2002</v>
      </c>
      <c r="J3559" s="1334" t="s">
        <v>475</v>
      </c>
      <c r="K3559" s="1335" t="s">
        <v>475</v>
      </c>
      <c r="L3559" s="180">
        <v>100</v>
      </c>
      <c r="M3559" t="s">
        <v>96</v>
      </c>
      <c r="N3559" t="str">
        <f t="shared" si="222"/>
        <v>WARNER ROBINS ADMIN (WRC2)</v>
      </c>
      <c r="O3559" t="s">
        <v>63</v>
      </c>
      <c r="P3559" t="str">
        <f t="shared" si="223"/>
        <v>83000_WRC2</v>
      </c>
      <c r="Q3559" s="180">
        <v>0</v>
      </c>
    </row>
    <row r="3560" spans="1:17">
      <c r="A3560" t="str">
        <f t="shared" si="220"/>
        <v>MGA_WRC3</v>
      </c>
      <c r="B3560" t="str">
        <f t="shared" si="221"/>
        <v>MGA_OAK HALL</v>
      </c>
      <c r="C3560" t="s">
        <v>464</v>
      </c>
      <c r="D3560" s="180" t="s">
        <v>60</v>
      </c>
      <c r="E3560" t="s">
        <v>6575</v>
      </c>
      <c r="F3560" t="s">
        <v>6576</v>
      </c>
      <c r="G3560" s="180">
        <v>28208</v>
      </c>
      <c r="H3560">
        <v>2007</v>
      </c>
      <c r="J3560" s="1334" t="s">
        <v>520</v>
      </c>
      <c r="K3560" s="1335" t="s">
        <v>475</v>
      </c>
      <c r="L3560" s="180">
        <v>93</v>
      </c>
      <c r="M3560" t="s">
        <v>96</v>
      </c>
      <c r="N3560" t="str">
        <f t="shared" si="222"/>
        <v>OAK HALL (WRC3)</v>
      </c>
      <c r="O3560" t="s">
        <v>63</v>
      </c>
      <c r="P3560" t="str">
        <f t="shared" si="223"/>
        <v>83000_WRC3</v>
      </c>
      <c r="Q3560" s="180">
        <v>0</v>
      </c>
    </row>
    <row r="3561" spans="1:17">
      <c r="A3561" t="str">
        <f t="shared" si="220"/>
        <v>SGA_DG01</v>
      </c>
      <c r="B3561" t="str">
        <f t="shared" si="221"/>
        <v>SGA_THRASH HALL</v>
      </c>
      <c r="C3561" t="s">
        <v>465</v>
      </c>
      <c r="D3561" s="180" t="s">
        <v>346</v>
      </c>
      <c r="E3561" t="s">
        <v>6635</v>
      </c>
      <c r="F3561" t="s">
        <v>6636</v>
      </c>
      <c r="G3561" s="180">
        <v>8562</v>
      </c>
      <c r="H3561">
        <v>1939</v>
      </c>
      <c r="I3561">
        <v>1993</v>
      </c>
      <c r="J3561" s="1334" t="s">
        <v>475</v>
      </c>
      <c r="K3561" s="1335" t="s">
        <v>475</v>
      </c>
      <c r="L3561" s="180">
        <v>100</v>
      </c>
      <c r="M3561" t="s">
        <v>101</v>
      </c>
      <c r="N3561" t="str">
        <f t="shared" si="222"/>
        <v>THRASH HALL (DG01)</v>
      </c>
      <c r="O3561" t="s">
        <v>66</v>
      </c>
      <c r="P3561" t="str">
        <f t="shared" si="223"/>
        <v>88000_DG01</v>
      </c>
      <c r="Q3561" s="180">
        <v>0</v>
      </c>
    </row>
    <row r="3562" spans="1:17">
      <c r="A3562" t="str">
        <f t="shared" si="220"/>
        <v>SGA_DG02</v>
      </c>
      <c r="B3562" t="str">
        <f t="shared" si="221"/>
        <v>SGA_Peterson Hall</v>
      </c>
      <c r="C3562" t="s">
        <v>465</v>
      </c>
      <c r="D3562" s="180" t="s">
        <v>346</v>
      </c>
      <c r="E3562" t="s">
        <v>6631</v>
      </c>
      <c r="F3562" t="s">
        <v>6632</v>
      </c>
      <c r="G3562" s="180">
        <v>34644</v>
      </c>
      <c r="H3562">
        <v>1907</v>
      </c>
      <c r="I3562">
        <v>1984</v>
      </c>
      <c r="J3562" s="1334" t="s">
        <v>475</v>
      </c>
      <c r="K3562" s="1335" t="s">
        <v>475</v>
      </c>
      <c r="L3562" s="180">
        <v>100</v>
      </c>
      <c r="M3562" t="s">
        <v>101</v>
      </c>
      <c r="N3562" t="str">
        <f t="shared" si="222"/>
        <v>Peterson Hall (DG02)</v>
      </c>
      <c r="O3562" t="s">
        <v>66</v>
      </c>
      <c r="P3562" t="str">
        <f t="shared" si="223"/>
        <v>88000_DG02</v>
      </c>
      <c r="Q3562" s="180">
        <v>0</v>
      </c>
    </row>
    <row r="3563" spans="1:17">
      <c r="A3563" t="str">
        <f t="shared" si="220"/>
        <v>SGA_DG03</v>
      </c>
      <c r="B3563" t="str">
        <f t="shared" si="221"/>
        <v>SGA_DAVIS HALL</v>
      </c>
      <c r="C3563" t="s">
        <v>465</v>
      </c>
      <c r="D3563" s="180" t="s">
        <v>346</v>
      </c>
      <c r="E3563" t="s">
        <v>6621</v>
      </c>
      <c r="F3563" t="s">
        <v>6622</v>
      </c>
      <c r="G3563" s="180">
        <v>11159</v>
      </c>
      <c r="H3563">
        <v>1907</v>
      </c>
      <c r="I3563">
        <v>2017</v>
      </c>
      <c r="J3563" s="1334" t="s">
        <v>475</v>
      </c>
      <c r="K3563" s="1335" t="s">
        <v>475</v>
      </c>
      <c r="L3563" s="180">
        <v>100</v>
      </c>
      <c r="M3563" t="s">
        <v>101</v>
      </c>
      <c r="N3563" t="str">
        <f t="shared" si="222"/>
        <v>DAVIS HALL (DG03)</v>
      </c>
      <c r="O3563" t="s">
        <v>66</v>
      </c>
      <c r="P3563" t="str">
        <f t="shared" si="223"/>
        <v>88000_DG03</v>
      </c>
      <c r="Q3563" s="180">
        <v>0</v>
      </c>
    </row>
    <row r="3564" spans="1:17">
      <c r="A3564" t="str">
        <f t="shared" si="220"/>
        <v>SGA_DG04</v>
      </c>
      <c r="B3564" t="str">
        <f t="shared" si="221"/>
        <v>SGA_Powell Hall</v>
      </c>
      <c r="C3564" t="s">
        <v>465</v>
      </c>
      <c r="D3564" s="180" t="s">
        <v>346</v>
      </c>
      <c r="E3564" t="s">
        <v>6608</v>
      </c>
      <c r="F3564" t="s">
        <v>5772</v>
      </c>
      <c r="G3564" s="180">
        <v>11624</v>
      </c>
      <c r="H3564">
        <v>1907</v>
      </c>
      <c r="I3564">
        <v>2021</v>
      </c>
      <c r="J3564" s="1334" t="s">
        <v>520</v>
      </c>
      <c r="K3564" s="1335" t="s">
        <v>475</v>
      </c>
      <c r="L3564" s="180">
        <v>100</v>
      </c>
      <c r="M3564" t="s">
        <v>101</v>
      </c>
      <c r="N3564" t="str">
        <f t="shared" si="222"/>
        <v>Powell Hall (DG04)</v>
      </c>
      <c r="O3564" t="s">
        <v>66</v>
      </c>
      <c r="P3564" t="str">
        <f t="shared" si="223"/>
        <v>88000_DG04</v>
      </c>
      <c r="Q3564" s="180">
        <v>0</v>
      </c>
    </row>
    <row r="3565" spans="1:17">
      <c r="A3565" t="str">
        <f t="shared" si="220"/>
        <v>SGA_DG08</v>
      </c>
      <c r="B3565" t="str">
        <f t="shared" si="221"/>
        <v>SGA_Clower SC</v>
      </c>
      <c r="C3565" t="s">
        <v>465</v>
      </c>
      <c r="D3565" s="180" t="s">
        <v>346</v>
      </c>
      <c r="E3565" t="s">
        <v>6606</v>
      </c>
      <c r="F3565" t="s">
        <v>6607</v>
      </c>
      <c r="G3565" s="180">
        <v>9587</v>
      </c>
      <c r="H3565">
        <v>1936</v>
      </c>
      <c r="I3565">
        <v>2007</v>
      </c>
      <c r="J3565" s="1334" t="s">
        <v>486</v>
      </c>
      <c r="K3565" s="1335" t="s">
        <v>475</v>
      </c>
      <c r="L3565" s="180">
        <v>90</v>
      </c>
      <c r="M3565" t="s">
        <v>101</v>
      </c>
      <c r="N3565" t="str">
        <f t="shared" si="222"/>
        <v>Clower SC (DG08)</v>
      </c>
      <c r="O3565" t="s">
        <v>66</v>
      </c>
      <c r="P3565" t="str">
        <f t="shared" si="223"/>
        <v>88000_DG08</v>
      </c>
      <c r="Q3565" s="180">
        <v>0</v>
      </c>
    </row>
    <row r="3566" spans="1:17">
      <c r="A3566" t="str">
        <f t="shared" si="220"/>
        <v>SGA_DG11</v>
      </c>
      <c r="B3566" t="str">
        <f t="shared" si="221"/>
        <v>SGA_Stubbs Hall</v>
      </c>
      <c r="C3566" t="s">
        <v>465</v>
      </c>
      <c r="D3566" s="180" t="s">
        <v>346</v>
      </c>
      <c r="E3566" t="s">
        <v>6633</v>
      </c>
      <c r="F3566" t="s">
        <v>6634</v>
      </c>
      <c r="G3566" s="180">
        <v>36499</v>
      </c>
      <c r="H3566">
        <v>1958</v>
      </c>
      <c r="I3566">
        <v>2007</v>
      </c>
      <c r="J3566" s="1334" t="s">
        <v>475</v>
      </c>
      <c r="K3566" s="1335" t="s">
        <v>475</v>
      </c>
      <c r="L3566" s="180">
        <v>100</v>
      </c>
      <c r="M3566" t="s">
        <v>101</v>
      </c>
      <c r="N3566" t="str">
        <f t="shared" si="222"/>
        <v>Stubbs Hall (DG11)</v>
      </c>
      <c r="O3566" t="s">
        <v>66</v>
      </c>
      <c r="P3566" t="str">
        <f t="shared" si="223"/>
        <v>88000_DG11</v>
      </c>
      <c r="Q3566" s="180">
        <v>0</v>
      </c>
    </row>
    <row r="3567" spans="1:17">
      <c r="A3567" t="str">
        <f t="shared" si="220"/>
        <v>SGA_DG12</v>
      </c>
      <c r="B3567" t="str">
        <f t="shared" si="221"/>
        <v>SGA_ALUMNI/DEVELOPMENT</v>
      </c>
      <c r="C3567" t="s">
        <v>465</v>
      </c>
      <c r="D3567" s="180" t="s">
        <v>346</v>
      </c>
      <c r="E3567" t="s">
        <v>6598</v>
      </c>
      <c r="F3567" t="s">
        <v>6599</v>
      </c>
      <c r="G3567" s="180">
        <v>3954</v>
      </c>
      <c r="H3567">
        <v>1953</v>
      </c>
      <c r="J3567" s="1334" t="s">
        <v>475</v>
      </c>
      <c r="K3567" s="1335" t="s">
        <v>475</v>
      </c>
      <c r="L3567" s="180">
        <v>100</v>
      </c>
      <c r="M3567" t="s">
        <v>101</v>
      </c>
      <c r="N3567" t="str">
        <f t="shared" si="222"/>
        <v>ALUMNI/DEVELOPMENT (DG12)</v>
      </c>
      <c r="O3567" t="s">
        <v>66</v>
      </c>
      <c r="P3567" t="str">
        <f t="shared" si="223"/>
        <v>88000_DG12</v>
      </c>
      <c r="Q3567" s="180">
        <v>0</v>
      </c>
    </row>
    <row r="3568" spans="1:17">
      <c r="A3568" t="str">
        <f t="shared" si="220"/>
        <v>SGA_DG14</v>
      </c>
      <c r="B3568" t="str">
        <f t="shared" si="221"/>
        <v>SGA_TANNER HALL</v>
      </c>
      <c r="C3568" t="s">
        <v>465</v>
      </c>
      <c r="D3568" s="180" t="s">
        <v>346</v>
      </c>
      <c r="E3568" t="s">
        <v>6602</v>
      </c>
      <c r="F3568" t="s">
        <v>6603</v>
      </c>
      <c r="G3568" s="180">
        <v>24928</v>
      </c>
      <c r="H3568">
        <v>1956</v>
      </c>
      <c r="J3568" s="1334" t="s">
        <v>475</v>
      </c>
      <c r="K3568" s="1335" t="s">
        <v>1520</v>
      </c>
      <c r="L3568" s="180">
        <v>100</v>
      </c>
      <c r="M3568" t="s">
        <v>101</v>
      </c>
      <c r="N3568" t="str">
        <f t="shared" si="222"/>
        <v>TANNER HALL (DG14)</v>
      </c>
      <c r="O3568" t="s">
        <v>66</v>
      </c>
      <c r="P3568" t="str">
        <f t="shared" si="223"/>
        <v>88000_DG14</v>
      </c>
      <c r="Q3568" s="180">
        <v>100</v>
      </c>
    </row>
    <row r="3569" spans="1:17">
      <c r="A3569" t="str">
        <f t="shared" si="220"/>
        <v>SGA_DG15</v>
      </c>
      <c r="B3569" t="str">
        <f t="shared" si="221"/>
        <v>SGA_PHY P SHOP</v>
      </c>
      <c r="C3569" t="s">
        <v>465</v>
      </c>
      <c r="D3569" s="180" t="s">
        <v>346</v>
      </c>
      <c r="E3569" t="s">
        <v>6611</v>
      </c>
      <c r="F3569" t="s">
        <v>6612</v>
      </c>
      <c r="G3569" s="180">
        <v>6974</v>
      </c>
      <c r="H3569">
        <v>1959</v>
      </c>
      <c r="J3569" s="1334" t="s">
        <v>475</v>
      </c>
      <c r="K3569" s="1335" t="s">
        <v>486</v>
      </c>
      <c r="L3569" s="180">
        <v>100</v>
      </c>
      <c r="M3569" t="s">
        <v>101</v>
      </c>
      <c r="N3569" t="str">
        <f t="shared" si="222"/>
        <v>PHY P SHOP (DG15)</v>
      </c>
      <c r="O3569" t="s">
        <v>66</v>
      </c>
      <c r="P3569" t="str">
        <f t="shared" si="223"/>
        <v>88000_DG15</v>
      </c>
      <c r="Q3569" s="180">
        <v>0</v>
      </c>
    </row>
    <row r="3570" spans="1:17">
      <c r="A3570" t="str">
        <f t="shared" si="220"/>
        <v>SGA_DG16</v>
      </c>
      <c r="B3570" t="str">
        <f t="shared" si="221"/>
        <v>SGA_AUTO SHOP</v>
      </c>
      <c r="C3570" t="s">
        <v>465</v>
      </c>
      <c r="D3570" s="180" t="s">
        <v>346</v>
      </c>
      <c r="E3570" t="s">
        <v>6623</v>
      </c>
      <c r="F3570" t="s">
        <v>4033</v>
      </c>
      <c r="G3570" s="180">
        <v>3100</v>
      </c>
      <c r="H3570">
        <v>1948</v>
      </c>
      <c r="I3570">
        <v>2003</v>
      </c>
      <c r="J3570" s="1334" t="s">
        <v>475</v>
      </c>
      <c r="K3570" s="1335" t="s">
        <v>1520</v>
      </c>
      <c r="L3570" s="180">
        <v>100</v>
      </c>
      <c r="M3570" t="s">
        <v>101</v>
      </c>
      <c r="N3570" t="str">
        <f t="shared" si="222"/>
        <v>AUTO SHOP (DG16)</v>
      </c>
      <c r="O3570" t="s">
        <v>66</v>
      </c>
      <c r="P3570" t="str">
        <f t="shared" si="223"/>
        <v>88000_DG16</v>
      </c>
      <c r="Q3570" s="180">
        <v>0</v>
      </c>
    </row>
    <row r="3571" spans="1:17">
      <c r="A3571" t="str">
        <f t="shared" si="220"/>
        <v>SGA_DG17</v>
      </c>
      <c r="B3571" t="str">
        <f t="shared" si="221"/>
        <v>SGA_Library</v>
      </c>
      <c r="C3571" t="s">
        <v>465</v>
      </c>
      <c r="D3571" s="180" t="s">
        <v>346</v>
      </c>
      <c r="E3571" t="s">
        <v>6597</v>
      </c>
      <c r="F3571" t="s">
        <v>4597</v>
      </c>
      <c r="G3571" s="180">
        <v>31977</v>
      </c>
      <c r="H3571">
        <v>1965</v>
      </c>
      <c r="I3571">
        <v>1988</v>
      </c>
      <c r="J3571" s="1334" t="s">
        <v>475</v>
      </c>
      <c r="K3571" s="1335" t="s">
        <v>475</v>
      </c>
      <c r="L3571" s="180">
        <v>100</v>
      </c>
      <c r="M3571" t="s">
        <v>101</v>
      </c>
      <c r="N3571" t="str">
        <f t="shared" si="222"/>
        <v>Library (DG17)</v>
      </c>
      <c r="O3571" t="s">
        <v>66</v>
      </c>
      <c r="P3571" t="str">
        <f t="shared" si="223"/>
        <v>88000_DG17</v>
      </c>
      <c r="Q3571" s="180">
        <v>0</v>
      </c>
    </row>
    <row r="3572" spans="1:17">
      <c r="A3572" t="str">
        <f t="shared" si="220"/>
        <v>SGA_DG18</v>
      </c>
      <c r="B3572" t="str">
        <f t="shared" si="221"/>
        <v>SGA_RICHEY HALL</v>
      </c>
      <c r="C3572" t="s">
        <v>465</v>
      </c>
      <c r="D3572" s="180" t="s">
        <v>346</v>
      </c>
      <c r="E3572" t="s">
        <v>6624</v>
      </c>
      <c r="F3572" t="s">
        <v>6625</v>
      </c>
      <c r="G3572" s="180">
        <v>28738</v>
      </c>
      <c r="H3572">
        <v>1964</v>
      </c>
      <c r="J3572" s="1334" t="s">
        <v>475</v>
      </c>
      <c r="K3572" s="1335" t="s">
        <v>475</v>
      </c>
      <c r="L3572" s="180">
        <v>100</v>
      </c>
      <c r="M3572" t="s">
        <v>101</v>
      </c>
      <c r="N3572" t="str">
        <f t="shared" si="222"/>
        <v>RICHEY HALL (DG18)</v>
      </c>
      <c r="O3572" t="s">
        <v>66</v>
      </c>
      <c r="P3572" t="str">
        <f t="shared" si="223"/>
        <v>88000_DG18</v>
      </c>
      <c r="Q3572" s="180">
        <v>0</v>
      </c>
    </row>
    <row r="3573" spans="1:17">
      <c r="A3573" t="str">
        <f t="shared" si="220"/>
        <v>SGA_DG20</v>
      </c>
      <c r="B3573" t="str">
        <f t="shared" si="221"/>
        <v>SGA_ART BARN</v>
      </c>
      <c r="C3573" t="s">
        <v>465</v>
      </c>
      <c r="D3573" s="180" t="s">
        <v>346</v>
      </c>
      <c r="E3573" t="s">
        <v>6613</v>
      </c>
      <c r="F3573" t="s">
        <v>6614</v>
      </c>
      <c r="G3573" s="180">
        <v>4668</v>
      </c>
      <c r="H3573">
        <v>1927</v>
      </c>
      <c r="I3573">
        <v>2002</v>
      </c>
      <c r="J3573" s="1334" t="s">
        <v>475</v>
      </c>
      <c r="K3573" s="1335" t="s">
        <v>1520</v>
      </c>
      <c r="L3573" s="180">
        <v>100</v>
      </c>
      <c r="M3573" t="s">
        <v>101</v>
      </c>
      <c r="N3573" t="str">
        <f t="shared" si="222"/>
        <v>ART BARN (DG20)</v>
      </c>
      <c r="O3573" t="s">
        <v>66</v>
      </c>
      <c r="P3573" t="str">
        <f t="shared" si="223"/>
        <v>88000_DG20</v>
      </c>
      <c r="Q3573" s="180">
        <v>0</v>
      </c>
    </row>
    <row r="3574" spans="1:17">
      <c r="A3574" t="str">
        <f t="shared" si="220"/>
        <v>SGA_DG21</v>
      </c>
      <c r="B3574" t="str">
        <f t="shared" si="221"/>
        <v>SGA_HPER FLD HOUSE</v>
      </c>
      <c r="C3574" t="s">
        <v>465</v>
      </c>
      <c r="D3574" s="180" t="s">
        <v>346</v>
      </c>
      <c r="E3574" t="s">
        <v>6653</v>
      </c>
      <c r="F3574" t="s">
        <v>6654</v>
      </c>
      <c r="G3574" s="180">
        <v>1410</v>
      </c>
      <c r="H3574">
        <v>1956</v>
      </c>
      <c r="J3574" s="1334" t="s">
        <v>475</v>
      </c>
      <c r="K3574" s="1335" t="s">
        <v>475</v>
      </c>
      <c r="L3574" s="180">
        <v>100</v>
      </c>
      <c r="M3574" t="s">
        <v>101</v>
      </c>
      <c r="N3574" t="str">
        <f t="shared" si="222"/>
        <v>HPER FLD HOUSE (DG21)</v>
      </c>
      <c r="O3574" t="s">
        <v>66</v>
      </c>
      <c r="P3574" t="str">
        <f t="shared" si="223"/>
        <v>88000_DG21</v>
      </c>
      <c r="Q3574" s="180">
        <v>0</v>
      </c>
    </row>
    <row r="3575" spans="1:17">
      <c r="A3575" t="str">
        <f t="shared" si="220"/>
        <v>SGA_DG22</v>
      </c>
      <c r="B3575" t="str">
        <f t="shared" si="221"/>
        <v>SGA_WELLNESS</v>
      </c>
      <c r="C3575" t="s">
        <v>465</v>
      </c>
      <c r="D3575" s="180" t="s">
        <v>346</v>
      </c>
      <c r="E3575" t="s">
        <v>6643</v>
      </c>
      <c r="F3575" t="s">
        <v>6644</v>
      </c>
      <c r="G3575" s="180">
        <v>43413</v>
      </c>
      <c r="H3575">
        <v>1966</v>
      </c>
      <c r="I3575">
        <v>2003</v>
      </c>
      <c r="J3575" s="1334" t="s">
        <v>475</v>
      </c>
      <c r="K3575" s="1335" t="s">
        <v>475</v>
      </c>
      <c r="L3575" s="180">
        <v>100</v>
      </c>
      <c r="M3575" t="s">
        <v>101</v>
      </c>
      <c r="N3575" t="str">
        <f t="shared" si="222"/>
        <v>WELLNESS (DG22)</v>
      </c>
      <c r="O3575" t="s">
        <v>66</v>
      </c>
      <c r="P3575" t="str">
        <f t="shared" si="223"/>
        <v>88000_DG22</v>
      </c>
      <c r="Q3575" s="180">
        <v>0</v>
      </c>
    </row>
    <row r="3576" spans="1:17">
      <c r="A3576" t="str">
        <f t="shared" si="220"/>
        <v>SGA_DG23</v>
      </c>
      <c r="B3576" t="str">
        <f t="shared" si="221"/>
        <v>SGA_Collins Hall</v>
      </c>
      <c r="C3576" t="s">
        <v>465</v>
      </c>
      <c r="D3576" s="180" t="s">
        <v>346</v>
      </c>
      <c r="E3576" t="s">
        <v>6651</v>
      </c>
      <c r="F3576" t="s">
        <v>6652</v>
      </c>
      <c r="G3576" s="180">
        <v>23630</v>
      </c>
      <c r="H3576">
        <v>1970</v>
      </c>
      <c r="J3576" s="1334" t="s">
        <v>475</v>
      </c>
      <c r="K3576" s="1335" t="s">
        <v>475</v>
      </c>
      <c r="L3576" s="180">
        <v>100</v>
      </c>
      <c r="M3576" t="s">
        <v>101</v>
      </c>
      <c r="N3576" t="str">
        <f t="shared" si="222"/>
        <v>Collins Hall (DG23)</v>
      </c>
      <c r="O3576" t="s">
        <v>66</v>
      </c>
      <c r="P3576" t="str">
        <f t="shared" si="223"/>
        <v>88000_DG23</v>
      </c>
      <c r="Q3576" s="180">
        <v>0</v>
      </c>
    </row>
    <row r="3577" spans="1:17">
      <c r="A3577" t="str">
        <f t="shared" si="220"/>
        <v>SGA_DG24</v>
      </c>
      <c r="B3577" t="str">
        <f t="shared" si="221"/>
        <v>SGA_SHANNON HALL</v>
      </c>
      <c r="C3577" t="s">
        <v>465</v>
      </c>
      <c r="D3577" s="180" t="s">
        <v>346</v>
      </c>
      <c r="E3577" t="s">
        <v>6655</v>
      </c>
      <c r="F3577" t="s">
        <v>6656</v>
      </c>
      <c r="G3577" s="180">
        <v>39283</v>
      </c>
      <c r="H3577">
        <v>1970</v>
      </c>
      <c r="J3577" s="1334" t="s">
        <v>475</v>
      </c>
      <c r="K3577" s="1335" t="s">
        <v>475</v>
      </c>
      <c r="L3577" s="180">
        <v>100</v>
      </c>
      <c r="M3577" t="s">
        <v>101</v>
      </c>
      <c r="N3577" t="str">
        <f t="shared" si="222"/>
        <v>SHANNON HALL (DG24)</v>
      </c>
      <c r="O3577" t="s">
        <v>66</v>
      </c>
      <c r="P3577" t="str">
        <f t="shared" si="223"/>
        <v>88000_DG24</v>
      </c>
      <c r="Q3577" s="180">
        <v>0</v>
      </c>
    </row>
    <row r="3578" spans="1:17">
      <c r="A3578" t="str">
        <f t="shared" si="220"/>
        <v>SGA_DG25</v>
      </c>
      <c r="B3578" t="str">
        <f t="shared" si="221"/>
        <v>SGA_ENGRAM HALL</v>
      </c>
      <c r="C3578" t="s">
        <v>465</v>
      </c>
      <c r="D3578" s="180" t="s">
        <v>346</v>
      </c>
      <c r="E3578" t="s">
        <v>6629</v>
      </c>
      <c r="F3578" t="s">
        <v>6630</v>
      </c>
      <c r="G3578" s="180">
        <v>35492</v>
      </c>
      <c r="H3578">
        <v>1970</v>
      </c>
      <c r="I3578">
        <v>2012</v>
      </c>
      <c r="J3578" s="1334" t="s">
        <v>520</v>
      </c>
      <c r="K3578" s="1335" t="s">
        <v>475</v>
      </c>
      <c r="L3578" s="180">
        <v>90</v>
      </c>
      <c r="M3578" t="s">
        <v>101</v>
      </c>
      <c r="N3578" t="str">
        <f t="shared" si="222"/>
        <v>ENGRAM HALL (DG25)</v>
      </c>
      <c r="O3578" t="s">
        <v>66</v>
      </c>
      <c r="P3578" t="str">
        <f t="shared" si="223"/>
        <v>88000_DG25</v>
      </c>
      <c r="Q3578" s="180">
        <v>0</v>
      </c>
    </row>
    <row r="3579" spans="1:17">
      <c r="A3579" t="str">
        <f t="shared" si="220"/>
        <v>SGA_DG26</v>
      </c>
      <c r="B3579" t="str">
        <f t="shared" si="221"/>
        <v>SGA_GOLF SHACK</v>
      </c>
      <c r="C3579" t="s">
        <v>465</v>
      </c>
      <c r="D3579" s="180" t="s">
        <v>346</v>
      </c>
      <c r="E3579" t="s">
        <v>6637</v>
      </c>
      <c r="F3579" t="s">
        <v>6638</v>
      </c>
      <c r="G3579" s="180">
        <v>722</v>
      </c>
      <c r="H3579">
        <v>1930</v>
      </c>
      <c r="J3579" s="1334" t="s">
        <v>475</v>
      </c>
      <c r="K3579" s="1335" t="s">
        <v>475</v>
      </c>
      <c r="L3579" s="180">
        <v>0</v>
      </c>
      <c r="M3579" t="s">
        <v>101</v>
      </c>
      <c r="N3579" t="str">
        <f t="shared" si="222"/>
        <v>GOLF SHACK (DG26)</v>
      </c>
      <c r="O3579" t="s">
        <v>66</v>
      </c>
      <c r="P3579" t="str">
        <f t="shared" si="223"/>
        <v>88000_DG26</v>
      </c>
      <c r="Q3579" s="180">
        <v>0</v>
      </c>
    </row>
    <row r="3580" spans="1:17">
      <c r="A3580" t="str">
        <f t="shared" si="220"/>
        <v>SGA_DG27</v>
      </c>
      <c r="B3580" t="str">
        <f t="shared" si="221"/>
        <v>SGA_FLOYD HALL</v>
      </c>
      <c r="C3580" t="s">
        <v>465</v>
      </c>
      <c r="D3580" s="180" t="s">
        <v>346</v>
      </c>
      <c r="E3580" t="s">
        <v>6615</v>
      </c>
      <c r="F3580" t="s">
        <v>6616</v>
      </c>
      <c r="G3580" s="180">
        <v>59884</v>
      </c>
      <c r="H3580">
        <v>1974</v>
      </c>
      <c r="J3580" s="1334" t="s">
        <v>475</v>
      </c>
      <c r="K3580" s="1335" t="s">
        <v>520</v>
      </c>
      <c r="L3580" s="180">
        <v>90</v>
      </c>
      <c r="M3580" t="s">
        <v>101</v>
      </c>
      <c r="N3580" t="str">
        <f t="shared" si="222"/>
        <v>FLOYD HALL (DG27)</v>
      </c>
      <c r="O3580" t="s">
        <v>66</v>
      </c>
      <c r="P3580" t="str">
        <f t="shared" si="223"/>
        <v>88000_DG27</v>
      </c>
      <c r="Q3580" s="180">
        <v>0</v>
      </c>
    </row>
    <row r="3581" spans="1:17">
      <c r="A3581" t="str">
        <f t="shared" si="220"/>
        <v>SGA_DG28</v>
      </c>
      <c r="B3581" t="str">
        <f t="shared" si="221"/>
        <v>SGA_NURSING</v>
      </c>
      <c r="C3581" t="s">
        <v>465</v>
      </c>
      <c r="D3581" s="180" t="s">
        <v>346</v>
      </c>
      <c r="E3581" t="s">
        <v>6609</v>
      </c>
      <c r="F3581" t="s">
        <v>6610</v>
      </c>
      <c r="G3581" s="180">
        <v>9724</v>
      </c>
      <c r="H3581">
        <v>1976</v>
      </c>
      <c r="J3581" s="1334" t="s">
        <v>475</v>
      </c>
      <c r="K3581" s="1335" t="s">
        <v>475</v>
      </c>
      <c r="L3581" s="180">
        <v>100</v>
      </c>
      <c r="M3581" t="s">
        <v>101</v>
      </c>
      <c r="N3581" t="str">
        <f t="shared" si="222"/>
        <v>NURSING (DG28)</v>
      </c>
      <c r="O3581" t="s">
        <v>66</v>
      </c>
      <c r="P3581" t="str">
        <f t="shared" si="223"/>
        <v>88000_DG28</v>
      </c>
      <c r="Q3581" s="180">
        <v>0</v>
      </c>
    </row>
    <row r="3582" spans="1:17">
      <c r="A3582" t="str">
        <f t="shared" si="220"/>
        <v>SGA_DG29</v>
      </c>
      <c r="B3582" t="str">
        <f t="shared" si="221"/>
        <v>SGA_STADIUM/CONCESSION</v>
      </c>
      <c r="C3582" t="s">
        <v>465</v>
      </c>
      <c r="D3582" s="180" t="s">
        <v>346</v>
      </c>
      <c r="E3582" t="s">
        <v>6600</v>
      </c>
      <c r="F3582" t="s">
        <v>6601</v>
      </c>
      <c r="G3582" s="180">
        <v>8265</v>
      </c>
      <c r="H3582">
        <v>1975</v>
      </c>
      <c r="I3582">
        <v>2002</v>
      </c>
      <c r="J3582" s="1334" t="s">
        <v>475</v>
      </c>
      <c r="K3582" s="1335" t="s">
        <v>475</v>
      </c>
      <c r="L3582" s="180">
        <v>100</v>
      </c>
      <c r="M3582" t="s">
        <v>101</v>
      </c>
      <c r="N3582" t="str">
        <f t="shared" si="222"/>
        <v>STADIUM/CONCESSION (DG29)</v>
      </c>
      <c r="O3582" t="s">
        <v>66</v>
      </c>
      <c r="P3582" t="str">
        <f t="shared" si="223"/>
        <v>88000_DG29</v>
      </c>
      <c r="Q3582" s="180">
        <v>0</v>
      </c>
    </row>
    <row r="3583" spans="1:17">
      <c r="A3583" t="str">
        <f t="shared" si="220"/>
        <v>SGA_DG30</v>
      </c>
      <c r="B3583" t="str">
        <f t="shared" si="221"/>
        <v>SGA_Tiger Village I</v>
      </c>
      <c r="C3583" t="s">
        <v>465</v>
      </c>
      <c r="D3583" s="180" t="s">
        <v>346</v>
      </c>
      <c r="E3583" t="s">
        <v>6639</v>
      </c>
      <c r="F3583" t="s">
        <v>6640</v>
      </c>
      <c r="G3583" s="180">
        <v>77432</v>
      </c>
      <c r="H3583">
        <v>2007</v>
      </c>
      <c r="J3583" s="1334" t="s">
        <v>486</v>
      </c>
      <c r="K3583" s="1335" t="s">
        <v>920</v>
      </c>
      <c r="L3583" s="180">
        <v>0</v>
      </c>
      <c r="M3583" t="s">
        <v>101</v>
      </c>
      <c r="N3583" t="str">
        <f t="shared" si="222"/>
        <v>Tiger Village I (DG30)</v>
      </c>
      <c r="O3583" t="s">
        <v>66</v>
      </c>
      <c r="P3583" t="str">
        <f t="shared" si="223"/>
        <v>88000_DG30</v>
      </c>
      <c r="Q3583" s="180">
        <v>0</v>
      </c>
    </row>
    <row r="3584" spans="1:17">
      <c r="A3584" t="str">
        <f t="shared" si="220"/>
        <v>SGA_DG31</v>
      </c>
      <c r="B3584" t="str">
        <f t="shared" si="221"/>
        <v>SGA_Tiger Village II</v>
      </c>
      <c r="C3584" t="s">
        <v>465</v>
      </c>
      <c r="D3584" s="180" t="s">
        <v>346</v>
      </c>
      <c r="E3584" t="s">
        <v>6604</v>
      </c>
      <c r="F3584" t="s">
        <v>6605</v>
      </c>
      <c r="G3584" s="180">
        <v>91924</v>
      </c>
      <c r="H3584">
        <v>2010</v>
      </c>
      <c r="J3584" s="1334" t="s">
        <v>486</v>
      </c>
      <c r="K3584" s="1335" t="s">
        <v>920</v>
      </c>
      <c r="L3584" s="180">
        <v>0</v>
      </c>
      <c r="M3584" t="s">
        <v>101</v>
      </c>
      <c r="N3584" t="str">
        <f t="shared" si="222"/>
        <v>Tiger Village II (DG31)</v>
      </c>
      <c r="O3584" t="s">
        <v>66</v>
      </c>
      <c r="P3584" t="str">
        <f t="shared" si="223"/>
        <v>88000_DG31</v>
      </c>
      <c r="Q3584" s="180">
        <v>0</v>
      </c>
    </row>
    <row r="3585" spans="1:17">
      <c r="A3585" t="str">
        <f t="shared" si="220"/>
        <v>SGA_WC01</v>
      </c>
      <c r="B3585" t="str">
        <f t="shared" si="221"/>
        <v>SGA_Admin Bldg</v>
      </c>
      <c r="C3585" t="s">
        <v>465</v>
      </c>
      <c r="D3585" s="180" t="s">
        <v>346</v>
      </c>
      <c r="E3585" t="s">
        <v>6647</v>
      </c>
      <c r="F3585" t="s">
        <v>6648</v>
      </c>
      <c r="G3585" s="180">
        <v>49197</v>
      </c>
      <c r="H3585">
        <v>1976</v>
      </c>
      <c r="J3585" s="1334" t="s">
        <v>520</v>
      </c>
      <c r="K3585" s="1335" t="s">
        <v>475</v>
      </c>
      <c r="L3585" s="180">
        <v>100</v>
      </c>
      <c r="M3585" t="s">
        <v>102</v>
      </c>
      <c r="N3585" t="str">
        <f t="shared" si="222"/>
        <v>Admin Bldg (WC01)</v>
      </c>
      <c r="O3585" t="s">
        <v>66</v>
      </c>
      <c r="P3585" t="str">
        <f t="shared" si="223"/>
        <v>88000_WC01</v>
      </c>
      <c r="Q3585" s="180">
        <v>0</v>
      </c>
    </row>
    <row r="3586" spans="1:17">
      <c r="A3586" t="str">
        <f t="shared" si="220"/>
        <v>SGA_WC02</v>
      </c>
      <c r="B3586" t="str">
        <f t="shared" si="221"/>
        <v>SGA_Physical Plant-WC</v>
      </c>
      <c r="C3586" t="s">
        <v>465</v>
      </c>
      <c r="D3586" s="180" t="s">
        <v>346</v>
      </c>
      <c r="E3586" t="s">
        <v>6626</v>
      </c>
      <c r="F3586" t="s">
        <v>6627</v>
      </c>
      <c r="G3586" s="180">
        <v>6769</v>
      </c>
      <c r="H3586">
        <v>1976</v>
      </c>
      <c r="J3586" s="1334" t="s">
        <v>475</v>
      </c>
      <c r="K3586" s="1335" t="s">
        <v>475</v>
      </c>
      <c r="L3586" s="180">
        <v>100</v>
      </c>
      <c r="M3586" t="s">
        <v>102</v>
      </c>
      <c r="N3586" t="str">
        <f t="shared" si="222"/>
        <v>Physical Plant-WC (WC02)</v>
      </c>
      <c r="O3586" t="s">
        <v>66</v>
      </c>
      <c r="P3586" t="str">
        <f t="shared" si="223"/>
        <v>88000_WC02</v>
      </c>
      <c r="Q3586" s="180">
        <v>0</v>
      </c>
    </row>
    <row r="3587" spans="1:17">
      <c r="A3587" t="str">
        <f t="shared" ref="A3587:A3596" si="224">_xlfn.CONCAT(D3587,"_",E3587)</f>
        <v>SGA_WC03</v>
      </c>
      <c r="B3587" t="str">
        <f t="shared" ref="B3587:B3596" si="225">_xlfn.CONCAT(D3587,"_",F3587)</f>
        <v>SGA_Phys Ed Bldg</v>
      </c>
      <c r="C3587" t="s">
        <v>465</v>
      </c>
      <c r="D3587" s="180" t="s">
        <v>346</v>
      </c>
      <c r="E3587" t="s">
        <v>6617</v>
      </c>
      <c r="F3587" t="s">
        <v>6618</v>
      </c>
      <c r="G3587" s="180">
        <v>20543</v>
      </c>
      <c r="H3587">
        <v>1976</v>
      </c>
      <c r="J3587" s="1334" t="s">
        <v>475</v>
      </c>
      <c r="K3587" s="1335" t="s">
        <v>475</v>
      </c>
      <c r="L3587" s="180">
        <v>100</v>
      </c>
      <c r="M3587" t="s">
        <v>102</v>
      </c>
      <c r="N3587" t="str">
        <f t="shared" ref="N3587:N3596" si="226">_xlfn.CONCAT(F3587," (",E3587,")")</f>
        <v>Phys Ed Bldg (WC03)</v>
      </c>
      <c r="O3587" t="s">
        <v>66</v>
      </c>
      <c r="P3587" t="str">
        <f t="shared" ref="P3587:P3596" si="227">_xlfn.CONCAT(C3587,"_",E3587)</f>
        <v>88000_WC03</v>
      </c>
      <c r="Q3587" s="180">
        <v>0</v>
      </c>
    </row>
    <row r="3588" spans="1:17">
      <c r="A3588" t="str">
        <f t="shared" si="224"/>
        <v>SGA_WC04</v>
      </c>
      <c r="B3588" t="str">
        <f t="shared" si="225"/>
        <v>SGA_Maintenance Shed-WC</v>
      </c>
      <c r="C3588" t="s">
        <v>465</v>
      </c>
      <c r="D3588" s="180" t="s">
        <v>346</v>
      </c>
      <c r="E3588" t="s">
        <v>6657</v>
      </c>
      <c r="F3588" t="s">
        <v>6658</v>
      </c>
      <c r="G3588" s="180">
        <v>1062</v>
      </c>
      <c r="H3588">
        <v>1976</v>
      </c>
      <c r="J3588" s="1334" t="s">
        <v>475</v>
      </c>
      <c r="K3588" s="1335" t="s">
        <v>475</v>
      </c>
      <c r="L3588" s="180">
        <v>100</v>
      </c>
      <c r="M3588" t="s">
        <v>102</v>
      </c>
      <c r="N3588" t="str">
        <f t="shared" si="226"/>
        <v>Maintenance Shed-WC (WC04)</v>
      </c>
      <c r="O3588" t="s">
        <v>66</v>
      </c>
      <c r="P3588" t="str">
        <f t="shared" si="227"/>
        <v>88000_WC04</v>
      </c>
      <c r="Q3588" s="180">
        <v>0</v>
      </c>
    </row>
    <row r="3589" spans="1:17">
      <c r="A3589" t="str">
        <f t="shared" si="224"/>
        <v>SGA_WC05</v>
      </c>
      <c r="B3589" t="str">
        <f t="shared" si="225"/>
        <v>SGA_DINING HALL</v>
      </c>
      <c r="C3589" t="s">
        <v>465</v>
      </c>
      <c r="D3589" s="180" t="s">
        <v>346</v>
      </c>
      <c r="E3589" t="s">
        <v>6628</v>
      </c>
      <c r="F3589" t="s">
        <v>1479</v>
      </c>
      <c r="G3589" s="180">
        <v>17765</v>
      </c>
      <c r="H3589">
        <v>1927</v>
      </c>
      <c r="I3589">
        <v>2011</v>
      </c>
      <c r="J3589" s="1334" t="s">
        <v>486</v>
      </c>
      <c r="K3589" s="1335" t="s">
        <v>486</v>
      </c>
      <c r="L3589" s="180">
        <v>0</v>
      </c>
      <c r="M3589" t="s">
        <v>102</v>
      </c>
      <c r="N3589" t="str">
        <f t="shared" si="226"/>
        <v>DINING HALL (WC05)</v>
      </c>
      <c r="O3589" t="s">
        <v>66</v>
      </c>
      <c r="P3589" t="str">
        <f t="shared" si="227"/>
        <v>88000_WC05</v>
      </c>
      <c r="Q3589" s="180">
        <v>13</v>
      </c>
    </row>
    <row r="3590" spans="1:17">
      <c r="A3590" t="str">
        <f t="shared" si="224"/>
        <v>SGA_WC06</v>
      </c>
      <c r="B3590" t="str">
        <f t="shared" si="225"/>
        <v>SGA_PE Storage-WC</v>
      </c>
      <c r="C3590" t="s">
        <v>465</v>
      </c>
      <c r="D3590" s="180" t="s">
        <v>346</v>
      </c>
      <c r="E3590" t="s">
        <v>6619</v>
      </c>
      <c r="F3590" t="s">
        <v>6620</v>
      </c>
      <c r="G3590" s="180">
        <v>1746</v>
      </c>
      <c r="H3590">
        <v>1983</v>
      </c>
      <c r="J3590" s="1334" t="s">
        <v>475</v>
      </c>
      <c r="K3590" s="1335" t="s">
        <v>475</v>
      </c>
      <c r="L3590" s="180">
        <v>100</v>
      </c>
      <c r="M3590" t="s">
        <v>102</v>
      </c>
      <c r="N3590" t="str">
        <f t="shared" si="226"/>
        <v>PE Storage-WC (WC06)</v>
      </c>
      <c r="O3590" t="s">
        <v>66</v>
      </c>
      <c r="P3590" t="str">
        <f t="shared" si="227"/>
        <v>88000_WC06</v>
      </c>
      <c r="Q3590" s="180">
        <v>3</v>
      </c>
    </row>
    <row r="3591" spans="1:17">
      <c r="A3591" t="str">
        <f t="shared" si="224"/>
        <v>SGA_WC07</v>
      </c>
      <c r="B3591" t="str">
        <f t="shared" si="225"/>
        <v>SGA_Educ Bldg</v>
      </c>
      <c r="C3591" t="s">
        <v>465</v>
      </c>
      <c r="D3591" s="180" t="s">
        <v>346</v>
      </c>
      <c r="E3591" t="s">
        <v>6641</v>
      </c>
      <c r="F3591" t="s">
        <v>6642</v>
      </c>
      <c r="G3591" s="180">
        <v>23517</v>
      </c>
      <c r="H3591">
        <v>1984</v>
      </c>
      <c r="J3591" s="1334" t="s">
        <v>475</v>
      </c>
      <c r="K3591" s="1335" t="s">
        <v>475</v>
      </c>
      <c r="L3591" s="180">
        <v>100</v>
      </c>
      <c r="M3591" t="s">
        <v>102</v>
      </c>
      <c r="N3591" t="str">
        <f t="shared" si="226"/>
        <v>Educ Bldg (WC07)</v>
      </c>
      <c r="O3591" t="s">
        <v>66</v>
      </c>
      <c r="P3591" t="str">
        <f t="shared" si="227"/>
        <v>88000_WC07</v>
      </c>
      <c r="Q3591" s="180">
        <v>86</v>
      </c>
    </row>
    <row r="3592" spans="1:17">
      <c r="A3592" t="str">
        <f t="shared" si="224"/>
        <v>SGA_WC08</v>
      </c>
      <c r="B3592" t="str">
        <f t="shared" si="225"/>
        <v>SGA_Maintenance Storage-WC</v>
      </c>
      <c r="C3592" t="s">
        <v>465</v>
      </c>
      <c r="D3592" s="180" t="s">
        <v>346</v>
      </c>
      <c r="E3592" t="s">
        <v>6645</v>
      </c>
      <c r="F3592" t="s">
        <v>6646</v>
      </c>
      <c r="G3592" s="180">
        <v>4100</v>
      </c>
      <c r="H3592">
        <v>1998</v>
      </c>
      <c r="J3592" s="1334" t="s">
        <v>475</v>
      </c>
      <c r="K3592" s="1335" t="s">
        <v>475</v>
      </c>
      <c r="L3592" s="180">
        <v>100</v>
      </c>
      <c r="M3592" t="s">
        <v>102</v>
      </c>
      <c r="N3592" t="str">
        <f t="shared" si="226"/>
        <v>Maintenance Storage-WC (WC08)</v>
      </c>
      <c r="O3592" t="s">
        <v>66</v>
      </c>
      <c r="P3592" t="str">
        <f t="shared" si="227"/>
        <v>88000_WC08</v>
      </c>
      <c r="Q3592" s="180">
        <v>0</v>
      </c>
    </row>
    <row r="3593" spans="1:17">
      <c r="A3593" t="str">
        <f t="shared" si="224"/>
        <v>SGA_WC09</v>
      </c>
      <c r="B3593" t="str">
        <f t="shared" si="225"/>
        <v>SGA_Student Services Building-WC</v>
      </c>
      <c r="C3593" t="s">
        <v>465</v>
      </c>
      <c r="D3593" s="180" t="s">
        <v>346</v>
      </c>
      <c r="E3593" t="s">
        <v>6649</v>
      </c>
      <c r="F3593" t="s">
        <v>6650</v>
      </c>
      <c r="G3593" s="180">
        <v>28850</v>
      </c>
      <c r="H3593">
        <v>1998</v>
      </c>
      <c r="J3593" s="1334" t="s">
        <v>475</v>
      </c>
      <c r="K3593" s="1335" t="s">
        <v>475</v>
      </c>
      <c r="L3593" s="180">
        <v>80</v>
      </c>
      <c r="M3593" t="s">
        <v>102</v>
      </c>
      <c r="N3593" t="str">
        <f t="shared" si="226"/>
        <v>Student Services Building-WC (WC09)</v>
      </c>
      <c r="O3593" t="s">
        <v>66</v>
      </c>
      <c r="P3593" t="str">
        <f t="shared" si="227"/>
        <v>88000_WC09</v>
      </c>
      <c r="Q3593" s="180">
        <v>0</v>
      </c>
    </row>
    <row r="3594" spans="1:17">
      <c r="A3594" t="str">
        <f t="shared" si="224"/>
        <v>VSU_0024</v>
      </c>
      <c r="B3594" t="str">
        <f t="shared" si="225"/>
        <v>VSU_Maintenance Storage</v>
      </c>
      <c r="C3594" t="s">
        <v>458</v>
      </c>
      <c r="D3594" s="180" t="s">
        <v>34</v>
      </c>
      <c r="E3594" t="s">
        <v>548</v>
      </c>
      <c r="F3594" t="s">
        <v>5163</v>
      </c>
      <c r="G3594" s="180">
        <v>627</v>
      </c>
      <c r="H3594">
        <v>2005</v>
      </c>
      <c r="J3594" s="1334" t="s">
        <v>486</v>
      </c>
      <c r="K3594" s="1335" t="s">
        <v>920</v>
      </c>
      <c r="L3594" s="180">
        <v>100</v>
      </c>
      <c r="N3594" t="str">
        <f t="shared" si="226"/>
        <v>Maintenance Storage (0024)</v>
      </c>
      <c r="O3594" t="s">
        <v>56</v>
      </c>
      <c r="P3594" t="str">
        <f t="shared" si="227"/>
        <v>61000_0024</v>
      </c>
      <c r="Q3594" s="180">
        <v>100</v>
      </c>
    </row>
    <row r="3595" spans="1:17">
      <c r="A3595" t="str">
        <f t="shared" si="224"/>
        <v>VSU_1301</v>
      </c>
      <c r="B3595" t="str">
        <f t="shared" si="225"/>
        <v>VSU_Sustella Parking Garage</v>
      </c>
      <c r="C3595" t="s">
        <v>458</v>
      </c>
      <c r="D3595" s="180" t="s">
        <v>34</v>
      </c>
      <c r="E3595" t="s">
        <v>5866</v>
      </c>
      <c r="F3595" t="s">
        <v>5867</v>
      </c>
      <c r="G3595" s="180">
        <v>399429</v>
      </c>
      <c r="H3595">
        <v>2008</v>
      </c>
      <c r="J3595" s="1334" t="s">
        <v>486</v>
      </c>
      <c r="K3595" s="1335" t="s">
        <v>920</v>
      </c>
      <c r="L3595" s="180">
        <v>1</v>
      </c>
      <c r="N3595" t="str">
        <f t="shared" si="226"/>
        <v>Sustella Parking Garage (1301)</v>
      </c>
      <c r="O3595" t="s">
        <v>56</v>
      </c>
      <c r="P3595" t="str">
        <f t="shared" si="227"/>
        <v>61000_1301</v>
      </c>
      <c r="Q3595" s="180">
        <v>1</v>
      </c>
    </row>
    <row r="3596" spans="1:17">
      <c r="A3596" t="str">
        <f t="shared" si="224"/>
        <v>VSU_1302</v>
      </c>
      <c r="B3596" t="str">
        <f t="shared" si="225"/>
        <v>VSU_Oak Street Parking Garage</v>
      </c>
      <c r="C3596" t="s">
        <v>458</v>
      </c>
      <c r="D3596" s="180" t="s">
        <v>34</v>
      </c>
      <c r="E3596" t="s">
        <v>5841</v>
      </c>
      <c r="F3596" t="s">
        <v>5842</v>
      </c>
      <c r="G3596" s="180">
        <v>356593</v>
      </c>
      <c r="H3596">
        <v>2008</v>
      </c>
      <c r="J3596" s="1334" t="s">
        <v>486</v>
      </c>
      <c r="K3596" s="1335" t="s">
        <v>920</v>
      </c>
      <c r="L3596" s="180">
        <v>7</v>
      </c>
      <c r="N3596" t="str">
        <f t="shared" si="226"/>
        <v>Oak Street Parking Garage (1302)</v>
      </c>
      <c r="O3596" t="s">
        <v>56</v>
      </c>
      <c r="P3596" t="str">
        <f t="shared" si="227"/>
        <v>61000_1302</v>
      </c>
      <c r="Q3596" s="180">
        <v>7</v>
      </c>
    </row>
  </sheetData>
  <sheetProtection algorithmName="SHA-512" hashValue="om6EwWz8AKNvqLQlIvVZcZYSpp/mGr1ZHTm17rsWt1qylc+poa5faQCf1vgt7xHm5DQoAcd3rB8J17mw/8dNiQ==" saltValue="tGv+arrpbosf5BWy99B6Zg==" spinCount="100000" sheet="1" selectLockedCells="1" autoFilter="0"/>
  <autoFilter ref="A1:O3596" xr:uid="{00000000-0001-0000-0800-000000000000}"/>
  <conditionalFormatting sqref="G2:G3204">
    <cfRule type="expression" dxfId="11" priority="12">
      <formula>CB2&lt;&gt;""</formula>
    </cfRule>
  </conditionalFormatting>
  <conditionalFormatting sqref="G3206:G3596">
    <cfRule type="expression" dxfId="10" priority="7">
      <formula>CB3206&lt;&gt;""</formula>
    </cfRule>
  </conditionalFormatting>
  <conditionalFormatting sqref="J2:J3596">
    <cfRule type="expression" dxfId="9" priority="5">
      <formula>DA2&lt;&gt;""</formula>
    </cfRule>
  </conditionalFormatting>
  <conditionalFormatting sqref="K2:K3596">
    <cfRule type="expression" dxfId="8" priority="6">
      <formula>CX2&lt;&gt;""</formula>
    </cfRule>
  </conditionalFormatting>
  <conditionalFormatting sqref="L2:L3596">
    <cfRule type="expression" dxfId="7" priority="3">
      <formula>CM2&lt;&gt;""</formula>
    </cfRule>
  </conditionalFormatting>
  <conditionalFormatting sqref="Q2:Q3596">
    <cfRule type="expression" dxfId="6" priority="4">
      <formula>CL2&lt;&gt;""</formula>
    </cfRule>
  </conditionalFormatting>
  <pageMargins left="0.7" right="0.7" top="0.75" bottom="0.75" header="0.3" footer="0.3"/>
  <pageSetup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14D0A-1B2B-47C1-8E67-34CC4F90EA56}">
  <sheetPr codeName="Sheet10">
    <tabColor rgb="FFFFFF00"/>
  </sheetPr>
  <dimension ref="A1:V88"/>
  <sheetViews>
    <sheetView topLeftCell="A43" workbookViewId="0">
      <selection activeCell="D24" sqref="D24"/>
    </sheetView>
  </sheetViews>
  <sheetFormatPr defaultRowHeight="12.75"/>
  <cols>
    <col min="1" max="1" width="6.5703125" customWidth="1"/>
    <col min="2" max="2" width="30.5703125" customWidth="1"/>
    <col min="3" max="6" width="14" customWidth="1"/>
    <col min="7" max="7" width="12.7109375" customWidth="1"/>
    <col min="8" max="8" width="9.42578125" customWidth="1"/>
    <col min="9" max="9" width="11.28515625" customWidth="1"/>
    <col min="10" max="10" width="12.42578125" customWidth="1"/>
    <col min="11" max="11" width="10.7109375" customWidth="1"/>
    <col min="12" max="12" width="10" customWidth="1"/>
    <col min="13" max="13" width="10.140625" customWidth="1"/>
    <col min="14" max="14" width="9.85546875" customWidth="1"/>
    <col min="15" max="15" width="10.140625" customWidth="1"/>
    <col min="16" max="16" width="10.42578125" customWidth="1"/>
    <col min="17" max="17" width="9.85546875" customWidth="1"/>
    <col min="18" max="18" width="10.28515625" customWidth="1"/>
    <col min="21" max="21" width="10.7109375" customWidth="1"/>
  </cols>
  <sheetData>
    <row r="1" spans="1:22">
      <c r="A1" s="747"/>
      <c r="B1" s="750" t="s">
        <v>7563</v>
      </c>
      <c r="C1" s="747"/>
      <c r="D1" s="747"/>
      <c r="E1" s="747"/>
      <c r="F1" s="747"/>
      <c r="G1" s="747"/>
      <c r="H1" s="747"/>
      <c r="I1" s="747"/>
      <c r="J1" s="747"/>
      <c r="K1" s="747"/>
      <c r="L1" s="747"/>
      <c r="M1" s="747"/>
      <c r="N1" s="747"/>
      <c r="O1" s="747"/>
      <c r="P1" s="747"/>
      <c r="Q1" s="747"/>
      <c r="R1" s="747"/>
      <c r="S1" s="747"/>
      <c r="T1" s="747"/>
      <c r="U1" s="747"/>
      <c r="V1" s="747"/>
    </row>
    <row r="2" spans="1:22" ht="13.5" thickBot="1">
      <c r="A2" s="747"/>
      <c r="B2" s="747"/>
      <c r="C2" s="747"/>
      <c r="D2" s="747"/>
      <c r="E2" s="747"/>
      <c r="F2" s="747"/>
      <c r="G2" s="747"/>
      <c r="H2" s="747"/>
      <c r="I2" s="747"/>
      <c r="J2" s="747"/>
      <c r="K2" s="747"/>
      <c r="L2" s="747"/>
      <c r="M2" s="747"/>
      <c r="N2" s="747"/>
      <c r="O2" s="747"/>
      <c r="P2" s="747"/>
      <c r="Q2" s="747"/>
      <c r="R2" s="747"/>
      <c r="S2" s="747"/>
      <c r="T2" s="747"/>
      <c r="U2" s="747"/>
      <c r="V2" s="747"/>
    </row>
    <row r="3" spans="1:22">
      <c r="A3" s="747"/>
      <c r="B3" s="981" t="s">
        <v>154</v>
      </c>
      <c r="C3" s="982">
        <f>'TAB 1 Proj. ID &amp; Prim Narrative'!D10</f>
        <v>0</v>
      </c>
      <c r="D3" s="862"/>
      <c r="E3" s="862"/>
      <c r="F3" s="863"/>
      <c r="G3" s="747"/>
      <c r="H3" s="747"/>
      <c r="I3" s="747"/>
      <c r="J3" s="747"/>
      <c r="K3" s="747"/>
      <c r="L3" s="747"/>
      <c r="M3" s="747"/>
      <c r="N3" s="747"/>
      <c r="O3" s="747"/>
      <c r="P3" s="747"/>
      <c r="Q3" s="747"/>
      <c r="R3" s="747"/>
      <c r="S3" s="747"/>
      <c r="T3" s="747"/>
      <c r="U3" s="747"/>
      <c r="V3" s="747"/>
    </row>
    <row r="4" spans="1:22">
      <c r="A4" s="747"/>
      <c r="B4" s="1111" t="s">
        <v>6701</v>
      </c>
      <c r="C4" s="1112">
        <f>'TAB 1 Proj. ID &amp; Prim Narrative'!B7</f>
        <v>0</v>
      </c>
      <c r="D4" s="830"/>
      <c r="E4" s="830"/>
      <c r="F4" s="1113"/>
      <c r="G4" s="747"/>
      <c r="H4" s="747"/>
      <c r="I4" s="747"/>
      <c r="J4" s="747"/>
      <c r="K4" s="747"/>
      <c r="L4" s="747"/>
      <c r="M4" s="747"/>
      <c r="N4" s="747"/>
      <c r="O4" s="747"/>
      <c r="P4" s="747"/>
      <c r="Q4" s="747"/>
      <c r="R4" s="747"/>
      <c r="S4" s="747"/>
      <c r="T4" s="747"/>
      <c r="U4" s="747"/>
      <c r="V4" s="747"/>
    </row>
    <row r="5" spans="1:22" ht="13.5" thickBot="1">
      <c r="A5" s="747"/>
      <c r="B5" s="987" t="s">
        <v>100</v>
      </c>
      <c r="C5" s="988">
        <f>'TAB 1 Proj. ID &amp; Prim Narrative'!F7</f>
        <v>0</v>
      </c>
      <c r="D5" s="1114"/>
      <c r="E5" s="1114"/>
      <c r="F5" s="990"/>
      <c r="G5" s="747"/>
      <c r="H5" s="747"/>
      <c r="I5" s="747"/>
      <c r="J5" s="747"/>
      <c r="K5" s="747"/>
      <c r="L5" s="747"/>
      <c r="M5" s="747"/>
      <c r="N5" s="747"/>
      <c r="O5" s="747"/>
      <c r="P5" s="747"/>
      <c r="Q5" s="747"/>
      <c r="R5" s="747"/>
      <c r="S5" s="747"/>
      <c r="T5" s="747"/>
      <c r="U5" s="747"/>
      <c r="V5" s="747"/>
    </row>
    <row r="6" spans="1:22">
      <c r="A6" s="747"/>
      <c r="B6" s="747"/>
      <c r="C6" s="747"/>
      <c r="D6" s="747"/>
      <c r="E6" s="747"/>
      <c r="F6" s="747"/>
      <c r="G6" s="747"/>
      <c r="H6" s="747"/>
      <c r="I6" s="747"/>
      <c r="J6" s="747"/>
      <c r="K6" s="747"/>
      <c r="L6" s="747"/>
      <c r="M6" s="747"/>
      <c r="N6" s="747"/>
      <c r="O6" s="747"/>
      <c r="P6" s="747"/>
      <c r="Q6" s="747"/>
      <c r="R6" s="747"/>
      <c r="S6" s="747"/>
      <c r="T6" s="747"/>
      <c r="U6" s="747"/>
      <c r="V6" s="747"/>
    </row>
    <row r="7" spans="1:22" ht="13.5" thickBot="1">
      <c r="A7" s="747"/>
      <c r="B7" s="747"/>
      <c r="C7" s="747"/>
      <c r="D7" s="747"/>
      <c r="E7" s="747"/>
      <c r="F7" s="747"/>
      <c r="G7" s="747"/>
      <c r="H7" s="747"/>
      <c r="I7" s="747"/>
      <c r="J7" s="747"/>
      <c r="K7" s="747"/>
      <c r="L7" s="747"/>
      <c r="M7" s="747"/>
      <c r="N7" s="747"/>
      <c r="O7" s="747"/>
      <c r="P7" s="747"/>
      <c r="Q7" s="747"/>
      <c r="R7" s="747"/>
      <c r="S7" s="747"/>
      <c r="T7" s="747"/>
      <c r="U7" s="747"/>
      <c r="V7" s="747"/>
    </row>
    <row r="8" spans="1:22" ht="13.5" thickBot="1">
      <c r="A8" s="747"/>
      <c r="B8" s="979" t="s">
        <v>408</v>
      </c>
      <c r="C8" s="980" t="str">
        <f>'TAB 3 Project Cost'!I5</f>
        <v/>
      </c>
      <c r="D8" s="747"/>
      <c r="E8" s="747"/>
      <c r="F8" s="747"/>
      <c r="G8" s="747"/>
      <c r="H8" s="747"/>
      <c r="I8" s="747"/>
      <c r="J8" s="747"/>
      <c r="K8" s="747"/>
      <c r="L8" s="747"/>
      <c r="M8" s="747"/>
      <c r="N8" s="747"/>
      <c r="O8" s="747"/>
      <c r="P8" s="747"/>
      <c r="Q8" s="747"/>
      <c r="R8" s="747"/>
      <c r="S8" s="747"/>
      <c r="T8" s="747"/>
      <c r="U8" s="747"/>
      <c r="V8" s="747"/>
    </row>
    <row r="9" spans="1:22">
      <c r="B9" s="367"/>
      <c r="C9" s="902"/>
      <c r="D9" s="898"/>
      <c r="E9" s="899"/>
      <c r="F9" s="900" t="s">
        <v>7560</v>
      </c>
      <c r="G9" s="862"/>
      <c r="H9" s="862"/>
      <c r="I9" s="862"/>
      <c r="J9" s="862"/>
      <c r="K9" s="862"/>
      <c r="L9" s="862"/>
      <c r="M9" s="862"/>
      <c r="N9" s="862"/>
      <c r="O9" s="863"/>
      <c r="P9" s="841" t="s">
        <v>7559</v>
      </c>
      <c r="Q9" s="842"/>
      <c r="R9" s="842"/>
      <c r="S9" s="842"/>
      <c r="T9" s="842"/>
      <c r="U9" s="842"/>
      <c r="V9" s="843"/>
    </row>
    <row r="10" spans="1:22">
      <c r="B10" s="852" t="s">
        <v>7552</v>
      </c>
      <c r="C10" s="903"/>
      <c r="D10" s="896"/>
      <c r="E10" s="897"/>
      <c r="F10" s="890"/>
      <c r="G10" s="889" t="e">
        <f>G18/G12</f>
        <v>#DIV/0!</v>
      </c>
      <c r="H10" s="868"/>
      <c r="I10" s="879">
        <f>'TAB 3 Project Cost'!H12</f>
        <v>0</v>
      </c>
      <c r="J10" s="885"/>
      <c r="K10" s="879">
        <f>'TAB 3 Project Cost'!H42</f>
        <v>0</v>
      </c>
      <c r="L10" s="840"/>
      <c r="M10" s="859"/>
      <c r="N10" s="1201">
        <f>'TAB 3 Project Cost'!H77</f>
        <v>0</v>
      </c>
      <c r="O10" s="860"/>
      <c r="P10" s="914">
        <f>'TAB 3 Project Cost'!H39</f>
        <v>0</v>
      </c>
      <c r="Q10" s="915">
        <f>'TAB 3 Project Cost'!H40</f>
        <v>0</v>
      </c>
      <c r="R10" s="916">
        <f>'TAB 3 Project Cost'!H41</f>
        <v>0</v>
      </c>
      <c r="S10" s="833"/>
      <c r="T10" s="833"/>
      <c r="U10" s="833"/>
      <c r="V10" s="851"/>
    </row>
    <row r="11" spans="1:22" ht="48">
      <c r="B11" s="664"/>
      <c r="C11" s="886"/>
      <c r="D11" s="865" t="s">
        <v>7572</v>
      </c>
      <c r="E11" s="886" t="s">
        <v>7572</v>
      </c>
      <c r="F11" s="870" t="s">
        <v>7556</v>
      </c>
      <c r="G11" s="871" t="s">
        <v>7549</v>
      </c>
      <c r="H11" s="870" t="s">
        <v>7557</v>
      </c>
      <c r="I11" s="871" t="s">
        <v>364</v>
      </c>
      <c r="J11" s="870" t="s">
        <v>7558</v>
      </c>
      <c r="K11" s="871" t="s">
        <v>7519</v>
      </c>
      <c r="L11" s="870" t="s">
        <v>7555</v>
      </c>
      <c r="M11" s="871" t="s">
        <v>7530</v>
      </c>
      <c r="N11" s="865" t="s">
        <v>2</v>
      </c>
      <c r="O11" s="848" t="s">
        <v>146</v>
      </c>
      <c r="P11" s="917" t="s">
        <v>7520</v>
      </c>
      <c r="Q11" s="918" t="s">
        <v>7521</v>
      </c>
      <c r="R11" s="919" t="s">
        <v>7522</v>
      </c>
      <c r="S11" s="1202" t="s">
        <v>7532</v>
      </c>
      <c r="T11" s="936" t="s">
        <v>7533</v>
      </c>
      <c r="U11" s="936" t="s">
        <v>7534</v>
      </c>
      <c r="V11" s="937" t="s">
        <v>7461</v>
      </c>
    </row>
    <row r="12" spans="1:22">
      <c r="B12" s="849" t="s">
        <v>7542</v>
      </c>
      <c r="C12" s="887"/>
      <c r="D12" s="866"/>
      <c r="E12" s="887"/>
      <c r="F12" s="872"/>
      <c r="G12" s="887">
        <f>I12+K12</f>
        <v>0</v>
      </c>
      <c r="H12" s="872"/>
      <c r="I12" s="887">
        <f>'TAB 3 Project Cost'!G10</f>
        <v>0</v>
      </c>
      <c r="J12" s="872"/>
      <c r="K12" s="887">
        <f>'TAB 3 Project Cost'!G36</f>
        <v>0</v>
      </c>
      <c r="L12" s="872"/>
      <c r="M12" s="968"/>
      <c r="N12" s="866">
        <f>'TAB 3 Project Cost'!F80</f>
        <v>0</v>
      </c>
      <c r="O12" s="844"/>
      <c r="P12" s="920">
        <f>'TAB 3 Project Cost'!F39</f>
        <v>0</v>
      </c>
      <c r="Q12" s="921">
        <f>'TAB 3 Project Cost'!F40</f>
        <v>0</v>
      </c>
      <c r="R12" s="922">
        <f>'TAB 3 Project Cost'!F41</f>
        <v>0</v>
      </c>
      <c r="S12" s="887"/>
      <c r="T12" s="921"/>
      <c r="U12" s="921"/>
      <c r="V12" s="922"/>
    </row>
    <row r="13" spans="1:22">
      <c r="B13" s="849" t="s">
        <v>7548</v>
      </c>
      <c r="C13" s="888"/>
      <c r="D13" s="893"/>
      <c r="E13" s="888"/>
      <c r="F13" s="873"/>
      <c r="G13" s="891" t="e">
        <f>G27/G12</f>
        <v>#DIV/0!</v>
      </c>
      <c r="H13" s="873"/>
      <c r="I13" s="888">
        <f>'TAB 3 Project Cost'!H20</f>
        <v>0</v>
      </c>
      <c r="J13" s="873"/>
      <c r="K13" s="888">
        <f>'TAB 3 Project Cost'!H51</f>
        <v>0</v>
      </c>
      <c r="L13" s="873"/>
      <c r="M13" s="838"/>
      <c r="N13" s="836"/>
      <c r="O13" s="844"/>
      <c r="P13" s="969"/>
      <c r="Q13" s="970"/>
      <c r="R13" s="971"/>
      <c r="S13" s="838"/>
      <c r="T13" s="970"/>
      <c r="U13" s="970"/>
      <c r="V13" s="971"/>
    </row>
    <row r="14" spans="1:22">
      <c r="B14" s="845"/>
      <c r="C14" s="875"/>
      <c r="D14" s="867"/>
      <c r="E14" s="875"/>
      <c r="F14" s="874"/>
      <c r="G14" s="875"/>
      <c r="H14" s="874"/>
      <c r="I14" s="875"/>
      <c r="J14" s="874"/>
      <c r="K14" s="875"/>
      <c r="L14" s="874"/>
      <c r="M14" s="875"/>
      <c r="N14" s="867"/>
      <c r="O14" s="972"/>
      <c r="P14" s="973"/>
      <c r="Q14" s="974"/>
      <c r="R14" s="975"/>
      <c r="S14" s="875"/>
      <c r="T14" s="974"/>
      <c r="U14" s="974"/>
      <c r="V14" s="975"/>
    </row>
    <row r="15" spans="1:22">
      <c r="B15" s="845"/>
      <c r="C15" s="875"/>
      <c r="D15" s="867"/>
      <c r="E15" s="875"/>
      <c r="F15" s="874"/>
      <c r="G15" s="875"/>
      <c r="H15" s="874"/>
      <c r="I15" s="875"/>
      <c r="J15" s="874"/>
      <c r="K15" s="875"/>
      <c r="L15" s="874"/>
      <c r="M15" s="875"/>
      <c r="N15" s="867"/>
      <c r="O15" s="972"/>
      <c r="P15" s="973"/>
      <c r="Q15" s="974"/>
      <c r="R15" s="975"/>
      <c r="S15" s="875"/>
      <c r="T15" s="974"/>
      <c r="U15" s="974"/>
      <c r="V15" s="975"/>
    </row>
    <row r="16" spans="1:22">
      <c r="B16" s="850" t="s">
        <v>7525</v>
      </c>
      <c r="C16" s="879"/>
      <c r="D16" s="885"/>
      <c r="E16" s="879">
        <f>G16+M16+N16+O16</f>
        <v>0</v>
      </c>
      <c r="F16" s="876"/>
      <c r="G16" s="879">
        <f t="shared" ref="G16:G19" si="0">I16+K16</f>
        <v>0</v>
      </c>
      <c r="H16" s="876"/>
      <c r="I16" s="879">
        <f>'TAB 3 Project Cost'!G13</f>
        <v>0</v>
      </c>
      <c r="J16" s="876"/>
      <c r="K16" s="879">
        <f>'TAB 3 Project Cost'!G44</f>
        <v>0</v>
      </c>
      <c r="L16" s="876"/>
      <c r="M16" s="877"/>
      <c r="N16" s="868"/>
      <c r="O16" s="851"/>
      <c r="P16" s="923">
        <f>'TAB 3 Project Cost'!AC44</f>
        <v>0</v>
      </c>
      <c r="Q16" s="924">
        <f>'TAB 3 Project Cost'!AD44</f>
        <v>0</v>
      </c>
      <c r="R16" s="925">
        <f>'TAB 3 Project Cost'!AE44</f>
        <v>0</v>
      </c>
      <c r="S16" s="889"/>
      <c r="T16" s="996"/>
      <c r="U16" s="996"/>
      <c r="V16" s="997"/>
    </row>
    <row r="17" spans="1:22">
      <c r="A17" s="3"/>
      <c r="B17" s="850" t="s">
        <v>6742</v>
      </c>
      <c r="C17" s="877"/>
      <c r="D17" s="868"/>
      <c r="E17" s="877"/>
      <c r="F17" s="878"/>
      <c r="G17" s="879">
        <f t="shared" si="0"/>
        <v>0</v>
      </c>
      <c r="H17" s="878" t="str">
        <f>IF(C8&lt;&gt;"CM @ Risk","",'TAB 3 Project Cost'!F14)</f>
        <v/>
      </c>
      <c r="I17" s="889">
        <f>'TAB 3 Project Cost'!G14</f>
        <v>0</v>
      </c>
      <c r="J17" s="876" t="str">
        <f>IF(C8&lt;&gt;"CM @ Risk","",'TAB 3 Project Cost'!F45)</f>
        <v/>
      </c>
      <c r="K17" s="889">
        <f>'TAB 3 Project Cost'!G45</f>
        <v>0</v>
      </c>
      <c r="L17" s="878" t="str">
        <f>IF(C8&lt;&gt;"CM @ Risk","",'TAB 3 Project Cost'!F91)</f>
        <v/>
      </c>
      <c r="M17" s="889">
        <f>'TAB 3 Project Cost'!G91</f>
        <v>0</v>
      </c>
      <c r="N17" s="868"/>
      <c r="O17" s="851"/>
      <c r="P17" s="923">
        <f>'TAB 3 Project Cost'!AC45</f>
        <v>0</v>
      </c>
      <c r="Q17" s="924">
        <f>'TAB 3 Project Cost'!AD45</f>
        <v>0</v>
      </c>
      <c r="R17" s="925">
        <f>'TAB 3 Project Cost'!AE45</f>
        <v>0</v>
      </c>
      <c r="S17" s="889">
        <f>'TAB 3 Project Cost'!AA91</f>
        <v>0</v>
      </c>
      <c r="T17" s="996">
        <f>'TAB 3 Project Cost'!AB91</f>
        <v>0</v>
      </c>
      <c r="U17" s="996">
        <f>'TAB 3 Project Cost'!AC91</f>
        <v>0</v>
      </c>
      <c r="V17" s="996">
        <f>'TAB 3 Project Cost'!AD91</f>
        <v>0</v>
      </c>
    </row>
    <row r="18" spans="1:22">
      <c r="A18" s="3"/>
      <c r="B18" s="850" t="s">
        <v>7526</v>
      </c>
      <c r="C18" s="879"/>
      <c r="D18" s="885"/>
      <c r="E18" s="879">
        <f>G18+M18+N18+O18</f>
        <v>0</v>
      </c>
      <c r="F18" s="876"/>
      <c r="G18" s="879">
        <f t="shared" si="0"/>
        <v>0</v>
      </c>
      <c r="H18" s="876"/>
      <c r="I18" s="879">
        <f>'TAB 3 Project Cost'!G15</f>
        <v>0</v>
      </c>
      <c r="J18" s="876"/>
      <c r="K18" s="879">
        <f>'TAB 3 Project Cost'!G46</f>
        <v>0</v>
      </c>
      <c r="L18" s="876"/>
      <c r="M18" s="877"/>
      <c r="N18" s="868"/>
      <c r="O18" s="851"/>
      <c r="P18" s="923">
        <f>'TAB 3 Project Cost'!AC46</f>
        <v>0</v>
      </c>
      <c r="Q18" s="924">
        <f>'TAB 3 Project Cost'!AD46</f>
        <v>0</v>
      </c>
      <c r="R18" s="925">
        <f>'TAB 3 Project Cost'!AE46</f>
        <v>0</v>
      </c>
      <c r="S18" s="889">
        <f>'TAB 3 Project Cost'!AA92</f>
        <v>0</v>
      </c>
      <c r="T18" s="996">
        <f>'TAB 3 Project Cost'!AB92</f>
        <v>0</v>
      </c>
      <c r="U18" s="996">
        <f>'TAB 3 Project Cost'!AC92</f>
        <v>0</v>
      </c>
      <c r="V18" s="996">
        <f>'TAB 3 Project Cost'!AD92</f>
        <v>0</v>
      </c>
    </row>
    <row r="19" spans="1:22">
      <c r="A19" s="3"/>
      <c r="B19" s="850" t="s">
        <v>7527</v>
      </c>
      <c r="C19" s="879"/>
      <c r="D19" s="885"/>
      <c r="E19" s="879">
        <f>G19+M19+N19+O19</f>
        <v>0</v>
      </c>
      <c r="F19" s="876"/>
      <c r="G19" s="879">
        <f t="shared" si="0"/>
        <v>0</v>
      </c>
      <c r="H19" s="876"/>
      <c r="I19" s="879">
        <f>'TAB 3 Project Cost'!G16</f>
        <v>0</v>
      </c>
      <c r="J19" s="876"/>
      <c r="K19" s="879">
        <f>'TAB 3 Project Cost'!G47</f>
        <v>0</v>
      </c>
      <c r="L19" s="876"/>
      <c r="M19" s="877"/>
      <c r="N19" s="868"/>
      <c r="O19" s="851"/>
      <c r="P19" s="923">
        <f>'TAB 3 Project Cost'!AC43</f>
        <v>0</v>
      </c>
      <c r="Q19" s="924">
        <f>'TAB 3 Project Cost'!AD43</f>
        <v>0</v>
      </c>
      <c r="R19" s="925">
        <f>'TAB 3 Project Cost'!AE43</f>
        <v>0</v>
      </c>
      <c r="S19" s="889"/>
      <c r="T19" s="996"/>
      <c r="U19" s="996"/>
      <c r="V19" s="996"/>
    </row>
    <row r="20" spans="1:22">
      <c r="A20" s="3"/>
      <c r="B20" s="849"/>
      <c r="C20" s="838"/>
      <c r="D20" s="836"/>
      <c r="E20" s="838"/>
      <c r="F20" s="872"/>
      <c r="G20" s="838"/>
      <c r="H20" s="872"/>
      <c r="I20" s="838"/>
      <c r="J20" s="872"/>
      <c r="K20" s="838"/>
      <c r="L20" s="872"/>
      <c r="M20" s="838"/>
      <c r="N20" s="836"/>
      <c r="O20" s="844"/>
      <c r="P20" s="920"/>
      <c r="Q20" s="921"/>
      <c r="R20" s="922"/>
      <c r="S20" s="891"/>
      <c r="T20" s="999"/>
      <c r="U20" s="999"/>
      <c r="V20" s="999"/>
    </row>
    <row r="21" spans="1:22">
      <c r="A21" s="3"/>
      <c r="B21" s="850" t="s">
        <v>7528</v>
      </c>
      <c r="C21" s="879"/>
      <c r="D21" s="885"/>
      <c r="E21" s="879">
        <f>G21+M21+N21+O21</f>
        <v>0</v>
      </c>
      <c r="F21" s="876"/>
      <c r="G21" s="879">
        <f t="shared" ref="G21" si="1">I21+K21</f>
        <v>0</v>
      </c>
      <c r="H21" s="876"/>
      <c r="I21" s="879">
        <f>I18+I19</f>
        <v>0</v>
      </c>
      <c r="J21" s="876"/>
      <c r="K21" s="879">
        <f>K18+K19</f>
        <v>0</v>
      </c>
      <c r="L21" s="876"/>
      <c r="M21" s="879">
        <f>'TAB 3 Project Cost'!G92</f>
        <v>0</v>
      </c>
      <c r="N21" s="868"/>
      <c r="O21" s="851"/>
      <c r="P21" s="976">
        <f>P18+P19</f>
        <v>0</v>
      </c>
      <c r="Q21" s="977">
        <f>Q18+Q19</f>
        <v>0</v>
      </c>
      <c r="R21" s="978">
        <f>R18+R19</f>
        <v>0</v>
      </c>
      <c r="S21" s="879">
        <f>S18+S19</f>
        <v>0</v>
      </c>
      <c r="T21" s="915">
        <f t="shared" ref="T21:V21" si="2">T18+T19</f>
        <v>0</v>
      </c>
      <c r="U21" s="915">
        <f t="shared" si="2"/>
        <v>0</v>
      </c>
      <c r="V21" s="915">
        <f t="shared" si="2"/>
        <v>0</v>
      </c>
    </row>
    <row r="22" spans="1:22">
      <c r="A22" s="3"/>
      <c r="B22" s="849"/>
      <c r="C22" s="838"/>
      <c r="D22" s="836"/>
      <c r="E22" s="838"/>
      <c r="F22" s="872"/>
      <c r="G22" s="838"/>
      <c r="H22" s="872"/>
      <c r="I22" s="838"/>
      <c r="J22" s="872"/>
      <c r="K22" s="838"/>
      <c r="L22" s="872"/>
      <c r="M22" s="838"/>
      <c r="N22" s="836"/>
      <c r="O22" s="844"/>
      <c r="P22" s="920"/>
      <c r="Q22" s="921"/>
      <c r="R22" s="922"/>
      <c r="S22" s="891"/>
      <c r="T22" s="999"/>
      <c r="U22" s="999"/>
      <c r="V22" s="999"/>
    </row>
    <row r="23" spans="1:22">
      <c r="A23" s="3"/>
      <c r="B23" s="849"/>
      <c r="C23" s="838"/>
      <c r="D23" s="836"/>
      <c r="E23" s="838"/>
      <c r="F23" s="872"/>
      <c r="G23" s="838"/>
      <c r="H23" s="872"/>
      <c r="I23" s="838"/>
      <c r="J23" s="872"/>
      <c r="K23" s="838"/>
      <c r="L23" s="872"/>
      <c r="M23" s="838"/>
      <c r="N23" s="836"/>
      <c r="O23" s="844"/>
      <c r="P23" s="920"/>
      <c r="Q23" s="921"/>
      <c r="R23" s="922"/>
      <c r="S23" s="891"/>
      <c r="T23" s="999"/>
      <c r="U23" s="999"/>
      <c r="V23" s="999"/>
    </row>
    <row r="24" spans="1:22">
      <c r="A24" s="770"/>
      <c r="B24" s="852" t="s">
        <v>6928</v>
      </c>
      <c r="C24" s="879"/>
      <c r="D24" s="876" t="e">
        <f>E24/$E$27</f>
        <v>#DIV/0!</v>
      </c>
      <c r="E24" s="879">
        <f t="shared" ref="E24:E26" si="3">G24+M24+N24+O24</f>
        <v>0</v>
      </c>
      <c r="F24" s="876" t="e">
        <f>G24/$G$27</f>
        <v>#DIV/0!</v>
      </c>
      <c r="G24" s="879">
        <f t="shared" ref="G24:G26" si="4">I24+K24</f>
        <v>0</v>
      </c>
      <c r="H24" s="876" t="str">
        <f>'TAB 3 Project Cost'!F17</f>
        <v/>
      </c>
      <c r="I24" s="879">
        <f>'TAB 3 Project Cost'!G17</f>
        <v>0</v>
      </c>
      <c r="J24" s="876" t="str">
        <f>'TAB 3 Project Cost'!F48</f>
        <v/>
      </c>
      <c r="K24" s="879">
        <f>'TAB 3 Project Cost'!G48</f>
        <v>0</v>
      </c>
      <c r="L24" s="876" t="str">
        <f>'TAB 3 Project Cost'!F93</f>
        <v/>
      </c>
      <c r="M24" s="879">
        <f>'TAB 3 Project Cost'!G93</f>
        <v>0</v>
      </c>
      <c r="N24" s="868"/>
      <c r="O24" s="851"/>
      <c r="P24" s="924">
        <f>'TAB 3 Project Cost'!AC48</f>
        <v>0</v>
      </c>
      <c r="Q24" s="924">
        <f>'TAB 3 Project Cost'!AD48</f>
        <v>0</v>
      </c>
      <c r="R24" s="925">
        <f>'TAB 3 Project Cost'!AE48</f>
        <v>0</v>
      </c>
      <c r="S24" s="889">
        <f>'TAB 3 Project Cost'!AA93</f>
        <v>0</v>
      </c>
      <c r="T24" s="996">
        <f>'TAB 3 Project Cost'!AB93</f>
        <v>0</v>
      </c>
      <c r="U24" s="996">
        <f>'TAB 3 Project Cost'!AC93</f>
        <v>0</v>
      </c>
      <c r="V24" s="996">
        <f>'TAB 3 Project Cost'!AD93</f>
        <v>0</v>
      </c>
    </row>
    <row r="25" spans="1:22">
      <c r="A25" s="770"/>
      <c r="B25" s="852" t="s">
        <v>6929</v>
      </c>
      <c r="C25" s="879"/>
      <c r="D25" s="876" t="e">
        <f t="shared" ref="D25:D26" si="5">E25/$E$27</f>
        <v>#DIV/0!</v>
      </c>
      <c r="E25" s="879">
        <f t="shared" si="3"/>
        <v>0</v>
      </c>
      <c r="F25" s="876" t="e">
        <f t="shared" ref="F25:F26" si="6">G25/$G$27</f>
        <v>#DIV/0!</v>
      </c>
      <c r="G25" s="879">
        <f t="shared" si="4"/>
        <v>0</v>
      </c>
      <c r="H25" s="876" t="str">
        <f>'TAB 3 Project Cost'!F19</f>
        <v/>
      </c>
      <c r="I25" s="879">
        <f>'TAB 3 Project Cost'!G19</f>
        <v>0</v>
      </c>
      <c r="J25" s="876" t="str">
        <f>'TAB 3 Project Cost'!F50</f>
        <v/>
      </c>
      <c r="K25" s="879">
        <f>'TAB 3 Project Cost'!G50</f>
        <v>0</v>
      </c>
      <c r="L25" s="876" t="str">
        <f>'TAB 3 Project Cost'!F95</f>
        <v/>
      </c>
      <c r="M25" s="879">
        <f>'TAB 3 Project Cost'!G95</f>
        <v>0</v>
      </c>
      <c r="N25" s="868"/>
      <c r="O25" s="851"/>
      <c r="P25" s="924">
        <f>'TAB 3 Project Cost'!AC49</f>
        <v>0</v>
      </c>
      <c r="Q25" s="924">
        <f>'TAB 3 Project Cost'!AD49</f>
        <v>0</v>
      </c>
      <c r="R25" s="925">
        <f>'TAB 3 Project Cost'!AE49</f>
        <v>0</v>
      </c>
      <c r="S25" s="889">
        <f>'TAB 3 Project Cost'!AA94</f>
        <v>0</v>
      </c>
      <c r="T25" s="996">
        <f>'TAB 3 Project Cost'!AB94</f>
        <v>0</v>
      </c>
      <c r="U25" s="996">
        <f>'TAB 3 Project Cost'!AC94</f>
        <v>0</v>
      </c>
      <c r="V25" s="996">
        <f>'TAB 3 Project Cost'!AD94</f>
        <v>0</v>
      </c>
    </row>
    <row r="26" spans="1:22">
      <c r="A26" s="770"/>
      <c r="B26" s="852" t="s">
        <v>6930</v>
      </c>
      <c r="C26" s="879"/>
      <c r="D26" s="876" t="e">
        <f t="shared" si="5"/>
        <v>#DIV/0!</v>
      </c>
      <c r="E26" s="879">
        <f t="shared" si="3"/>
        <v>0</v>
      </c>
      <c r="F26" s="876" t="e">
        <f t="shared" si="6"/>
        <v>#DIV/0!</v>
      </c>
      <c r="G26" s="879">
        <f t="shared" si="4"/>
        <v>0</v>
      </c>
      <c r="H26" s="876" t="str">
        <f>'TAB 3 Project Cost'!F18</f>
        <v/>
      </c>
      <c r="I26" s="879">
        <f>'TAB 3 Project Cost'!G18</f>
        <v>0</v>
      </c>
      <c r="J26" s="876" t="str">
        <f>'TAB 3 Project Cost'!F49</f>
        <v/>
      </c>
      <c r="K26" s="879">
        <f>'TAB 3 Project Cost'!G49</f>
        <v>0</v>
      </c>
      <c r="L26" s="876" t="str">
        <f>'TAB 3 Project Cost'!F94</f>
        <v/>
      </c>
      <c r="M26" s="879">
        <f>'TAB 3 Project Cost'!G94</f>
        <v>0</v>
      </c>
      <c r="N26" s="868"/>
      <c r="O26" s="851"/>
      <c r="P26" s="924">
        <f>'TAB 3 Project Cost'!AC50</f>
        <v>0</v>
      </c>
      <c r="Q26" s="924">
        <f>'TAB 3 Project Cost'!AD50</f>
        <v>0</v>
      </c>
      <c r="R26" s="925">
        <f>'TAB 3 Project Cost'!AE50</f>
        <v>0</v>
      </c>
      <c r="S26" s="889">
        <f>'TAB 3 Project Cost'!AA95</f>
        <v>0</v>
      </c>
      <c r="T26" s="996">
        <f>'TAB 3 Project Cost'!AB95</f>
        <v>0</v>
      </c>
      <c r="U26" s="996">
        <f>'TAB 3 Project Cost'!AC95</f>
        <v>0</v>
      </c>
      <c r="V26" s="996">
        <f>'TAB 3 Project Cost'!AD95</f>
        <v>0</v>
      </c>
    </row>
    <row r="27" spans="1:22">
      <c r="A27" s="3"/>
      <c r="B27" s="853" t="s">
        <v>6719</v>
      </c>
      <c r="C27" s="881"/>
      <c r="D27" s="880"/>
      <c r="E27" s="879">
        <f>G27+M27+N27+O27</f>
        <v>0</v>
      </c>
      <c r="F27" s="880"/>
      <c r="G27" s="892">
        <f>I27+K27</f>
        <v>0</v>
      </c>
      <c r="H27" s="880"/>
      <c r="I27" s="881">
        <f>'TAB 3 Project Cost'!G20</f>
        <v>0</v>
      </c>
      <c r="J27" s="880"/>
      <c r="K27" s="881">
        <f>'TAB 3 Project Cost'!G51</f>
        <v>0</v>
      </c>
      <c r="L27" s="880"/>
      <c r="M27" s="881">
        <f>'TAB 3 Project Cost'!G96</f>
        <v>0</v>
      </c>
      <c r="N27" s="868"/>
      <c r="O27" s="851"/>
      <c r="P27" s="927">
        <f>'TAB 3 Project Cost'!AC51</f>
        <v>0</v>
      </c>
      <c r="Q27" s="927">
        <f>'TAB 3 Project Cost'!AD51</f>
        <v>0</v>
      </c>
      <c r="R27" s="928">
        <f>'TAB 3 Project Cost'!AE51</f>
        <v>0</v>
      </c>
      <c r="S27" s="892">
        <f>'TAB 3 Project Cost'!AA96</f>
        <v>0</v>
      </c>
      <c r="T27" s="1002">
        <f>'TAB 3 Project Cost'!AB96</f>
        <v>0</v>
      </c>
      <c r="U27" s="1002">
        <f>'TAB 3 Project Cost'!AC96</f>
        <v>0</v>
      </c>
      <c r="V27" s="1002">
        <f>'TAB 3 Project Cost'!AD96</f>
        <v>0</v>
      </c>
    </row>
    <row r="28" spans="1:22">
      <c r="A28" s="3"/>
      <c r="B28" s="1340"/>
      <c r="C28" s="1341"/>
      <c r="D28" s="1342"/>
      <c r="E28" s="1341"/>
      <c r="F28" s="872"/>
      <c r="G28" s="838"/>
      <c r="H28" s="872"/>
      <c r="I28" s="838"/>
      <c r="J28" s="872"/>
      <c r="K28" s="838"/>
      <c r="L28" s="872"/>
      <c r="M28" s="838"/>
      <c r="N28" s="836"/>
      <c r="O28" s="844"/>
      <c r="P28" s="920"/>
      <c r="Q28" s="921"/>
      <c r="R28" s="922"/>
      <c r="S28" s="891"/>
      <c r="T28" s="999"/>
      <c r="U28" s="999"/>
      <c r="V28" s="999"/>
    </row>
    <row r="29" spans="1:22">
      <c r="A29" s="3"/>
      <c r="B29" s="1343" t="s">
        <v>8096</v>
      </c>
      <c r="C29" s="1344"/>
      <c r="D29" s="1345" t="e">
        <f>E29/E$27</f>
        <v>#DIV/0!</v>
      </c>
      <c r="E29" s="1346">
        <f>SUM(E24:E26)</f>
        <v>0</v>
      </c>
      <c r="F29" s="1345" t="e">
        <f>G29/G$27</f>
        <v>#DIV/0!</v>
      </c>
      <c r="G29" s="1346">
        <f>SUM(G24:G26)</f>
        <v>0</v>
      </c>
      <c r="H29" s="1345" t="e">
        <f>I29/I$27</f>
        <v>#DIV/0!</v>
      </c>
      <c r="I29" s="1346">
        <f>SUM(I24:I26)</f>
        <v>0</v>
      </c>
      <c r="J29" s="1345" t="e">
        <f>K29/K$27</f>
        <v>#DIV/0!</v>
      </c>
      <c r="K29" s="1346">
        <f>SUM(K24:K26)</f>
        <v>0</v>
      </c>
      <c r="L29" s="1345" t="e">
        <f>M29/M$27</f>
        <v>#DIV/0!</v>
      </c>
      <c r="M29" s="1346">
        <f>SUM(M24:M26)</f>
        <v>0</v>
      </c>
      <c r="N29" s="836"/>
      <c r="O29" s="844"/>
      <c r="P29" s="920"/>
      <c r="Q29" s="921"/>
      <c r="R29" s="922"/>
      <c r="S29" s="891"/>
      <c r="T29" s="999"/>
      <c r="U29" s="999"/>
      <c r="V29" s="999"/>
    </row>
    <row r="30" spans="1:22">
      <c r="A30" s="3"/>
      <c r="B30" s="849"/>
      <c r="C30" s="838"/>
      <c r="D30" s="872"/>
      <c r="E30" s="838"/>
      <c r="F30" s="872"/>
      <c r="G30" s="838"/>
      <c r="H30" s="872"/>
      <c r="I30" s="838"/>
      <c r="J30" s="872"/>
      <c r="K30" s="838"/>
      <c r="L30" s="872"/>
      <c r="M30" s="838"/>
      <c r="N30" s="836"/>
      <c r="O30" s="844"/>
      <c r="P30" s="920"/>
      <c r="Q30" s="921"/>
      <c r="R30" s="922"/>
      <c r="S30" s="891"/>
      <c r="T30" s="999"/>
      <c r="U30" s="999"/>
      <c r="V30" s="999"/>
    </row>
    <row r="31" spans="1:22">
      <c r="A31" s="3"/>
      <c r="B31" s="849"/>
      <c r="C31" s="838"/>
      <c r="D31" s="872"/>
      <c r="E31" s="838"/>
      <c r="F31" s="872"/>
      <c r="G31" s="838"/>
      <c r="H31" s="872"/>
      <c r="I31" s="838"/>
      <c r="J31" s="872"/>
      <c r="K31" s="838"/>
      <c r="L31" s="872"/>
      <c r="M31" s="838"/>
      <c r="N31" s="836"/>
      <c r="O31" s="844"/>
      <c r="P31" s="920"/>
      <c r="Q31" s="921"/>
      <c r="R31" s="922"/>
      <c r="S31" s="891"/>
      <c r="T31" s="999"/>
      <c r="U31" s="999"/>
      <c r="V31" s="999"/>
    </row>
    <row r="32" spans="1:22">
      <c r="A32" s="3"/>
      <c r="B32" s="849"/>
      <c r="C32" s="838"/>
      <c r="D32" s="872"/>
      <c r="E32" s="838"/>
      <c r="F32" s="872"/>
      <c r="G32" s="838"/>
      <c r="H32" s="872"/>
      <c r="I32" s="838"/>
      <c r="J32" s="872"/>
      <c r="K32" s="838"/>
      <c r="L32" s="872"/>
      <c r="M32" s="838"/>
      <c r="N32" s="836"/>
      <c r="O32" s="844"/>
      <c r="P32" s="920"/>
      <c r="Q32" s="921"/>
      <c r="R32" s="922"/>
      <c r="S32" s="891"/>
      <c r="T32" s="999"/>
      <c r="U32" s="999"/>
      <c r="V32" s="999"/>
    </row>
    <row r="33" spans="1:22">
      <c r="A33" s="3"/>
      <c r="B33" s="854"/>
      <c r="C33" s="839"/>
      <c r="D33" s="882"/>
      <c r="E33" s="839"/>
      <c r="F33" s="882"/>
      <c r="G33" s="839"/>
      <c r="H33" s="882"/>
      <c r="I33" s="839"/>
      <c r="J33" s="882"/>
      <c r="K33" s="839"/>
      <c r="L33" s="882"/>
      <c r="M33" s="839"/>
      <c r="N33" s="837"/>
      <c r="O33" s="844"/>
      <c r="P33" s="920"/>
      <c r="Q33" s="921"/>
      <c r="R33" s="922"/>
      <c r="S33" s="891"/>
      <c r="T33" s="999"/>
      <c r="U33" s="999"/>
      <c r="V33" s="999"/>
    </row>
    <row r="34" spans="1:22">
      <c r="A34" s="3"/>
      <c r="B34" s="850" t="s">
        <v>379</v>
      </c>
      <c r="C34" s="879"/>
      <c r="D34" s="876" t="e">
        <f>E34/$E$27</f>
        <v>#DIV/0!</v>
      </c>
      <c r="E34" s="879">
        <f>G34+M34+N34+O34</f>
        <v>0</v>
      </c>
      <c r="F34" s="876" t="e">
        <f t="shared" ref="F34" si="7">G34/$G$27</f>
        <v>#DIV/0!</v>
      </c>
      <c r="G34" s="879">
        <f t="shared" ref="G34" si="8">I34+K34</f>
        <v>0</v>
      </c>
      <c r="H34" s="876">
        <f>'TAB 3 Project Cost'!F22</f>
        <v>1.4999999999999999E-2</v>
      </c>
      <c r="I34" s="879">
        <f>'TAB 3 Project Cost'!G22</f>
        <v>0</v>
      </c>
      <c r="J34" s="876">
        <f>'TAB 3 Project Cost'!F53</f>
        <v>0.01</v>
      </c>
      <c r="K34" s="879">
        <f>'TAB 3 Project Cost'!G53</f>
        <v>0</v>
      </c>
      <c r="L34" s="876">
        <f>'TAB 3 Project Cost'!F98</f>
        <v>0.01</v>
      </c>
      <c r="M34" s="879">
        <f>'TAB 3 Project Cost'!G98</f>
        <v>0</v>
      </c>
      <c r="N34" s="868"/>
      <c r="O34" s="851"/>
      <c r="P34" s="924">
        <f>'TAB 3 Project Cost'!AC53</f>
        <v>0</v>
      </c>
      <c r="Q34" s="924">
        <f>'TAB 3 Project Cost'!AD53</f>
        <v>0</v>
      </c>
      <c r="R34" s="925">
        <f>'TAB 3 Project Cost'!AE53</f>
        <v>0</v>
      </c>
      <c r="S34" s="889">
        <f>'TAB 3 Project Cost'!AA98</f>
        <v>0</v>
      </c>
      <c r="T34" s="996">
        <f>'TAB 3 Project Cost'!AB98</f>
        <v>0</v>
      </c>
      <c r="U34" s="996">
        <f>'TAB 3 Project Cost'!AC98</f>
        <v>0</v>
      </c>
      <c r="V34" s="996">
        <f>'TAB 3 Project Cost'!AD98</f>
        <v>0</v>
      </c>
    </row>
    <row r="35" spans="1:22">
      <c r="A35" s="3"/>
      <c r="B35" s="849"/>
      <c r="C35" s="838"/>
      <c r="D35" s="872"/>
      <c r="E35" s="838"/>
      <c r="F35" s="872"/>
      <c r="G35" s="838"/>
      <c r="H35" s="872"/>
      <c r="I35" s="838"/>
      <c r="J35" s="872"/>
      <c r="K35" s="838"/>
      <c r="L35" s="872"/>
      <c r="M35" s="838"/>
      <c r="N35" s="836"/>
      <c r="O35" s="844"/>
      <c r="P35" s="920"/>
      <c r="Q35" s="921"/>
      <c r="R35" s="922"/>
      <c r="S35" s="891"/>
      <c r="T35" s="999"/>
      <c r="U35" s="999"/>
      <c r="V35" s="999"/>
    </row>
    <row r="36" spans="1:22">
      <c r="A36" s="3"/>
      <c r="B36" s="849"/>
      <c r="C36" s="838"/>
      <c r="D36" s="872"/>
      <c r="E36" s="838"/>
      <c r="F36" s="872"/>
      <c r="G36" s="838"/>
      <c r="H36" s="872"/>
      <c r="I36" s="838"/>
      <c r="J36" s="872"/>
      <c r="K36" s="838"/>
      <c r="L36" s="872"/>
      <c r="M36" s="838"/>
      <c r="N36" s="836"/>
      <c r="O36" s="844"/>
      <c r="P36" s="920"/>
      <c r="Q36" s="921"/>
      <c r="R36" s="922"/>
      <c r="S36" s="891"/>
      <c r="T36" s="999"/>
      <c r="U36" s="999"/>
      <c r="V36" s="999"/>
    </row>
    <row r="37" spans="1:22">
      <c r="A37" s="780"/>
      <c r="B37" s="855"/>
      <c r="C37" s="838"/>
      <c r="D37" s="872"/>
      <c r="E37" s="838"/>
      <c r="F37" s="872"/>
      <c r="G37" s="838"/>
      <c r="H37" s="872"/>
      <c r="I37" s="838"/>
      <c r="J37" s="872"/>
      <c r="K37" s="838"/>
      <c r="L37" s="872"/>
      <c r="M37" s="838"/>
      <c r="N37" s="836"/>
      <c r="O37" s="844"/>
      <c r="P37" s="920"/>
      <c r="Q37" s="921"/>
      <c r="R37" s="922"/>
      <c r="S37" s="891"/>
      <c r="T37" s="999"/>
      <c r="U37" s="999"/>
      <c r="V37" s="999"/>
    </row>
    <row r="38" spans="1:22">
      <c r="A38" s="3"/>
      <c r="B38" s="856" t="s">
        <v>6936</v>
      </c>
      <c r="C38" s="879"/>
      <c r="D38" s="876" t="e">
        <f t="shared" ref="D38:D39" si="9">E38/$E$27</f>
        <v>#DIV/0!</v>
      </c>
      <c r="E38" s="879">
        <f>G38+M38+N38+O38</f>
        <v>0</v>
      </c>
      <c r="F38" s="876" t="e">
        <f t="shared" ref="F38:F39" si="10">G38/$G$27</f>
        <v>#DIV/0!</v>
      </c>
      <c r="G38" s="879">
        <f t="shared" ref="G38:G39" si="11">I38+K38</f>
        <v>0</v>
      </c>
      <c r="H38" s="876">
        <f>'TAB 3 Project Cost'!F23</f>
        <v>4.0000000000000001E-3</v>
      </c>
      <c r="I38" s="879">
        <f>'TAB 3 Project Cost'!G23</f>
        <v>0</v>
      </c>
      <c r="J38" s="876">
        <f>'TAB 3 Project Cost'!F54</f>
        <v>4.0000000000000001E-3</v>
      </c>
      <c r="K38" s="879">
        <f>'TAB 3 Project Cost'!G54</f>
        <v>0</v>
      </c>
      <c r="L38" s="876"/>
      <c r="M38" s="879"/>
      <c r="N38" s="868"/>
      <c r="O38" s="851"/>
      <c r="P38" s="924">
        <f>'TAB 3 Project Cost'!AC54</f>
        <v>0</v>
      </c>
      <c r="Q38" s="924">
        <f>'TAB 3 Project Cost'!AD54</f>
        <v>0</v>
      </c>
      <c r="R38" s="925">
        <f>'TAB 3 Project Cost'!AE54</f>
        <v>0</v>
      </c>
      <c r="S38" s="889"/>
      <c r="T38" s="996"/>
      <c r="U38" s="996"/>
      <c r="V38" s="996"/>
    </row>
    <row r="39" spans="1:22">
      <c r="A39" s="3"/>
      <c r="B39" s="856" t="s">
        <v>7529</v>
      </c>
      <c r="C39" s="879"/>
      <c r="D39" s="876" t="e">
        <f t="shared" si="9"/>
        <v>#DIV/0!</v>
      </c>
      <c r="E39" s="879">
        <f>G39+M39+N39+O39</f>
        <v>0</v>
      </c>
      <c r="F39" s="876" t="e">
        <f t="shared" si="10"/>
        <v>#DIV/0!</v>
      </c>
      <c r="G39" s="879">
        <f t="shared" si="11"/>
        <v>0</v>
      </c>
      <c r="H39" s="876">
        <f>'TAB 3 Project Cost'!F24</f>
        <v>0.05</v>
      </c>
      <c r="I39" s="879">
        <f>'TAB 3 Project Cost'!G24</f>
        <v>0</v>
      </c>
      <c r="J39" s="876">
        <f>'TAB 3 Project Cost'!F55</f>
        <v>0.06</v>
      </c>
      <c r="K39" s="879">
        <f>'TAB 3 Project Cost'!G55</f>
        <v>0</v>
      </c>
      <c r="L39" s="876"/>
      <c r="M39" s="879"/>
      <c r="N39" s="868"/>
      <c r="O39" s="851"/>
      <c r="P39" s="924">
        <f>'TAB 3 Project Cost'!AC55</f>
        <v>0</v>
      </c>
      <c r="Q39" s="924">
        <f>'TAB 3 Project Cost'!AD55</f>
        <v>0</v>
      </c>
      <c r="R39" s="925">
        <f>'TAB 3 Project Cost'!AE55</f>
        <v>0</v>
      </c>
      <c r="S39" s="889"/>
      <c r="T39" s="996"/>
      <c r="U39" s="996"/>
      <c r="V39" s="996"/>
    </row>
    <row r="40" spans="1:22">
      <c r="A40" s="779"/>
      <c r="B40" s="901"/>
      <c r="C40" s="877"/>
      <c r="D40" s="872"/>
      <c r="E40" s="838"/>
      <c r="F40" s="872"/>
      <c r="G40" s="838"/>
      <c r="H40" s="872"/>
      <c r="I40" s="838"/>
      <c r="J40" s="872"/>
      <c r="K40" s="838"/>
      <c r="L40" s="872"/>
      <c r="M40" s="838"/>
      <c r="N40" s="836"/>
      <c r="O40" s="844"/>
      <c r="P40" s="921"/>
      <c r="Q40" s="921"/>
      <c r="R40" s="922"/>
      <c r="S40" s="891"/>
      <c r="T40" s="999"/>
      <c r="U40" s="999"/>
      <c r="V40" s="999"/>
    </row>
    <row r="41" spans="1:22">
      <c r="A41" s="747"/>
      <c r="B41" s="856" t="s">
        <v>7547</v>
      </c>
      <c r="C41" s="879"/>
      <c r="D41" s="876" t="e">
        <f>E41/$E$27</f>
        <v>#DIV/0!</v>
      </c>
      <c r="E41" s="879">
        <f>G41+M41+N41+O41</f>
        <v>0</v>
      </c>
      <c r="F41" s="876" t="e">
        <f t="shared" ref="F41" si="12">G41/$G$27</f>
        <v>#DIV/0!</v>
      </c>
      <c r="G41" s="879">
        <f t="shared" ref="G41" si="13">I41+K41</f>
        <v>0</v>
      </c>
      <c r="H41" s="876">
        <f>'TAB 3 Project Cost'!F25</f>
        <v>0.02</v>
      </c>
      <c r="I41" s="879">
        <f>'TAB 3 Project Cost'!G25</f>
        <v>0</v>
      </c>
      <c r="J41" s="876">
        <f>'TAB 3 Project Cost'!F56</f>
        <v>0.02</v>
      </c>
      <c r="K41" s="879">
        <f>'TAB 3 Project Cost'!G56</f>
        <v>0</v>
      </c>
      <c r="L41" s="876"/>
      <c r="M41" s="879"/>
      <c r="N41" s="868"/>
      <c r="O41" s="851"/>
      <c r="P41" s="924">
        <f>'TAB 3 Project Cost'!AC56</f>
        <v>0</v>
      </c>
      <c r="Q41" s="924">
        <f>'TAB 3 Project Cost'!AD56</f>
        <v>0</v>
      </c>
      <c r="R41" s="925">
        <f>'TAB 3 Project Cost'!AE56</f>
        <v>0</v>
      </c>
      <c r="S41" s="889"/>
      <c r="T41" s="996"/>
      <c r="U41" s="996"/>
      <c r="V41" s="996"/>
    </row>
    <row r="42" spans="1:22">
      <c r="A42" s="780"/>
      <c r="B42" s="855"/>
      <c r="C42" s="838"/>
      <c r="D42" s="872"/>
      <c r="E42" s="838"/>
      <c r="F42" s="872"/>
      <c r="G42" s="838"/>
      <c r="H42" s="872"/>
      <c r="I42" s="838"/>
      <c r="J42" s="872"/>
      <c r="K42" s="838"/>
      <c r="L42" s="872"/>
      <c r="M42" s="838"/>
      <c r="N42" s="836"/>
      <c r="O42" s="844"/>
      <c r="P42" s="921"/>
      <c r="Q42" s="921"/>
      <c r="R42" s="922"/>
      <c r="S42" s="891"/>
      <c r="T42" s="999"/>
      <c r="U42" s="999"/>
      <c r="V42" s="999"/>
    </row>
    <row r="43" spans="1:22">
      <c r="A43" s="3"/>
      <c r="B43" s="856" t="s">
        <v>417</v>
      </c>
      <c r="C43" s="879"/>
      <c r="D43" s="876" t="e">
        <f>E43/$E$27</f>
        <v>#DIV/0!</v>
      </c>
      <c r="E43" s="879">
        <f>G43+M43+N43+O43</f>
        <v>0</v>
      </c>
      <c r="F43" s="876" t="e">
        <f t="shared" ref="F43" si="14">G43/$G$27</f>
        <v>#DIV/0!</v>
      </c>
      <c r="G43" s="879">
        <f t="shared" ref="G43" si="15">I43+K43</f>
        <v>0</v>
      </c>
      <c r="H43" s="876">
        <f>'TAB 3 Project Cost'!F26</f>
        <v>1.4999999999999999E-2</v>
      </c>
      <c r="I43" s="879">
        <f>'TAB 3 Project Cost'!G26</f>
        <v>0</v>
      </c>
      <c r="J43" s="876">
        <f>'TAB 3 Project Cost'!F57</f>
        <v>0.01</v>
      </c>
      <c r="K43" s="879">
        <f>'TAB 3 Project Cost'!G57</f>
        <v>0</v>
      </c>
      <c r="L43" s="876"/>
      <c r="M43" s="879"/>
      <c r="N43" s="868"/>
      <c r="O43" s="851"/>
      <c r="P43" s="924">
        <f>'TAB 3 Project Cost'!AC57</f>
        <v>0</v>
      </c>
      <c r="Q43" s="924">
        <f>'TAB 3 Project Cost'!AD57</f>
        <v>0</v>
      </c>
      <c r="R43" s="925">
        <f>'TAB 3 Project Cost'!AE57</f>
        <v>0</v>
      </c>
      <c r="S43" s="889"/>
      <c r="T43" s="996"/>
      <c r="U43" s="996"/>
      <c r="V43" s="996"/>
    </row>
    <row r="44" spans="1:22">
      <c r="A44" s="3"/>
      <c r="B44" s="849"/>
      <c r="C44" s="838"/>
      <c r="D44" s="872"/>
      <c r="E44" s="838"/>
      <c r="F44" s="872"/>
      <c r="G44" s="838"/>
      <c r="H44" s="872"/>
      <c r="I44" s="838"/>
      <c r="J44" s="872"/>
      <c r="K44" s="838"/>
      <c r="L44" s="872"/>
      <c r="M44" s="838"/>
      <c r="N44" s="836"/>
      <c r="O44" s="844"/>
      <c r="P44" s="920"/>
      <c r="Q44" s="921"/>
      <c r="R44" s="922"/>
      <c r="S44" s="891"/>
      <c r="T44" s="999"/>
      <c r="U44" s="999"/>
      <c r="V44" s="999"/>
    </row>
    <row r="45" spans="1:22">
      <c r="A45" s="3"/>
      <c r="B45" s="849"/>
      <c r="C45" s="838"/>
      <c r="D45" s="872"/>
      <c r="E45" s="838"/>
      <c r="F45" s="872"/>
      <c r="G45" s="838"/>
      <c r="H45" s="872"/>
      <c r="I45" s="838"/>
      <c r="J45" s="872"/>
      <c r="K45" s="838"/>
      <c r="L45" s="872"/>
      <c r="M45" s="838"/>
      <c r="N45" s="836"/>
      <c r="O45" s="844"/>
      <c r="P45" s="920"/>
      <c r="Q45" s="921"/>
      <c r="R45" s="922"/>
      <c r="S45" s="891"/>
      <c r="T45" s="999"/>
      <c r="U45" s="999"/>
      <c r="V45" s="999"/>
    </row>
    <row r="46" spans="1:22">
      <c r="A46" s="3"/>
      <c r="B46" s="849"/>
      <c r="C46" s="838"/>
      <c r="D46" s="872"/>
      <c r="E46" s="838"/>
      <c r="F46" s="872"/>
      <c r="G46" s="838"/>
      <c r="H46" s="872"/>
      <c r="I46" s="838"/>
      <c r="J46" s="872"/>
      <c r="K46" s="838"/>
      <c r="L46" s="872"/>
      <c r="M46" s="838"/>
      <c r="N46" s="836"/>
      <c r="O46" s="844"/>
      <c r="P46" s="920"/>
      <c r="Q46" s="921"/>
      <c r="R46" s="922"/>
      <c r="S46" s="891"/>
      <c r="T46" s="999"/>
      <c r="U46" s="999"/>
      <c r="V46" s="999"/>
    </row>
    <row r="47" spans="1:22">
      <c r="A47" s="3"/>
      <c r="B47" s="849"/>
      <c r="C47" s="838"/>
      <c r="D47" s="872"/>
      <c r="E47" s="838"/>
      <c r="F47" s="872"/>
      <c r="G47" s="838"/>
      <c r="H47" s="872"/>
      <c r="I47" s="838"/>
      <c r="J47" s="872"/>
      <c r="K47" s="838"/>
      <c r="L47" s="872"/>
      <c r="M47" s="838"/>
      <c r="N47" s="836"/>
      <c r="O47" s="844"/>
      <c r="P47" s="920"/>
      <c r="Q47" s="921"/>
      <c r="R47" s="922"/>
      <c r="S47" s="891"/>
      <c r="T47" s="999"/>
      <c r="U47" s="999"/>
      <c r="V47" s="999"/>
    </row>
    <row r="48" spans="1:22">
      <c r="A48" s="3"/>
      <c r="B48" s="849"/>
      <c r="C48" s="838"/>
      <c r="D48" s="872"/>
      <c r="E48" s="838"/>
      <c r="F48" s="872"/>
      <c r="G48" s="838"/>
      <c r="H48" s="872"/>
      <c r="I48" s="838"/>
      <c r="J48" s="872"/>
      <c r="K48" s="838"/>
      <c r="L48" s="872"/>
      <c r="M48" s="838"/>
      <c r="N48" s="836"/>
      <c r="O48" s="844"/>
      <c r="P48" s="920"/>
      <c r="Q48" s="921"/>
      <c r="R48" s="922"/>
      <c r="S48" s="891"/>
      <c r="T48" s="999"/>
      <c r="U48" s="999"/>
      <c r="V48" s="999"/>
    </row>
    <row r="49" spans="1:22">
      <c r="A49" s="3"/>
      <c r="B49" s="849"/>
      <c r="C49" s="838"/>
      <c r="D49" s="872"/>
      <c r="E49" s="838"/>
      <c r="F49" s="872"/>
      <c r="G49" s="838"/>
      <c r="H49" s="872"/>
      <c r="I49" s="838"/>
      <c r="J49" s="872"/>
      <c r="K49" s="838"/>
      <c r="L49" s="872"/>
      <c r="M49" s="838"/>
      <c r="N49" s="836"/>
      <c r="O49" s="844"/>
      <c r="P49" s="920"/>
      <c r="Q49" s="921"/>
      <c r="R49" s="922"/>
      <c r="S49" s="891"/>
      <c r="T49" s="999"/>
      <c r="U49" s="999"/>
      <c r="V49" s="999"/>
    </row>
    <row r="50" spans="1:22">
      <c r="A50" s="3"/>
      <c r="B50" s="849"/>
      <c r="C50" s="838"/>
      <c r="D50" s="872"/>
      <c r="E50" s="838"/>
      <c r="F50" s="872"/>
      <c r="G50" s="838"/>
      <c r="H50" s="872"/>
      <c r="I50" s="838"/>
      <c r="J50" s="872"/>
      <c r="K50" s="838"/>
      <c r="L50" s="872"/>
      <c r="M50" s="838"/>
      <c r="N50" s="836"/>
      <c r="O50" s="844"/>
      <c r="P50" s="920"/>
      <c r="Q50" s="921"/>
      <c r="R50" s="922"/>
      <c r="S50" s="891"/>
      <c r="T50" s="999"/>
      <c r="U50" s="999"/>
      <c r="V50" s="999"/>
    </row>
    <row r="51" spans="1:22">
      <c r="A51" s="3"/>
      <c r="B51" s="850" t="s">
        <v>7551</v>
      </c>
      <c r="C51" s="877"/>
      <c r="D51" s="876" t="e">
        <f t="shared" ref="D51" si="16">E51/$G$27</f>
        <v>#DIV/0!</v>
      </c>
      <c r="E51" s="889">
        <f>SUM(E38:E43)</f>
        <v>0</v>
      </c>
      <c r="F51" s="876" t="e">
        <f t="shared" ref="F51" si="17">G51/$G$27</f>
        <v>#DIV/0!</v>
      </c>
      <c r="G51" s="889">
        <f>SUM(G38:G43)</f>
        <v>0</v>
      </c>
      <c r="H51" s="876" t="e">
        <f>I51/$I$27</f>
        <v>#DIV/0!</v>
      </c>
      <c r="I51" s="889">
        <f>SUM(I38:I43)</f>
        <v>0</v>
      </c>
      <c r="J51" s="876" t="e">
        <f>K51/$I$27</f>
        <v>#DIV/0!</v>
      </c>
      <c r="K51" s="889">
        <f>SUM(K38:K43)</f>
        <v>0</v>
      </c>
      <c r="L51" s="878">
        <f>'TAB 3 Project Cost'!F99</f>
        <v>0.09</v>
      </c>
      <c r="M51" s="879">
        <f>'TAB 3 Project Cost'!G99</f>
        <v>0</v>
      </c>
      <c r="N51" s="868"/>
      <c r="O51" s="851"/>
      <c r="P51" s="995">
        <f t="shared" ref="P51:R51" si="18">SUM(P38:P43)</f>
        <v>0</v>
      </c>
      <c r="Q51" s="996">
        <f t="shared" si="18"/>
        <v>0</v>
      </c>
      <c r="R51" s="997">
        <f t="shared" si="18"/>
        <v>0</v>
      </c>
      <c r="S51" s="889">
        <f>'TAB 3 Project Cost'!AA99</f>
        <v>0</v>
      </c>
      <c r="T51" s="996">
        <f>'TAB 3 Project Cost'!AB99</f>
        <v>0</v>
      </c>
      <c r="U51" s="996">
        <f>'TAB 3 Project Cost'!AC99</f>
        <v>0</v>
      </c>
      <c r="V51" s="996">
        <f>'TAB 3 Project Cost'!AD99</f>
        <v>0</v>
      </c>
    </row>
    <row r="52" spans="1:22">
      <c r="A52" s="3"/>
      <c r="B52" s="849"/>
      <c r="C52" s="838"/>
      <c r="D52" s="872"/>
      <c r="E52" s="838"/>
      <c r="F52" s="872"/>
      <c r="G52" s="838"/>
      <c r="H52" s="872"/>
      <c r="I52" s="838"/>
      <c r="J52" s="872"/>
      <c r="K52" s="838"/>
      <c r="L52" s="872"/>
      <c r="M52" s="838"/>
      <c r="N52" s="836"/>
      <c r="O52" s="844"/>
      <c r="P52" s="920"/>
      <c r="Q52" s="921"/>
      <c r="R52" s="922"/>
      <c r="S52" s="891"/>
      <c r="T52" s="999"/>
      <c r="U52" s="999"/>
      <c r="V52" s="999"/>
    </row>
    <row r="53" spans="1:22">
      <c r="A53" s="3"/>
      <c r="B53" s="849"/>
      <c r="C53" s="838"/>
      <c r="D53" s="872"/>
      <c r="E53" s="838"/>
      <c r="F53" s="872"/>
      <c r="G53" s="838"/>
      <c r="H53" s="872"/>
      <c r="I53" s="838"/>
      <c r="J53" s="872"/>
      <c r="K53" s="838"/>
      <c r="L53" s="872"/>
      <c r="M53" s="838"/>
      <c r="N53" s="836"/>
      <c r="O53" s="844"/>
      <c r="P53" s="920"/>
      <c r="Q53" s="921"/>
      <c r="R53" s="922"/>
      <c r="S53" s="891"/>
      <c r="T53" s="999"/>
      <c r="U53" s="999"/>
      <c r="V53" s="999"/>
    </row>
    <row r="54" spans="1:22">
      <c r="A54" s="3"/>
      <c r="B54" s="850" t="s">
        <v>377</v>
      </c>
      <c r="C54" s="889"/>
      <c r="D54" s="876" t="e">
        <f t="shared" ref="D54:D55" si="19">E54/$E$27</f>
        <v>#DIV/0!</v>
      </c>
      <c r="E54" s="879">
        <f>G54+M54+N54+O54</f>
        <v>0</v>
      </c>
      <c r="F54" s="878" t="e">
        <f t="shared" ref="F54:F55" si="20">G54/$G$27</f>
        <v>#DIV/0!</v>
      </c>
      <c r="G54" s="889">
        <f t="shared" ref="G54:G55" si="21">I54+K54</f>
        <v>0</v>
      </c>
      <c r="H54" s="878">
        <f>'TAB 3 Project Cost'!F27</f>
        <v>0.1</v>
      </c>
      <c r="I54" s="889">
        <f>'TAB 3 Project Cost'!G27</f>
        <v>0</v>
      </c>
      <c r="J54" s="878">
        <f>'TAB 3 Project Cost'!F58</f>
        <v>0.1</v>
      </c>
      <c r="K54" s="889">
        <f>'TAB 3 Project Cost'!G58</f>
        <v>0</v>
      </c>
      <c r="L54" s="878"/>
      <c r="M54" s="877"/>
      <c r="N54" s="868"/>
      <c r="O54" s="851"/>
      <c r="P54" s="995">
        <f>'TAB 3 Project Cost'!AC58</f>
        <v>0</v>
      </c>
      <c r="Q54" s="1198">
        <f>'TAB 3 Project Cost'!AD58</f>
        <v>0</v>
      </c>
      <c r="R54" s="997">
        <f>'TAB 3 Project Cost'!AE58</f>
        <v>0</v>
      </c>
      <c r="S54" s="889"/>
      <c r="T54" s="996"/>
      <c r="U54" s="996"/>
      <c r="V54" s="996"/>
    </row>
    <row r="55" spans="1:22">
      <c r="A55" s="3"/>
      <c r="B55" s="850" t="s">
        <v>378</v>
      </c>
      <c r="C55" s="889"/>
      <c r="D55" s="876" t="e">
        <f t="shared" si="19"/>
        <v>#DIV/0!</v>
      </c>
      <c r="E55" s="879">
        <f>G55+M55+N55+O55</f>
        <v>0</v>
      </c>
      <c r="F55" s="878" t="e">
        <f t="shared" si="20"/>
        <v>#DIV/0!</v>
      </c>
      <c r="G55" s="889">
        <f t="shared" si="21"/>
        <v>0</v>
      </c>
      <c r="H55" s="878">
        <f>'TAB 3 Project Cost'!F28</f>
        <v>2.5000000000000001E-2</v>
      </c>
      <c r="I55" s="889">
        <f>'TAB 3 Project Cost'!G28</f>
        <v>0</v>
      </c>
      <c r="J55" s="878">
        <f>'TAB 3 Project Cost'!F59</f>
        <v>0.03</v>
      </c>
      <c r="K55" s="889">
        <f>'TAB 3 Project Cost'!G59</f>
        <v>0</v>
      </c>
      <c r="L55" s="878"/>
      <c r="M55" s="877"/>
      <c r="N55" s="868"/>
      <c r="O55" s="851"/>
      <c r="P55" s="995">
        <f>'TAB 3 Project Cost'!AC59</f>
        <v>0</v>
      </c>
      <c r="Q55" s="1198">
        <f>'TAB 3 Project Cost'!AD59</f>
        <v>0</v>
      </c>
      <c r="R55" s="997">
        <f>'TAB 3 Project Cost'!AE59</f>
        <v>0</v>
      </c>
      <c r="S55" s="889"/>
      <c r="T55" s="996"/>
      <c r="U55" s="996"/>
      <c r="V55" s="996"/>
    </row>
    <row r="56" spans="1:22">
      <c r="A56" s="3"/>
      <c r="B56" s="849"/>
      <c r="C56" s="838"/>
      <c r="D56" s="872"/>
      <c r="E56" s="838"/>
      <c r="F56" s="872"/>
      <c r="G56" s="838"/>
      <c r="H56" s="872"/>
      <c r="I56" s="838"/>
      <c r="J56" s="872"/>
      <c r="K56" s="838"/>
      <c r="L56" s="872"/>
      <c r="M56" s="838"/>
      <c r="N56" s="836"/>
      <c r="O56" s="844"/>
      <c r="P56" s="920"/>
      <c r="Q56" s="921"/>
      <c r="R56" s="922"/>
      <c r="S56" s="891"/>
      <c r="T56" s="999"/>
      <c r="U56" s="999"/>
      <c r="V56" s="999"/>
    </row>
    <row r="57" spans="1:22">
      <c r="A57" s="3"/>
      <c r="B57" s="849"/>
      <c r="C57" s="838"/>
      <c r="D57" s="872"/>
      <c r="E57" s="838"/>
      <c r="F57" s="872"/>
      <c r="G57" s="838"/>
      <c r="H57" s="872"/>
      <c r="I57" s="838"/>
      <c r="J57" s="872"/>
      <c r="K57" s="838"/>
      <c r="L57" s="872"/>
      <c r="M57" s="838"/>
      <c r="N57" s="836"/>
      <c r="O57" s="844"/>
      <c r="P57" s="920"/>
      <c r="Q57" s="921"/>
      <c r="R57" s="922"/>
      <c r="S57" s="891"/>
      <c r="T57" s="999"/>
      <c r="U57" s="999"/>
      <c r="V57" s="999"/>
    </row>
    <row r="58" spans="1:22">
      <c r="B58" s="849"/>
      <c r="C58" s="838"/>
      <c r="D58" s="872"/>
      <c r="E58" s="838"/>
      <c r="F58" s="872"/>
      <c r="G58" s="838"/>
      <c r="H58" s="872"/>
      <c r="I58" s="838"/>
      <c r="J58" s="872"/>
      <c r="K58" s="838"/>
      <c r="L58" s="872"/>
      <c r="M58" s="838"/>
      <c r="N58" s="836"/>
      <c r="O58" s="844"/>
      <c r="P58" s="920"/>
      <c r="Q58" s="921"/>
      <c r="R58" s="922"/>
      <c r="S58" s="891"/>
      <c r="T58" s="999"/>
      <c r="U58" s="999"/>
      <c r="V58" s="999"/>
    </row>
    <row r="59" spans="1:22">
      <c r="A59" s="3"/>
      <c r="B59" s="849"/>
      <c r="C59" s="838"/>
      <c r="D59" s="872"/>
      <c r="E59" s="838"/>
      <c r="F59" s="872"/>
      <c r="G59" s="838"/>
      <c r="H59" s="872"/>
      <c r="I59" s="838"/>
      <c r="J59" s="872"/>
      <c r="K59" s="838"/>
      <c r="L59" s="872"/>
      <c r="M59" s="838"/>
      <c r="N59" s="836"/>
      <c r="O59" s="844"/>
      <c r="P59" s="920"/>
      <c r="Q59" s="921"/>
      <c r="R59" s="922"/>
      <c r="S59" s="891"/>
      <c r="T59" s="999"/>
      <c r="U59" s="999"/>
      <c r="V59" s="999"/>
    </row>
    <row r="60" spans="1:22">
      <c r="A60" s="3"/>
      <c r="B60" s="849"/>
      <c r="C60" s="838"/>
      <c r="D60" s="872"/>
      <c r="E60" s="838"/>
      <c r="F60" s="872"/>
      <c r="G60" s="838"/>
      <c r="H60" s="872"/>
      <c r="I60" s="838"/>
      <c r="J60" s="872"/>
      <c r="K60" s="838"/>
      <c r="L60" s="872"/>
      <c r="M60" s="838"/>
      <c r="N60" s="836"/>
      <c r="O60" s="844"/>
      <c r="P60" s="920"/>
      <c r="Q60" s="921"/>
      <c r="R60" s="922"/>
      <c r="S60" s="891"/>
      <c r="T60" s="999"/>
      <c r="U60" s="999"/>
      <c r="V60" s="999"/>
    </row>
    <row r="61" spans="1:22">
      <c r="A61" s="3"/>
      <c r="B61" s="849"/>
      <c r="C61" s="838"/>
      <c r="D61" s="872"/>
      <c r="E61" s="838"/>
      <c r="F61" s="872"/>
      <c r="G61" s="838"/>
      <c r="H61" s="872"/>
      <c r="I61" s="838"/>
      <c r="J61" s="872"/>
      <c r="K61" s="838"/>
      <c r="L61" s="872"/>
      <c r="M61" s="838"/>
      <c r="N61" s="836"/>
      <c r="O61" s="844"/>
      <c r="P61" s="920"/>
      <c r="Q61" s="921"/>
      <c r="R61" s="922"/>
      <c r="S61" s="891"/>
      <c r="T61" s="999"/>
      <c r="U61" s="999"/>
      <c r="V61" s="999"/>
    </row>
    <row r="62" spans="1:22">
      <c r="A62" s="3"/>
      <c r="B62" s="849"/>
      <c r="C62" s="838"/>
      <c r="D62" s="872"/>
      <c r="E62" s="838"/>
      <c r="F62" s="872"/>
      <c r="G62" s="838"/>
      <c r="H62" s="872"/>
      <c r="I62" s="838"/>
      <c r="J62" s="872"/>
      <c r="K62" s="838"/>
      <c r="L62" s="872"/>
      <c r="M62" s="838"/>
      <c r="N62" s="836"/>
      <c r="O62" s="844"/>
      <c r="P62" s="920"/>
      <c r="Q62" s="921"/>
      <c r="R62" s="922"/>
      <c r="S62" s="891"/>
      <c r="T62" s="999"/>
      <c r="U62" s="999"/>
      <c r="V62" s="999"/>
    </row>
    <row r="63" spans="1:22">
      <c r="A63" s="3"/>
      <c r="B63" s="857" t="s">
        <v>14</v>
      </c>
      <c r="C63" s="879"/>
      <c r="D63" s="876" t="e">
        <f>E63/$E$27</f>
        <v>#DIV/0!</v>
      </c>
      <c r="E63" s="879">
        <f>G63+M63+N63+O63</f>
        <v>0</v>
      </c>
      <c r="F63" s="876" t="e">
        <f t="shared" ref="F63" si="22">G63/$G$27</f>
        <v>#DIV/0!</v>
      </c>
      <c r="G63" s="879">
        <f t="shared" ref="G63" si="23">I63+K63</f>
        <v>0</v>
      </c>
      <c r="H63" s="876">
        <f>'TAB 3 Project Cost'!F29</f>
        <v>5.0000000000000001E-3</v>
      </c>
      <c r="I63" s="879">
        <f>'TAB 3 Project Cost'!G29</f>
        <v>0</v>
      </c>
      <c r="J63" s="876">
        <f>'TAB 3 Project Cost'!F60</f>
        <v>0.01</v>
      </c>
      <c r="K63" s="879">
        <f>'TAB 3 Project Cost'!G60</f>
        <v>0</v>
      </c>
      <c r="L63" s="876">
        <f>'TAB 3 Project Cost'!F100</f>
        <v>1.4999999999999999E-2</v>
      </c>
      <c r="M63" s="879">
        <f>'TAB 3 Project Cost'!G100</f>
        <v>0</v>
      </c>
      <c r="N63" s="868"/>
      <c r="O63" s="851"/>
      <c r="P63" s="1199">
        <f>'TAB 3 Project Cost'!AC60</f>
        <v>0</v>
      </c>
      <c r="Q63" s="996">
        <f>'TAB 3 Project Cost'!AD60</f>
        <v>0</v>
      </c>
      <c r="R63" s="997">
        <f>'TAB 3 Project Cost'!AE60</f>
        <v>0</v>
      </c>
      <c r="S63" s="889">
        <f>'TAB 3 Project Cost'!AA100</f>
        <v>0</v>
      </c>
      <c r="T63" s="996">
        <f>'TAB 3 Project Cost'!AB100</f>
        <v>0</v>
      </c>
      <c r="U63" s="996">
        <f>'TAB 3 Project Cost'!AC100</f>
        <v>0</v>
      </c>
      <c r="V63" s="996">
        <f>'TAB 3 Project Cost'!AD100</f>
        <v>0</v>
      </c>
    </row>
    <row r="64" spans="1:22">
      <c r="A64" s="3"/>
      <c r="B64" s="849"/>
      <c r="C64" s="838"/>
      <c r="D64" s="872"/>
      <c r="E64" s="838"/>
      <c r="F64" s="872"/>
      <c r="G64" s="838"/>
      <c r="H64" s="872"/>
      <c r="I64" s="838"/>
      <c r="J64" s="872"/>
      <c r="K64" s="838"/>
      <c r="L64" s="872"/>
      <c r="M64" s="838"/>
      <c r="N64" s="836"/>
      <c r="O64" s="844"/>
      <c r="P64" s="920"/>
      <c r="Q64" s="921"/>
      <c r="R64" s="922"/>
      <c r="S64" s="891"/>
      <c r="T64" s="999"/>
      <c r="U64" s="999"/>
      <c r="V64" s="999"/>
    </row>
    <row r="65" spans="1:22">
      <c r="A65" s="3"/>
      <c r="B65" s="849"/>
      <c r="C65" s="838"/>
      <c r="D65" s="872"/>
      <c r="E65" s="838"/>
      <c r="F65" s="872"/>
      <c r="G65" s="838"/>
      <c r="H65" s="872"/>
      <c r="I65" s="838"/>
      <c r="J65" s="872"/>
      <c r="K65" s="838"/>
      <c r="L65" s="872"/>
      <c r="M65" s="838"/>
      <c r="N65" s="836"/>
      <c r="O65" s="844"/>
      <c r="P65" s="920"/>
      <c r="Q65" s="921"/>
      <c r="R65" s="922"/>
      <c r="S65" s="891"/>
      <c r="T65" s="999"/>
      <c r="U65" s="999"/>
      <c r="V65" s="999"/>
    </row>
    <row r="66" spans="1:22">
      <c r="A66" s="3"/>
      <c r="B66" s="849"/>
      <c r="C66" s="838"/>
      <c r="D66" s="872"/>
      <c r="E66" s="838"/>
      <c r="F66" s="872"/>
      <c r="G66" s="838"/>
      <c r="H66" s="872"/>
      <c r="I66" s="838"/>
      <c r="J66" s="872"/>
      <c r="K66" s="838"/>
      <c r="L66" s="872"/>
      <c r="M66" s="838"/>
      <c r="N66" s="836"/>
      <c r="O66" s="844"/>
      <c r="P66" s="920"/>
      <c r="Q66" s="921"/>
      <c r="R66" s="922"/>
      <c r="S66" s="891"/>
      <c r="T66" s="999"/>
      <c r="U66" s="999"/>
      <c r="V66" s="999"/>
    </row>
    <row r="67" spans="1:22">
      <c r="A67" s="3"/>
      <c r="B67" s="850" t="s">
        <v>6942</v>
      </c>
      <c r="C67" s="879"/>
      <c r="D67" s="876" t="e">
        <f>E67/($G$27+E34+E51+E54+E55+E63)</f>
        <v>#DIV/0!</v>
      </c>
      <c r="E67" s="879">
        <f>G67+M67+N67+O67</f>
        <v>0</v>
      </c>
      <c r="F67" s="876" t="e">
        <f>G67/($G$27+G34+G51+G54+G55+G63)</f>
        <v>#DIV/0!</v>
      </c>
      <c r="G67" s="879">
        <f t="shared" ref="G67" si="24">I67+K67</f>
        <v>0</v>
      </c>
      <c r="H67" s="876">
        <f>'TAB 3 Project Cost'!F31</f>
        <v>0.05</v>
      </c>
      <c r="I67" s="879">
        <f>'TAB 3 Project Cost'!G31</f>
        <v>0</v>
      </c>
      <c r="J67" s="876">
        <f>'TAB 3 Project Cost'!F62</f>
        <v>0.1</v>
      </c>
      <c r="K67" s="879">
        <f>'TAB 3 Project Cost'!G62</f>
        <v>0</v>
      </c>
      <c r="L67" s="876">
        <f>'TAB 3 Project Cost'!F102</f>
        <v>0.1</v>
      </c>
      <c r="M67" s="879">
        <f>'TAB 3 Project Cost'!G102</f>
        <v>0</v>
      </c>
      <c r="N67" s="868"/>
      <c r="O67" s="851"/>
      <c r="P67" s="1199">
        <f>'TAB 3 Project Cost'!AC62</f>
        <v>0</v>
      </c>
      <c r="Q67" s="996">
        <f>'TAB 3 Project Cost'!AD62</f>
        <v>0</v>
      </c>
      <c r="R67" s="997">
        <f>'TAB 3 Project Cost'!AE62</f>
        <v>0</v>
      </c>
      <c r="S67" s="889">
        <f>'TAB 3 Project Cost'!AA102</f>
        <v>0</v>
      </c>
      <c r="T67" s="996">
        <f>'TAB 3 Project Cost'!AB102</f>
        <v>0</v>
      </c>
      <c r="U67" s="996">
        <f>'TAB 3 Project Cost'!AC102</f>
        <v>0</v>
      </c>
      <c r="V67" s="996">
        <f>'TAB 3 Project Cost'!AD102</f>
        <v>0</v>
      </c>
    </row>
    <row r="68" spans="1:22">
      <c r="A68" s="3"/>
      <c r="B68" s="850" t="s">
        <v>7384</v>
      </c>
      <c r="C68" s="904"/>
      <c r="D68" s="1115"/>
      <c r="E68" s="994">
        <f>'TAB 3 Project Cost'!E5</f>
        <v>0</v>
      </c>
      <c r="F68" s="878"/>
      <c r="G68" s="904"/>
      <c r="H68" s="878"/>
      <c r="I68" s="877"/>
      <c r="J68" s="878"/>
      <c r="K68" s="877"/>
      <c r="L68" s="878"/>
      <c r="M68" s="877"/>
      <c r="N68" s="868"/>
      <c r="O68" s="851"/>
      <c r="P68" s="1200"/>
      <c r="Q68" s="924"/>
      <c r="R68" s="925"/>
      <c r="S68" s="889"/>
      <c r="T68" s="996"/>
      <c r="U68" s="996"/>
      <c r="V68" s="996"/>
    </row>
    <row r="69" spans="1:22">
      <c r="A69" s="3"/>
      <c r="B69" s="849"/>
      <c r="C69" s="838"/>
      <c r="D69" s="872"/>
      <c r="E69" s="838"/>
      <c r="F69" s="872"/>
      <c r="G69" s="838"/>
      <c r="H69" s="872"/>
      <c r="I69" s="838"/>
      <c r="J69" s="872"/>
      <c r="K69" s="838"/>
      <c r="L69" s="872"/>
      <c r="M69" s="838"/>
      <c r="N69" s="836"/>
      <c r="O69" s="844"/>
      <c r="P69" s="920"/>
      <c r="Q69" s="921"/>
      <c r="R69" s="922"/>
      <c r="S69" s="891"/>
      <c r="T69" s="999"/>
      <c r="U69" s="999"/>
      <c r="V69" s="999"/>
    </row>
    <row r="70" spans="1:22">
      <c r="A70" s="3"/>
      <c r="B70" s="849"/>
      <c r="C70" s="838"/>
      <c r="D70" s="872"/>
      <c r="E70" s="838"/>
      <c r="F70" s="872"/>
      <c r="G70" s="838"/>
      <c r="H70" s="872"/>
      <c r="I70" s="838"/>
      <c r="J70" s="872"/>
      <c r="K70" s="838"/>
      <c r="L70" s="872"/>
      <c r="M70" s="838"/>
      <c r="N70" s="836"/>
      <c r="O70" s="844"/>
      <c r="P70" s="920"/>
      <c r="Q70" s="921"/>
      <c r="R70" s="922"/>
      <c r="S70" s="891"/>
      <c r="T70" s="999"/>
      <c r="U70" s="999"/>
      <c r="V70" s="999"/>
    </row>
    <row r="71" spans="1:22">
      <c r="A71" s="3"/>
      <c r="B71" s="857" t="s">
        <v>376</v>
      </c>
      <c r="C71" s="879"/>
      <c r="D71" s="876"/>
      <c r="E71" s="879">
        <f>G71+M71+N71+O71</f>
        <v>0</v>
      </c>
      <c r="F71" s="876"/>
      <c r="G71" s="879">
        <f t="shared" ref="G71" si="25">I71+K71</f>
        <v>0</v>
      </c>
      <c r="H71" s="876">
        <f>'TAB 3 Project Cost'!F33</f>
        <v>5.0000000000000001E-3</v>
      </c>
      <c r="I71" s="879">
        <f>'TAB 3 Project Cost'!G33</f>
        <v>0</v>
      </c>
      <c r="J71" s="876">
        <f>'TAB 3 Project Cost'!F64</f>
        <v>5.0000000000000001E-3</v>
      </c>
      <c r="K71" s="879">
        <f>'TAB 3 Project Cost'!G64</f>
        <v>0</v>
      </c>
      <c r="L71" s="876"/>
      <c r="M71" s="877"/>
      <c r="N71" s="868"/>
      <c r="O71" s="851"/>
      <c r="P71" s="1199">
        <f>'TAB 3 Project Cost'!AC64</f>
        <v>0</v>
      </c>
      <c r="Q71" s="996">
        <f>'TAB 3 Project Cost'!AD64</f>
        <v>0</v>
      </c>
      <c r="R71" s="997">
        <f>'TAB 3 Project Cost'!AE64</f>
        <v>0</v>
      </c>
      <c r="S71" s="889"/>
      <c r="T71" s="996"/>
      <c r="U71" s="996"/>
      <c r="V71" s="996"/>
    </row>
    <row r="72" spans="1:22">
      <c r="A72" s="767"/>
      <c r="B72" s="846"/>
      <c r="C72" s="838"/>
      <c r="D72" s="872"/>
      <c r="E72" s="838"/>
      <c r="F72" s="872"/>
      <c r="G72" s="838"/>
      <c r="H72" s="872"/>
      <c r="I72" s="838"/>
      <c r="J72" s="872"/>
      <c r="K72" s="838"/>
      <c r="L72" s="872"/>
      <c r="M72" s="838"/>
      <c r="N72" s="836"/>
      <c r="O72" s="844"/>
      <c r="P72" s="920"/>
      <c r="Q72" s="921"/>
      <c r="R72" s="922"/>
      <c r="S72" s="891"/>
      <c r="T72" s="999"/>
      <c r="U72" s="999"/>
      <c r="V72" s="999"/>
    </row>
    <row r="73" spans="1:22">
      <c r="A73" s="767"/>
      <c r="B73" s="846"/>
      <c r="C73" s="838"/>
      <c r="D73" s="872"/>
      <c r="E73" s="838"/>
      <c r="F73" s="872"/>
      <c r="G73" s="838"/>
      <c r="H73" s="872"/>
      <c r="I73" s="838"/>
      <c r="J73" s="872"/>
      <c r="K73" s="838"/>
      <c r="L73" s="872"/>
      <c r="M73" s="838"/>
      <c r="N73" s="836"/>
      <c r="O73" s="844"/>
      <c r="P73" s="920"/>
      <c r="Q73" s="921"/>
      <c r="R73" s="922"/>
      <c r="S73" s="891"/>
      <c r="T73" s="999"/>
      <c r="U73" s="999"/>
      <c r="V73" s="999"/>
    </row>
    <row r="74" spans="1:22">
      <c r="A74" s="3"/>
      <c r="B74" s="857" t="s">
        <v>13</v>
      </c>
      <c r="C74" s="879"/>
      <c r="D74" s="876" t="e">
        <f>E74/$E$27</f>
        <v>#DIV/0!</v>
      </c>
      <c r="E74" s="879">
        <f t="shared" ref="E74:E75" si="26">G74+M74+N74+O74</f>
        <v>0</v>
      </c>
      <c r="F74" s="876" t="e">
        <f t="shared" ref="F74:F75" si="27">G74/$G$27</f>
        <v>#DIV/0!</v>
      </c>
      <c r="G74" s="879">
        <f t="shared" ref="G74:G76" si="28">I74+K74</f>
        <v>0</v>
      </c>
      <c r="H74" s="876">
        <f>'TAB 3 Project Cost'!F32</f>
        <v>0.01</v>
      </c>
      <c r="I74" s="879">
        <f>'TAB 3 Project Cost'!G32</f>
        <v>0</v>
      </c>
      <c r="J74" s="876">
        <f>'TAB 3 Project Cost'!F63</f>
        <v>0.01</v>
      </c>
      <c r="K74" s="879">
        <f>'TAB 3 Project Cost'!G63</f>
        <v>0</v>
      </c>
      <c r="L74" s="876">
        <f>'TAB 3 Project Cost'!F103</f>
        <v>0.01</v>
      </c>
      <c r="M74" s="879">
        <f>'TAB 3 Project Cost'!G103</f>
        <v>0</v>
      </c>
      <c r="N74" s="868"/>
      <c r="O74" s="851"/>
      <c r="P74" s="1199">
        <f>'TAB 3 Project Cost'!AC63</f>
        <v>0</v>
      </c>
      <c r="Q74" s="996">
        <f>'TAB 3 Project Cost'!AD63</f>
        <v>0</v>
      </c>
      <c r="R74" s="997">
        <f>'TAB 3 Project Cost'!AE63</f>
        <v>0</v>
      </c>
      <c r="S74" s="889">
        <f>'TAB 3 Project Cost'!AA103</f>
        <v>0</v>
      </c>
      <c r="T74" s="996">
        <f>'TAB 3 Project Cost'!AB103</f>
        <v>0</v>
      </c>
      <c r="U74" s="996">
        <f>'TAB 3 Project Cost'!AC103</f>
        <v>0</v>
      </c>
      <c r="V74" s="996">
        <f>'TAB 3 Project Cost'!AD103</f>
        <v>0</v>
      </c>
    </row>
    <row r="75" spans="1:22" ht="13.5" thickBot="1">
      <c r="A75" s="3"/>
      <c r="B75" s="538" t="s">
        <v>7531</v>
      </c>
      <c r="C75" s="884"/>
      <c r="D75" s="1116" t="e">
        <f>E75/$E$27</f>
        <v>#DIV/0!</v>
      </c>
      <c r="E75" s="884">
        <f t="shared" si="26"/>
        <v>0</v>
      </c>
      <c r="F75" s="1116" t="e">
        <f t="shared" si="27"/>
        <v>#DIV/0!</v>
      </c>
      <c r="G75" s="884">
        <f t="shared" si="28"/>
        <v>0</v>
      </c>
      <c r="H75" s="1116">
        <f>H71+H74</f>
        <v>1.4999999999999999E-2</v>
      </c>
      <c r="I75" s="884">
        <f>I71+I74</f>
        <v>0</v>
      </c>
      <c r="J75" s="1116">
        <f>J71+J74</f>
        <v>1.4999999999999999E-2</v>
      </c>
      <c r="K75" s="884">
        <f>K71+K74</f>
        <v>0</v>
      </c>
      <c r="L75" s="1116"/>
      <c r="M75" s="910"/>
      <c r="N75" s="1117"/>
      <c r="O75" s="1118"/>
      <c r="P75" s="929"/>
      <c r="Q75" s="1119"/>
      <c r="R75" s="1120"/>
      <c r="S75" s="1203"/>
      <c r="T75" s="1121"/>
      <c r="U75" s="1121"/>
      <c r="V75" s="1121"/>
    </row>
    <row r="76" spans="1:22" ht="13.5" thickBot="1">
      <c r="A76" s="3"/>
      <c r="B76" s="858" t="s">
        <v>7536</v>
      </c>
      <c r="C76" s="906"/>
      <c r="D76" s="907"/>
      <c r="E76" s="906"/>
      <c r="F76" s="908"/>
      <c r="G76" s="906">
        <f t="shared" si="28"/>
        <v>0</v>
      </c>
      <c r="H76" s="908"/>
      <c r="I76" s="906">
        <f>'TAB 3 Project Cost'!G34</f>
        <v>0</v>
      </c>
      <c r="J76" s="908"/>
      <c r="K76" s="906">
        <f>'TAB 3 Project Cost'!G65</f>
        <v>0</v>
      </c>
      <c r="L76" s="908"/>
      <c r="M76" s="906">
        <f>'TAB 3 Project Cost'!G104</f>
        <v>0</v>
      </c>
      <c r="N76" s="907">
        <f>'TAB 3 Project Cost'!G80</f>
        <v>0</v>
      </c>
      <c r="O76" s="909">
        <f>'TAB 3 Project Cost'!G112</f>
        <v>0</v>
      </c>
      <c r="P76" s="932">
        <f>SUM(P28:P74)</f>
        <v>0</v>
      </c>
      <c r="Q76" s="933">
        <f t="shared" ref="Q76:R76" si="29">SUM(Q27:Q74)</f>
        <v>0</v>
      </c>
      <c r="R76" s="934">
        <f t="shared" si="29"/>
        <v>0</v>
      </c>
      <c r="S76" s="1008">
        <f>SUM(S27:S74)</f>
        <v>0</v>
      </c>
      <c r="T76" s="1008">
        <f t="shared" ref="T76:V76" si="30">SUM(T27:T74)</f>
        <v>0</v>
      </c>
      <c r="U76" s="1008">
        <f t="shared" si="30"/>
        <v>0</v>
      </c>
      <c r="V76" s="1008">
        <f t="shared" si="30"/>
        <v>0</v>
      </c>
    </row>
    <row r="77" spans="1:22" ht="13.5" thickBot="1">
      <c r="A77" s="771"/>
      <c r="B77" s="832"/>
      <c r="C77" s="832"/>
      <c r="D77" s="832"/>
      <c r="E77" s="832"/>
      <c r="F77" s="832"/>
      <c r="G77" s="832"/>
      <c r="H77" s="832"/>
      <c r="I77" s="832"/>
      <c r="J77" s="832"/>
      <c r="K77" s="832"/>
      <c r="L77" s="832"/>
      <c r="M77" s="832"/>
      <c r="N77" s="832"/>
      <c r="O77" s="832"/>
      <c r="P77" s="831"/>
      <c r="Q77" s="831"/>
      <c r="R77" s="831"/>
      <c r="S77" s="831"/>
      <c r="T77" s="832"/>
      <c r="U77" s="832"/>
      <c r="V77" s="832"/>
    </row>
    <row r="78" spans="1:22" ht="13.5" thickBot="1">
      <c r="A78" s="3"/>
      <c r="B78" s="913" t="s">
        <v>400</v>
      </c>
      <c r="C78" s="938">
        <f>'TAB 3 Project Cost'!F5</f>
        <v>0</v>
      </c>
      <c r="D78" s="962"/>
      <c r="E78" s="963" t="s">
        <v>198</v>
      </c>
      <c r="F78" s="964"/>
      <c r="G78" s="1010"/>
      <c r="H78" s="966"/>
      <c r="I78" s="967" t="s">
        <v>7553</v>
      </c>
      <c r="J78" s="863"/>
      <c r="K78" s="832"/>
      <c r="L78" s="832"/>
      <c r="M78" s="832"/>
      <c r="N78" s="832"/>
      <c r="O78" s="832"/>
      <c r="P78" s="831"/>
      <c r="Q78" s="831"/>
      <c r="R78" s="831"/>
      <c r="S78" s="832"/>
      <c r="T78" s="832"/>
      <c r="U78" s="832"/>
      <c r="V78" s="832"/>
    </row>
    <row r="79" spans="1:22">
      <c r="A79" s="3"/>
      <c r="B79" s="747"/>
      <c r="C79" s="747"/>
      <c r="D79" s="854"/>
      <c r="E79" s="946" t="s">
        <v>6703</v>
      </c>
      <c r="F79" s="885">
        <f>'TAB 4 Project Funding'!F19</f>
        <v>0</v>
      </c>
      <c r="G79" s="1011"/>
      <c r="H79" s="847"/>
      <c r="I79" s="949" t="str">
        <f>'TAB 4 Project Funding'!C11</f>
        <v>External - Gifts</v>
      </c>
      <c r="J79" s="950">
        <f>'TAB 4 Project Funding'!F11</f>
        <v>0</v>
      </c>
      <c r="K79" s="834"/>
      <c r="L79" s="834"/>
      <c r="M79" s="832"/>
      <c r="N79" s="832"/>
      <c r="O79" s="832"/>
      <c r="P79" s="831"/>
      <c r="Q79" s="831"/>
      <c r="R79" s="831"/>
      <c r="S79" s="832"/>
      <c r="T79" s="832"/>
      <c r="U79" s="832"/>
      <c r="V79" s="832"/>
    </row>
    <row r="80" spans="1:22">
      <c r="A80" s="3"/>
      <c r="B80" s="747"/>
      <c r="C80" s="747"/>
      <c r="D80" s="850"/>
      <c r="E80" s="951" t="str">
        <f>_xlfn.CONCAT('TAB 4 Project Funding'!D28,'TAB 4 Project Funding'!E28," GO Bonds")</f>
        <v xml:space="preserve"> GO Bonds</v>
      </c>
      <c r="F80" s="885" t="str">
        <f>'TAB 4 Project Funding'!F28</f>
        <v/>
      </c>
      <c r="G80" s="1012"/>
      <c r="H80" s="830"/>
      <c r="I80" s="953" t="str">
        <f>'TAB 4 Project Funding'!C12</f>
        <v>External - Affiliate Organization</v>
      </c>
      <c r="J80" s="954">
        <f>'TAB 4 Project Funding'!F12</f>
        <v>0</v>
      </c>
      <c r="K80" s="832"/>
      <c r="L80" s="832"/>
      <c r="M80" s="832"/>
      <c r="N80" s="832"/>
      <c r="O80" s="832"/>
      <c r="P80" s="831"/>
      <c r="Q80" s="831"/>
      <c r="R80" s="831"/>
      <c r="S80" s="832"/>
      <c r="T80" s="832"/>
      <c r="U80" s="832"/>
      <c r="V80" s="832"/>
    </row>
    <row r="81" spans="1:22">
      <c r="A81" s="747"/>
      <c r="B81" s="747"/>
      <c r="C81" s="747"/>
      <c r="D81" s="861"/>
      <c r="E81" s="951" t="str">
        <f>_xlfn.CONCAT('TAB 4 Project Funding'!D29,'TAB 4 Project Funding'!E29," GO Bonds")</f>
        <v xml:space="preserve"> GO Bonds</v>
      </c>
      <c r="F81" s="885" t="str">
        <f>'TAB 4 Project Funding'!F29</f>
        <v/>
      </c>
      <c r="G81" s="1012"/>
      <c r="H81" s="830"/>
      <c r="I81" s="953" t="str">
        <f>'TAB 4 Project Funding'!C13</f>
        <v>Institution - Appropriated Funds</v>
      </c>
      <c r="J81" s="954">
        <f>'TAB 4 Project Funding'!F13</f>
        <v>0</v>
      </c>
      <c r="K81" s="832"/>
      <c r="L81" s="832"/>
      <c r="M81" s="832"/>
      <c r="N81" s="832"/>
      <c r="O81" s="832"/>
      <c r="P81" s="831"/>
      <c r="Q81" s="831"/>
      <c r="R81" s="831"/>
      <c r="S81" s="832"/>
      <c r="T81" s="832"/>
      <c r="U81" s="832"/>
      <c r="V81" s="832"/>
    </row>
    <row r="82" spans="1:22">
      <c r="A82" s="747"/>
      <c r="B82" s="747"/>
      <c r="C82" s="747"/>
      <c r="D82" s="861"/>
      <c r="E82" s="951" t="str">
        <f>_xlfn.CONCAT('TAB 4 Project Funding'!D30,'TAB 4 Project Funding'!E30," GO Bonds")</f>
        <v xml:space="preserve"> GO Bonds</v>
      </c>
      <c r="F82" s="885" t="str">
        <f>'TAB 4 Project Funding'!F30</f>
        <v/>
      </c>
      <c r="G82" s="1012"/>
      <c r="H82" s="830"/>
      <c r="I82" s="953" t="str">
        <f>'TAB 4 Project Funding'!C14</f>
        <v>Institution - Tuition/Carry Forward</v>
      </c>
      <c r="J82" s="954">
        <f>'TAB 4 Project Funding'!F14</f>
        <v>0</v>
      </c>
      <c r="K82" s="832"/>
      <c r="L82" s="832"/>
      <c r="M82" s="832"/>
      <c r="N82" s="832"/>
      <c r="O82" s="832"/>
      <c r="P82" s="831"/>
      <c r="Q82" s="831"/>
      <c r="R82" s="831"/>
      <c r="S82" s="832"/>
      <c r="T82" s="832"/>
      <c r="U82" s="832"/>
      <c r="V82" s="832"/>
    </row>
    <row r="83" spans="1:22">
      <c r="A83" s="747"/>
      <c r="B83" s="747"/>
      <c r="C83" s="747"/>
      <c r="D83" s="861"/>
      <c r="E83" s="951" t="str">
        <f>_xlfn.CONCAT("Non GO Bonds (",'TAB 4 Project Funding'!D35,")")</f>
        <v>Non GO Bonds ()</v>
      </c>
      <c r="F83" s="885">
        <f>'TAB 4 Project Funding'!F35</f>
        <v>0</v>
      </c>
      <c r="G83" s="1012"/>
      <c r="H83" s="830"/>
      <c r="I83" s="953" t="str">
        <f>'TAB 4 Project Funding'!C15</f>
        <v>Institution - Auxiliary Reserves</v>
      </c>
      <c r="J83" s="954">
        <f>'TAB 4 Project Funding'!F15</f>
        <v>0</v>
      </c>
      <c r="K83" s="832"/>
      <c r="L83" s="832"/>
      <c r="M83" s="832"/>
      <c r="N83" s="832"/>
      <c r="O83" s="832"/>
      <c r="P83" s="831"/>
      <c r="Q83" s="831"/>
      <c r="R83" s="831"/>
      <c r="S83" s="832"/>
      <c r="T83" s="832"/>
      <c r="U83" s="832"/>
      <c r="V83" s="832"/>
    </row>
    <row r="84" spans="1:22">
      <c r="A84" s="747"/>
      <c r="B84" s="747"/>
      <c r="C84" s="747"/>
      <c r="D84" s="861"/>
      <c r="E84" s="951" t="str">
        <f>_xlfn.CONCAT("Non GO Bonds (",'TAB 4 Project Funding'!D36,")")</f>
        <v>Non GO Bonds ()</v>
      </c>
      <c r="F84" s="885">
        <f>'TAB 4 Project Funding'!F36</f>
        <v>0</v>
      </c>
      <c r="G84" s="1012"/>
      <c r="H84" s="830"/>
      <c r="I84" s="953" t="str">
        <f>'TAB 4 Project Funding'!C16</f>
        <v>Research Funds (ICR / F&amp;A)</v>
      </c>
      <c r="J84" s="954">
        <f>'TAB 4 Project Funding'!F16</f>
        <v>0</v>
      </c>
      <c r="K84" s="832"/>
      <c r="L84" s="832"/>
      <c r="M84" s="832"/>
      <c r="N84" s="832"/>
      <c r="O84" s="832"/>
      <c r="P84" s="831"/>
      <c r="Q84" s="831"/>
      <c r="R84" s="831"/>
      <c r="S84" s="832"/>
      <c r="T84" s="832"/>
      <c r="U84" s="832"/>
      <c r="V84" s="832"/>
    </row>
    <row r="85" spans="1:22">
      <c r="A85" s="747"/>
      <c r="B85" s="747"/>
      <c r="C85" s="747"/>
      <c r="D85" s="861"/>
      <c r="E85" s="951" t="str">
        <f>_xlfn.CONCAT("Non GO Bonds (",'TAB 4 Project Funding'!D37,")")</f>
        <v>Non GO Bonds ()</v>
      </c>
      <c r="F85" s="885">
        <f>'TAB 4 Project Funding'!F37</f>
        <v>0</v>
      </c>
      <c r="G85" s="1012"/>
      <c r="H85" s="830"/>
      <c r="I85" s="953" t="str">
        <f>'TAB 4 Project Funding'!C17</f>
        <v>Grants/Other (describe)</v>
      </c>
      <c r="J85" s="954">
        <f>'TAB 4 Project Funding'!F17</f>
        <v>0</v>
      </c>
      <c r="K85" s="832"/>
      <c r="L85" s="832"/>
      <c r="M85" s="832"/>
      <c r="N85" s="832"/>
      <c r="O85" s="832"/>
      <c r="P85" s="832"/>
      <c r="Q85" s="832"/>
      <c r="R85" s="832"/>
      <c r="S85" s="832"/>
      <c r="T85" s="832"/>
      <c r="U85" s="832"/>
      <c r="V85" s="832"/>
    </row>
    <row r="86" spans="1:22">
      <c r="A86" s="747"/>
      <c r="B86" s="747"/>
      <c r="C86" s="747"/>
      <c r="D86" s="861"/>
      <c r="E86" s="951" t="str">
        <f>'TAB 4 Project Funding'!B20</f>
        <v>Funding Sources Total</v>
      </c>
      <c r="F86" s="885">
        <f>'TAB 4 Project Funding'!F20</f>
        <v>0</v>
      </c>
      <c r="G86" s="1012"/>
      <c r="H86" s="830"/>
      <c r="I86" s="953" t="str">
        <f>'TAB 4 Project Funding'!C18</f>
        <v>RE Ventures Financing</v>
      </c>
      <c r="J86" s="954">
        <f>'TAB 4 Project Funding'!F18</f>
        <v>0</v>
      </c>
      <c r="K86" s="832"/>
      <c r="L86" s="832"/>
      <c r="M86" s="832"/>
      <c r="N86" s="832"/>
      <c r="O86" s="832"/>
      <c r="P86" s="832"/>
      <c r="Q86" s="832"/>
      <c r="R86" s="832"/>
      <c r="S86" s="832"/>
      <c r="T86" s="832"/>
      <c r="U86" s="832"/>
      <c r="V86" s="832"/>
    </row>
    <row r="87" spans="1:22">
      <c r="A87" s="747"/>
      <c r="B87" s="747"/>
      <c r="C87" s="747"/>
      <c r="D87" s="955"/>
      <c r="E87" s="959"/>
      <c r="F87" s="1013"/>
      <c r="G87" s="1014"/>
      <c r="H87" s="959"/>
      <c r="I87" s="960" t="s">
        <v>7554</v>
      </c>
      <c r="J87" s="961">
        <f>SUM(J79:J86)</f>
        <v>0</v>
      </c>
      <c r="K87" s="832"/>
      <c r="L87" s="832"/>
      <c r="M87" s="832"/>
      <c r="N87" s="832"/>
      <c r="O87" s="832"/>
      <c r="P87" s="832"/>
      <c r="Q87" s="832"/>
      <c r="R87" s="832"/>
      <c r="S87" s="832"/>
      <c r="T87" s="832"/>
      <c r="U87" s="832"/>
      <c r="V87" s="832"/>
    </row>
    <row r="88" spans="1:22" ht="13.5" thickBot="1">
      <c r="A88" s="771"/>
      <c r="B88" s="771"/>
      <c r="C88" s="771"/>
      <c r="D88" s="939"/>
      <c r="E88" s="940"/>
      <c r="F88" s="944"/>
      <c r="G88" s="943"/>
      <c r="H88" s="941"/>
      <c r="I88" s="945"/>
      <c r="J88" s="942"/>
      <c r="K88" s="832"/>
      <c r="L88" s="832"/>
      <c r="M88" s="832"/>
      <c r="N88" s="832"/>
      <c r="O88" s="832"/>
      <c r="P88" s="832"/>
      <c r="Q88" s="832"/>
      <c r="R88" s="832"/>
      <c r="S88" s="832"/>
      <c r="T88" s="832"/>
      <c r="U88" s="832"/>
      <c r="V88" s="832"/>
    </row>
  </sheetData>
  <pageMargins left="0.7" right="0.7" top="0.75" bottom="0.75" header="0.3" footer="0.3"/>
  <ignoredErrors>
    <ignoredError sqref="E2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96</vt:i4>
      </vt:variant>
    </vt:vector>
  </HeadingPairs>
  <TitlesOfParts>
    <vt:vector size="113" baseType="lpstr">
      <vt:lpstr>Reference + Summary Copy</vt:lpstr>
      <vt:lpstr>TAB 1 Proj. ID &amp; Prim Narrative</vt:lpstr>
      <vt:lpstr>TAB 2 Project Specs</vt:lpstr>
      <vt:lpstr>TAB 3 Project Cost</vt:lpstr>
      <vt:lpstr>TAB 4 Project Funding</vt:lpstr>
      <vt:lpstr>Open Calcs Tab</vt:lpstr>
      <vt:lpstr>TAB 5 Consolidated Proj Cost</vt:lpstr>
      <vt:lpstr>Fall 2025 FIDC</vt:lpstr>
      <vt:lpstr>TAB PBR Proj Budget Ref</vt:lpstr>
      <vt:lpstr>FY25-28 Changes Summary</vt:lpstr>
      <vt:lpstr>FY23-26 Changes Summary</vt:lpstr>
      <vt:lpstr>Extract</vt:lpstr>
      <vt:lpstr>Extract+</vt:lpstr>
      <vt:lpstr>TAB PBT Proj Budget Reference</vt:lpstr>
      <vt:lpstr>TAB 5 Project Narrative</vt:lpstr>
      <vt:lpstr>Bldg_Name</vt:lpstr>
      <vt:lpstr>TAB PBT s x s w sample budget</vt:lpstr>
      <vt:lpstr>Bldg_Name!ABAC</vt:lpstr>
      <vt:lpstr>ABAC</vt:lpstr>
      <vt:lpstr>ABACBLDG</vt:lpstr>
      <vt:lpstr>Bldg_Name!ALSU</vt:lpstr>
      <vt:lpstr>ALSU</vt:lpstr>
      <vt:lpstr>ALSUBLDG</vt:lpstr>
      <vt:lpstr>Bldg_Name!AMSC</vt:lpstr>
      <vt:lpstr>AMSC</vt:lpstr>
      <vt:lpstr>AMSCBLDG</vt:lpstr>
      <vt:lpstr>Bldg_Name!AU</vt:lpstr>
      <vt:lpstr>AU</vt:lpstr>
      <vt:lpstr>AUBLDG</vt:lpstr>
      <vt:lpstr>Category</vt:lpstr>
      <vt:lpstr>CATEGORY2</vt:lpstr>
      <vt:lpstr>CCG</vt:lpstr>
      <vt:lpstr>'TAB 1 Proj. ID &amp; Prim Narrative'!CCGA</vt:lpstr>
      <vt:lpstr>CCGA</vt:lpstr>
      <vt:lpstr>CCGABLDG</vt:lpstr>
      <vt:lpstr>Bldg_Name!CLSU</vt:lpstr>
      <vt:lpstr>CLSU</vt:lpstr>
      <vt:lpstr>CLSUBLDG</vt:lpstr>
      <vt:lpstr>Bldg_Name!CSU</vt:lpstr>
      <vt:lpstr>CSU</vt:lpstr>
      <vt:lpstr>CSUBLDG</vt:lpstr>
      <vt:lpstr>Bldg_Name!DSC</vt:lpstr>
      <vt:lpstr>DSC</vt:lpstr>
      <vt:lpstr>DSCBLDG</vt:lpstr>
      <vt:lpstr>'TAB 1 Proj. ID &amp; Prim Narrative'!EGA</vt:lpstr>
      <vt:lpstr>EGA</vt:lpstr>
      <vt:lpstr>EGABLDG</vt:lpstr>
      <vt:lpstr>EGSC</vt:lpstr>
      <vt:lpstr>FVSU</vt:lpstr>
      <vt:lpstr>FVSUBLDG</vt:lpstr>
      <vt:lpstr>Bldg_Name!GCSU</vt:lpstr>
      <vt:lpstr>GCSU</vt:lpstr>
      <vt:lpstr>GCSUBLDG</vt:lpstr>
      <vt:lpstr>Bldg_Name!GGC</vt:lpstr>
      <vt:lpstr>GGC</vt:lpstr>
      <vt:lpstr>GGCBLDG</vt:lpstr>
      <vt:lpstr>Bldg_Name!GHC</vt:lpstr>
      <vt:lpstr>GHC</vt:lpstr>
      <vt:lpstr>GHCBLDG</vt:lpstr>
      <vt:lpstr>Bldg_Name!GIT</vt:lpstr>
      <vt:lpstr>GIT</vt:lpstr>
      <vt:lpstr>GITBLDG</vt:lpstr>
      <vt:lpstr>Bldg_Name!GSC</vt:lpstr>
      <vt:lpstr>GSC</vt:lpstr>
      <vt:lpstr>GSCBLDG</vt:lpstr>
      <vt:lpstr>Bldg_Name!GSOU</vt:lpstr>
      <vt:lpstr>GSOU</vt:lpstr>
      <vt:lpstr>GSOUBLDG</vt:lpstr>
      <vt:lpstr>Bldg_Name!GSU</vt:lpstr>
      <vt:lpstr>GSU</vt:lpstr>
      <vt:lpstr>GSUBLDG</vt:lpstr>
      <vt:lpstr>Bldg_Name!GSW</vt:lpstr>
      <vt:lpstr>GSW</vt:lpstr>
      <vt:lpstr>GSWBLDG</vt:lpstr>
      <vt:lpstr>Bldg_Name!KSU</vt:lpstr>
      <vt:lpstr>KSU</vt:lpstr>
      <vt:lpstr>KSUBLDG</vt:lpstr>
      <vt:lpstr>Large_Cap</vt:lpstr>
      <vt:lpstr>Bldg_Name!MGA</vt:lpstr>
      <vt:lpstr>MGA</vt:lpstr>
      <vt:lpstr>MGABLDG</vt:lpstr>
      <vt:lpstr>Non_GO_Bond</vt:lpstr>
      <vt:lpstr>'Fall 2025 FIDC'!Print_Area</vt:lpstr>
      <vt:lpstr>'Reference + Summary Copy'!Print_Area</vt:lpstr>
      <vt:lpstr>'TAB 1 Proj. ID &amp; Prim Narrative'!Print_Area</vt:lpstr>
      <vt:lpstr>'TAB 2 Project Specs'!Print_Area</vt:lpstr>
      <vt:lpstr>'TAB 3 Project Cost'!Print_Area</vt:lpstr>
      <vt:lpstr>'TAB 4 Project Funding'!Print_Area</vt:lpstr>
      <vt:lpstr>'TAB 5 Consolidated Proj Cost'!Print_Area</vt:lpstr>
      <vt:lpstr>'TAB 5 Project Narrative'!Print_Area</vt:lpstr>
      <vt:lpstr>'TAB PBT s x s w sample budget'!Print_Area</vt:lpstr>
      <vt:lpstr>'TAB 1 Proj. ID &amp; Prim Narrative'!SGA</vt:lpstr>
      <vt:lpstr>SGA</vt:lpstr>
      <vt:lpstr>SGABLDG</vt:lpstr>
      <vt:lpstr>SGSC</vt:lpstr>
      <vt:lpstr>Small_Cap</vt:lpstr>
      <vt:lpstr>Bldg_Name!SSU</vt:lpstr>
      <vt:lpstr>SSU</vt:lpstr>
      <vt:lpstr>SSUBLDG</vt:lpstr>
      <vt:lpstr>Bldg_Name!UGA</vt:lpstr>
      <vt:lpstr>UGA</vt:lpstr>
      <vt:lpstr>UGABLDG</vt:lpstr>
      <vt:lpstr>Bldg_Name!UNG</vt:lpstr>
      <vt:lpstr>UNG</vt:lpstr>
      <vt:lpstr>UNGBLDG</vt:lpstr>
      <vt:lpstr>Bldg_Name!UWG</vt:lpstr>
      <vt:lpstr>UWG</vt:lpstr>
      <vt:lpstr>UWGBLDG</vt:lpstr>
      <vt:lpstr>'TAB 5 Consolidated Proj Cost'!VL</vt:lpstr>
      <vt:lpstr>VL</vt:lpstr>
      <vt:lpstr>Bldg_Name!VSU</vt:lpstr>
      <vt:lpstr>VSU</vt:lpstr>
      <vt:lpstr>VSUBLDG</vt:lpstr>
    </vt:vector>
  </TitlesOfParts>
  <Company>University System of Georgia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Alan Travis</dc:creator>
  <cp:lastModifiedBy>Alan S. Travis</cp:lastModifiedBy>
  <cp:lastPrinted>2024-12-12T20:13:24Z</cp:lastPrinted>
  <dcterms:created xsi:type="dcterms:W3CDTF">2007-05-06T23:51:43Z</dcterms:created>
  <dcterms:modified xsi:type="dcterms:W3CDTF">2024-12-19T11:59:13Z</dcterms:modified>
</cp:coreProperties>
</file>